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tables/table3.xml" ContentType="application/vnd.openxmlformats-officedocument.spreadsheetml.table+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227"/>
  <workbookPr showInkAnnotation="0" codeName="ThisWorkbook" defaultThemeVersion="124226"/>
  <mc:AlternateContent xmlns:mc="http://schemas.openxmlformats.org/markup-compatibility/2006">
    <mc:Choice Requires="x15">
      <x15ac:absPath xmlns:x15ac="http://schemas.microsoft.com/office/spreadsheetml/2010/11/ac" url="S:\Accepted\2025\01 April 8, 2025\25-493 Francis Avenue Apartments\"/>
    </mc:Choice>
  </mc:AlternateContent>
  <xr:revisionPtr revIDLastSave="0" documentId="13_ncr:1_{A3ED87F4-3F80-422A-8E68-0B6E34FE3495}" xr6:coauthVersionLast="47" xr6:coauthVersionMax="47" xr10:uidLastSave="{00000000-0000-0000-0000-000000000000}"/>
  <bookViews>
    <workbookView xWindow="-120" yWindow="-120" windowWidth="29040" windowHeight="15840" tabRatio="753" firstSheet="1" activeTab="7" xr2:uid="{B5F7C901-A336-4CA3-BC76-4E0FE3D950EA}"/>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3" r:id="rId7"/>
    <sheet name="Points System" sheetId="20" r:id="rId8"/>
    <sheet name="Tie Breaker" sheetId="21" r:id="rId9"/>
    <sheet name="Basis &amp; Credits" sheetId="15"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Application!$J$957:$S$957</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Application!$BN$512:$BN$537</definedName>
    <definedName name="_xlnm.Print_Area" localSheetId="11">'15 Year Pro Forma'!$A$1:$AH$77</definedName>
    <definedName name="_xlnm.Print_Area" localSheetId="3">Application!$A:$AT</definedName>
    <definedName name="_xlnm.Print_Area" localSheetId="2">'Application Checklist'!$A$1:$I$1130</definedName>
    <definedName name="_xlnm.Print_Area" localSheetId="9">'Basis &amp; Credits'!$A$1:$AN$92</definedName>
    <definedName name="_xlnm.Print_Area" localSheetId="0">'Instructions-App Completion '!$A$1:$BP$392</definedName>
    <definedName name="_xlnm.Print_Area" localSheetId="1">'Instructions-Electronic Submit'!$A$1:$J$90</definedName>
    <definedName name="_xlnm.Print_Area" localSheetId="7">'Points System'!$A$1:$AM$823</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8">'Tie Breaker'!$A$1:$I$132</definedName>
    <definedName name="_xlnm.Print_Titles" localSheetId="5">'Sources and Basis Breakdown'!$1:$2</definedName>
    <definedName name="_xlnm.Print_Titles" localSheetId="4">'Sources and Uses Budget'!$1:$2</definedName>
    <definedName name="_xlnm.Print_Titles" localSheetId="8">'Tie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Application!$AZ$702:$AZ$707</definedName>
    <definedName name="Z_48A1B9AA_9520_4513_968D_1FB22989E0AF_.wvu.Cols" localSheetId="9" hidden="1">'Basis &amp; Credits'!$AO:$IV</definedName>
    <definedName name="Z_48A1B9AA_9520_4513_968D_1FB22989E0AF_.wvu.Cols" localSheetId="7" hidden="1">'Points System'!$AN:$CC</definedName>
    <definedName name="Z_48A1B9AA_9520_4513_968D_1FB22989E0AF_.wvu.Cols" localSheetId="5" hidden="1">'Sources and Basis Breakdown'!$K:$IV</definedName>
    <definedName name="Z_48A1B9AA_9520_4513_968D_1FB22989E0AF_.wvu.PrintArea" localSheetId="9" hidden="1">'Basis &amp; Credits'!$A$1:$AN$83</definedName>
    <definedName name="Z_48A1B9AA_9520_4513_968D_1FB22989E0AF_.wvu.PrintArea" localSheetId="7" hidden="1">'Points System'!$A$1:$AM$823</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9" hidden="1">'Basis &amp; Credits'!$104:$65544,'Basis &amp; Credits'!$85:$103</definedName>
    <definedName name="Z_48A1B9AA_9520_4513_968D_1FB22989E0AF_.wvu.Rows" localSheetId="7" hidden="1">'Points System'!$824:$63551,'Points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Application!$842:$965</definedName>
    <definedName name="Z_ACB87C9A_02C3_4C83_BBE4_E2C44A4D81CD_.wvu.PrintArea" localSheetId="11" hidden="1">'15 Year Pro Forma'!$A$1:$AH$77</definedName>
    <definedName name="Z_ACB87C9A_02C3_4C83_BBE4_E2C44A4D81CD_.wvu.PrintArea" localSheetId="3" hidden="1">Application!$A$1:$AL$1128</definedName>
    <definedName name="Z_ACB87C9A_02C3_4C83_BBE4_E2C44A4D81CD_.wvu.PrintArea" localSheetId="2" hidden="1">'Application Checklist'!$A$1:$G$825</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Checklist'!$1380:$65425,'Application Checklist'!$826:$1174,'Application Checklist'!$1379:$1379</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O23" i="20" l="1"/>
  <c r="AO18" i="20"/>
  <c r="AZ719" i="3"/>
  <c r="AZ720" i="3"/>
  <c r="AZ721" i="3"/>
  <c r="AZ722" i="3"/>
  <c r="AZ723" i="3"/>
  <c r="AZ724" i="3"/>
  <c r="AZ725" i="3"/>
  <c r="AZ726"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18" i="3"/>
  <c r="O20" i="21"/>
  <c r="O21" i="21"/>
  <c r="O22" i="21"/>
  <c r="O23" i="21"/>
  <c r="O24" i="21"/>
  <c r="O25" i="21"/>
  <c r="O26" i="21"/>
  <c r="O27" i="21"/>
  <c r="O28" i="21"/>
  <c r="O29" i="21"/>
  <c r="O30" i="21"/>
  <c r="O31" i="21"/>
  <c r="O32" i="21"/>
  <c r="O33" i="21"/>
  <c r="O34" i="21"/>
  <c r="O35" i="21"/>
  <c r="O36" i="21"/>
  <c r="O37" i="21"/>
  <c r="O38" i="21"/>
  <c r="O39" i="21"/>
  <c r="O40" i="21"/>
  <c r="O41" i="21"/>
  <c r="O42" i="21"/>
  <c r="O43" i="21"/>
  <c r="O44" i="21"/>
  <c r="G76" i="21"/>
  <c r="I18" i="21"/>
  <c r="I17" i="21"/>
  <c r="Q628" i="3"/>
  <c r="T628" i="3"/>
  <c r="Q558" i="3"/>
  <c r="AM557" i="3" l="1"/>
  <c r="C93" i="4" l="1"/>
  <c r="C69" i="4"/>
  <c r="S65" i="4"/>
  <c r="S47" i="4"/>
  <c r="S45" i="4"/>
  <c r="C40" i="4"/>
  <c r="Z816" i="3"/>
  <c r="B150" i="20"/>
  <c r="AE402" i="3"/>
  <c r="AG448" i="3" l="1"/>
  <c r="G54" i="7"/>
  <c r="E40" i="7"/>
  <c r="A40" i="7"/>
  <c r="G31" i="4"/>
  <c r="F29" i="4"/>
  <c r="F30" i="4" s="1"/>
  <c r="C53" i="4" l="1"/>
  <c r="C49" i="4"/>
  <c r="C65" i="4"/>
  <c r="C83" i="4"/>
  <c r="C75" i="4"/>
  <c r="C86" i="4"/>
  <c r="C35" i="4"/>
  <c r="C30" i="4"/>
  <c r="G30" i="4" s="1"/>
  <c r="G32" i="4" s="1"/>
  <c r="H32" i="4" s="1"/>
  <c r="H33" i="4" s="1"/>
  <c r="I33" i="4" s="1"/>
  <c r="I35" i="4" s="1"/>
  <c r="C6" i="4" l="1"/>
  <c r="AG446" i="3" l="1"/>
  <c r="AG442" i="3"/>
  <c r="W846" i="3"/>
  <c r="W866" i="3"/>
  <c r="AD67" i="15" l="1" a="1"/>
  <c r="AD67" i="15" s="1"/>
  <c r="Y67" i="15" a="1"/>
  <c r="Y67" i="15" s="1"/>
  <c r="BE63" i="3" l="1"/>
  <c r="BE62" i="3"/>
  <c r="BE100" i="3"/>
  <c r="BE99" i="3"/>
  <c r="BE98" i="3"/>
  <c r="BE97" i="3"/>
  <c r="BE96" i="3"/>
  <c r="BE95" i="3"/>
  <c r="BE94" i="3"/>
  <c r="BE93" i="3"/>
  <c r="BE92" i="3"/>
  <c r="BE91" i="3"/>
  <c r="BE90" i="3"/>
  <c r="BE89" i="3"/>
  <c r="BE88" i="3"/>
  <c r="BE87" i="3"/>
  <c r="BE86" i="3"/>
  <c r="BE85" i="3"/>
  <c r="BE84" i="3"/>
  <c r="BE67" i="3"/>
  <c r="BE66" i="3"/>
  <c r="BE64"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R98" i="23" l="1"/>
  <c r="BQ98" i="23"/>
  <c r="BR97" i="23"/>
  <c r="BQ97" i="23"/>
  <c r="BR96" i="23"/>
  <c r="BQ96" i="23"/>
  <c r="AN28" i="23"/>
  <c r="AH28" i="23"/>
  <c r="AB28" i="23"/>
  <c r="V28" i="23"/>
  <c r="P28" i="23"/>
  <c r="S15" i="23"/>
  <c r="AO13" i="23"/>
  <c r="N11" i="23"/>
  <c r="BE18" i="3" s="1"/>
  <c r="N10" i="23"/>
  <c r="AB8" i="23"/>
  <c r="L6" i="23"/>
  <c r="L4" i="23"/>
  <c r="V21" i="23" a="1"/>
  <c r="V21" i="23" s="1"/>
  <c r="AN19" i="23" a="1"/>
  <c r="AN19" i="23" s="1"/>
  <c r="AB20" i="23" a="1"/>
  <c r="AB20" i="23" s="1"/>
  <c r="P21" i="23" a="1"/>
  <c r="P21" i="23" s="1"/>
  <c r="V20" i="23" a="1"/>
  <c r="V20" i="23" s="1"/>
  <c r="P20" i="23" a="1"/>
  <c r="P20" i="23" s="1"/>
  <c r="P19" i="23" a="1"/>
  <c r="P19" i="23" s="1"/>
  <c r="AH19" i="23" a="1"/>
  <c r="AH19" i="23" s="1"/>
  <c r="AB19" i="23" a="1"/>
  <c r="AB19" i="23" s="1"/>
  <c r="V19" i="23" a="1"/>
  <c r="V19" i="23" s="1"/>
  <c r="AB24" i="23" a="1"/>
  <c r="AB24" i="23" s="1"/>
  <c r="AN24" i="23" a="1"/>
  <c r="AN24" i="23" s="1"/>
  <c r="AH24" i="23" a="1"/>
  <c r="AH24" i="23" s="1"/>
  <c r="AB23" i="23" a="1"/>
  <c r="AB23" i="23" s="1"/>
  <c r="AN23" i="23" a="1"/>
  <c r="AN23" i="23" s="1"/>
  <c r="AH23" i="23" a="1"/>
  <c r="AH23" i="23" s="1"/>
  <c r="V24" i="23" a="1"/>
  <c r="V24" i="23" s="1"/>
  <c r="P24" i="23" a="1"/>
  <c r="P24" i="23" s="1"/>
  <c r="V23" i="23" a="1"/>
  <c r="V23" i="23" s="1"/>
  <c r="AN22" i="23" a="1"/>
  <c r="AN22" i="23" s="1"/>
  <c r="AB22" i="23" a="1"/>
  <c r="AB22" i="23" s="1"/>
  <c r="V22" i="23" a="1"/>
  <c r="V22" i="23" s="1"/>
  <c r="AH21" i="23" a="1"/>
  <c r="AH21" i="23" s="1"/>
  <c r="P23" i="23" a="1"/>
  <c r="P23" i="23" s="1"/>
  <c r="AN21" i="23" a="1"/>
  <c r="AN21" i="23" s="1"/>
  <c r="P22" i="23" a="1"/>
  <c r="P22" i="23" s="1"/>
  <c r="AH22" i="23" a="1"/>
  <c r="AH22" i="23" s="1"/>
  <c r="AB21" i="23" a="1"/>
  <c r="AB21" i="23" s="1"/>
  <c r="AN20" i="23" a="1"/>
  <c r="AN20" i="23" s="1"/>
  <c r="AH20" i="23" a="1"/>
  <c r="AH20" i="23" s="1"/>
  <c r="O203" i="23"/>
  <c r="AU192" i="23"/>
  <c r="O75" i="23"/>
  <c r="B64" i="23"/>
  <c r="B63" i="23"/>
  <c r="B62" i="23"/>
  <c r="B61" i="23"/>
  <c r="B60" i="23"/>
  <c r="Z57" i="23"/>
  <c r="R57" i="23"/>
  <c r="AS47" i="23"/>
  <c r="AS46" i="23"/>
  <c r="AS45" i="23"/>
  <c r="AS44" i="23"/>
  <c r="AS43" i="23"/>
  <c r="AS42" i="23"/>
  <c r="AS41" i="23"/>
  <c r="AS40" i="23"/>
  <c r="AS39" i="23"/>
  <c r="AS38" i="23"/>
  <c r="AS37" i="23"/>
  <c r="AS36" i="23"/>
  <c r="BA1041" i="3"/>
  <c r="BA1040" i="3"/>
  <c r="BA1046" i="3" s="1"/>
  <c r="CG718" i="3"/>
  <c r="CI718" i="3" s="1"/>
  <c r="BA1038" i="3"/>
  <c r="AZ1048" i="3"/>
  <c r="AZ1047" i="3"/>
  <c r="AZ1045" i="3"/>
  <c r="AZ1049" i="3" s="1"/>
  <c r="BA1052" i="3"/>
  <c r="BE7" i="3" l="1"/>
  <c r="J28" i="23"/>
  <c r="J23" i="23"/>
  <c r="O105" i="23"/>
  <c r="AN29" i="23"/>
  <c r="J20" i="23"/>
  <c r="AB29" i="23"/>
  <c r="J21" i="23"/>
  <c r="AH29" i="23"/>
  <c r="J22" i="23"/>
  <c r="J19" i="23"/>
  <c r="P29" i="23"/>
  <c r="V29" i="23"/>
  <c r="J24" i="23"/>
  <c r="R93" i="23"/>
  <c r="R80" i="23"/>
  <c r="AZ1052" i="3"/>
  <c r="BE8" i="3" l="1"/>
  <c r="BE9" i="3" s="1"/>
  <c r="J29" i="23"/>
  <c r="AT24" i="23" s="1"/>
  <c r="BH247" i="3"/>
  <c r="T212" i="3"/>
  <c r="I14" i="21"/>
  <c r="G137" i="21"/>
  <c r="G86" i="21"/>
  <c r="B82" i="21"/>
  <c r="B67" i="21"/>
  <c r="B92" i="21"/>
  <c r="B58" i="21"/>
  <c r="B49" i="21"/>
  <c r="BA1042" i="3" l="1"/>
  <c r="BD1051" i="3" s="1" a="1"/>
  <c r="BD1051" i="3" s="1"/>
  <c r="C5" i="7"/>
  <c r="BE10" i="3"/>
  <c r="BE11" i="3" s="1"/>
  <c r="AT19" i="23"/>
  <c r="AT21" i="23"/>
  <c r="AT26" i="23"/>
  <c r="AT29" i="23"/>
  <c r="AT25" i="23"/>
  <c r="AY45" i="23"/>
  <c r="AY41" i="23"/>
  <c r="AY37" i="23"/>
  <c r="AT27" i="23"/>
  <c r="AY46" i="23"/>
  <c r="AT28" i="23"/>
  <c r="AY42" i="23"/>
  <c r="AY43" i="23"/>
  <c r="AY39" i="23"/>
  <c r="AY44" i="23"/>
  <c r="AY40" i="23"/>
  <c r="AY47" i="23"/>
  <c r="AY36" i="23"/>
  <c r="AT23" i="23"/>
  <c r="AT20" i="23"/>
  <c r="AY38" i="23"/>
  <c r="AT22" i="23"/>
  <c r="G37" i="21"/>
  <c r="P18" i="21"/>
  <c r="BE12" i="3" l="1"/>
  <c r="BE13" i="3" s="1"/>
  <c r="BE14" i="3" s="1"/>
  <c r="BE15" i="3" s="1"/>
  <c r="C39" i="21"/>
  <c r="G136" i="21"/>
  <c r="AO22" i="20"/>
  <c r="AO17" i="20"/>
  <c r="AO13" i="20"/>
  <c r="AO25" i="20"/>
  <c r="AY1023" i="3"/>
  <c r="AY1022" i="3"/>
  <c r="AY1021" i="3"/>
  <c r="AY1020" i="3"/>
  <c r="AY1019" i="3"/>
  <c r="AY1018" i="3"/>
  <c r="AY1017" i="3"/>
  <c r="AY1016" i="3"/>
  <c r="AY1015" i="3"/>
  <c r="AY1014" i="3"/>
  <c r="AY1013" i="3"/>
  <c r="AG444" i="3" l="1"/>
  <c r="AG441" i="3"/>
  <c r="BN150" i="3" l="1"/>
  <c r="C178" i="20" l="1"/>
  <c r="U374" i="20"/>
  <c r="AJ711" i="20"/>
  <c r="L100" i="21"/>
  <c r="X752" i="3" l="1"/>
  <c r="AH752" i="3"/>
  <c r="BF751" i="3"/>
  <c r="BS751" i="3"/>
  <c r="BS752" i="3"/>
  <c r="AJ1020" i="3"/>
  <c r="BF740" i="3" l="1"/>
  <c r="AH751" i="3"/>
  <c r="AH742" i="3"/>
  <c r="AY1027" i="3"/>
  <c r="G753" i="3"/>
  <c r="C757" i="3" l="1"/>
  <c r="AX690" i="20"/>
  <c r="AX689" i="20"/>
  <c r="AJ725" i="20"/>
  <c r="AO597" i="20"/>
  <c r="AP583" i="20"/>
  <c r="BS742" i="3" l="1"/>
  <c r="BS743" i="3"/>
  <c r="BS744" i="3"/>
  <c r="BS745" i="3"/>
  <c r="BS746" i="3"/>
  <c r="BS747" i="3"/>
  <c r="BS748" i="3"/>
  <c r="BS749" i="3"/>
  <c r="BS750" i="3"/>
  <c r="BF742" i="3"/>
  <c r="BF743" i="3"/>
  <c r="BF744" i="3"/>
  <c r="BF745" i="3"/>
  <c r="BF746" i="3"/>
  <c r="BF747" i="3"/>
  <c r="BF748" i="3"/>
  <c r="BF749" i="3"/>
  <c r="BF750" i="3"/>
  <c r="BF741" i="3"/>
  <c r="BF752"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6" i="8"/>
  <c r="I6" i="8"/>
  <c r="J5" i="8"/>
  <c r="I5" i="8"/>
  <c r="I4" i="8"/>
  <c r="J4" i="8" s="1"/>
  <c r="AH750" i="3"/>
  <c r="AH749" i="3"/>
  <c r="AH748" i="3"/>
  <c r="AH747" i="3"/>
  <c r="AH746" i="3"/>
  <c r="AH745" i="3"/>
  <c r="AH744" i="3"/>
  <c r="AH743" i="3"/>
  <c r="AH741" i="3"/>
  <c r="AH740" i="3"/>
  <c r="AH739" i="3"/>
  <c r="AH738" i="3"/>
  <c r="AH737" i="3"/>
  <c r="AH736" i="3"/>
  <c r="AH735" i="3"/>
  <c r="AH734" i="3"/>
  <c r="AH733" i="3"/>
  <c r="AH732" i="3"/>
  <c r="AH731" i="3"/>
  <c r="AH730" i="3"/>
  <c r="DU751" i="3"/>
  <c r="DZ751" i="3"/>
  <c r="EE751" i="3"/>
  <c r="EJ751" i="3"/>
  <c r="EO751" i="3"/>
  <c r="ET751"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49" i="3"/>
  <c r="DZ749" i="3"/>
  <c r="EE749" i="3"/>
  <c r="EJ749" i="3"/>
  <c r="EO749" i="3"/>
  <c r="ET749" i="3"/>
  <c r="DU750" i="3"/>
  <c r="DZ750" i="3"/>
  <c r="EE750" i="3"/>
  <c r="EJ750" i="3"/>
  <c r="EO750" i="3"/>
  <c r="ET750" i="3"/>
  <c r="CP751" i="3"/>
  <c r="EZ751" i="3" s="1"/>
  <c r="CU751" i="3"/>
  <c r="FE751" i="3" s="1"/>
  <c r="CZ751" i="3"/>
  <c r="FJ751" i="3" s="1"/>
  <c r="DE751" i="3"/>
  <c r="FO751" i="3" s="1"/>
  <c r="DJ751" i="3"/>
  <c r="FT751" i="3" s="1"/>
  <c r="DO751" i="3"/>
  <c r="FY751" i="3" s="1"/>
  <c r="CP741" i="3"/>
  <c r="EZ741" i="3" s="1"/>
  <c r="CU741" i="3"/>
  <c r="FE741" i="3" s="1"/>
  <c r="CZ741" i="3"/>
  <c r="FJ741" i="3" s="1"/>
  <c r="DE741" i="3"/>
  <c r="FO741" i="3" s="1"/>
  <c r="DJ741" i="3"/>
  <c r="FT741" i="3" s="1"/>
  <c r="DO741" i="3"/>
  <c r="FY741" i="3" s="1"/>
  <c r="CP742" i="3"/>
  <c r="EZ742" i="3" s="1"/>
  <c r="CU742" i="3"/>
  <c r="FE742" i="3" s="1"/>
  <c r="CZ742" i="3"/>
  <c r="FJ742" i="3" s="1"/>
  <c r="DE742" i="3"/>
  <c r="FO742" i="3" s="1"/>
  <c r="DJ742" i="3"/>
  <c r="FT742" i="3" s="1"/>
  <c r="DO742" i="3"/>
  <c r="FY742" i="3" s="1"/>
  <c r="CP743" i="3"/>
  <c r="EZ743" i="3" s="1"/>
  <c r="CU743" i="3"/>
  <c r="FE743" i="3" s="1"/>
  <c r="CZ743" i="3"/>
  <c r="FJ743" i="3" s="1"/>
  <c r="DE743" i="3"/>
  <c r="FO743" i="3" s="1"/>
  <c r="DJ743" i="3"/>
  <c r="FT743" i="3" s="1"/>
  <c r="DO743" i="3"/>
  <c r="FY743" i="3" s="1"/>
  <c r="CP744" i="3"/>
  <c r="EZ744" i="3" s="1"/>
  <c r="CU744" i="3"/>
  <c r="FE744" i="3" s="1"/>
  <c r="CZ744" i="3"/>
  <c r="FJ744" i="3" s="1"/>
  <c r="DE744" i="3"/>
  <c r="FO744" i="3" s="1"/>
  <c r="DJ744" i="3"/>
  <c r="FT744" i="3" s="1"/>
  <c r="DO744" i="3"/>
  <c r="FY744" i="3" s="1"/>
  <c r="CP745" i="3"/>
  <c r="EZ745" i="3" s="1"/>
  <c r="CU745" i="3"/>
  <c r="FE745" i="3" s="1"/>
  <c r="CZ745" i="3"/>
  <c r="FJ745" i="3" s="1"/>
  <c r="DE745" i="3"/>
  <c r="FO745" i="3" s="1"/>
  <c r="DJ745" i="3"/>
  <c r="FT745" i="3" s="1"/>
  <c r="DO745" i="3"/>
  <c r="FY745" i="3" s="1"/>
  <c r="CP746" i="3"/>
  <c r="EZ746" i="3" s="1"/>
  <c r="CU746" i="3"/>
  <c r="FE746" i="3" s="1"/>
  <c r="CZ746" i="3"/>
  <c r="FJ746" i="3" s="1"/>
  <c r="DE746" i="3"/>
  <c r="FO746" i="3" s="1"/>
  <c r="DJ746" i="3"/>
  <c r="FT746" i="3" s="1"/>
  <c r="DO746" i="3"/>
  <c r="FY746" i="3" s="1"/>
  <c r="CP747" i="3"/>
  <c r="EZ747" i="3" s="1"/>
  <c r="CU747" i="3"/>
  <c r="FE747" i="3" s="1"/>
  <c r="CZ747" i="3"/>
  <c r="FJ747" i="3" s="1"/>
  <c r="DE747" i="3"/>
  <c r="FO747" i="3" s="1"/>
  <c r="DJ747" i="3"/>
  <c r="FT747" i="3" s="1"/>
  <c r="DO747" i="3"/>
  <c r="FY747" i="3" s="1"/>
  <c r="CP748" i="3"/>
  <c r="EZ748" i="3" s="1"/>
  <c r="CU748" i="3"/>
  <c r="FE748" i="3" s="1"/>
  <c r="CZ748" i="3"/>
  <c r="FJ748" i="3" s="1"/>
  <c r="DE748" i="3"/>
  <c r="FO748" i="3" s="1"/>
  <c r="DJ748" i="3"/>
  <c r="FT748" i="3" s="1"/>
  <c r="DO748" i="3"/>
  <c r="FY748"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G751" i="3"/>
  <c r="CI751" i="3" s="1"/>
  <c r="CK751" i="3"/>
  <c r="CM751" i="3" s="1"/>
  <c r="CG741" i="3"/>
  <c r="CI741" i="3" s="1"/>
  <c r="CK741" i="3"/>
  <c r="CM741" i="3" s="1"/>
  <c r="CG742" i="3"/>
  <c r="CI742" i="3" s="1"/>
  <c r="CK742" i="3"/>
  <c r="CM742" i="3" s="1"/>
  <c r="CG743" i="3"/>
  <c r="CI743" i="3" s="1"/>
  <c r="CK743" i="3"/>
  <c r="CM743" i="3" s="1"/>
  <c r="CG744" i="3"/>
  <c r="CI744" i="3" s="1"/>
  <c r="CK744" i="3"/>
  <c r="CM744" i="3" s="1"/>
  <c r="CG745" i="3"/>
  <c r="CI745" i="3" s="1"/>
  <c r="CK745" i="3"/>
  <c r="CM745" i="3" s="1"/>
  <c r="CG746" i="3"/>
  <c r="CI746" i="3" s="1"/>
  <c r="CK746" i="3"/>
  <c r="CM746" i="3" s="1"/>
  <c r="CG747" i="3"/>
  <c r="CI747" i="3" s="1"/>
  <c r="CK747" i="3"/>
  <c r="CM747" i="3" s="1"/>
  <c r="CG748" i="3"/>
  <c r="CI748" i="3" s="1"/>
  <c r="CK748" i="3"/>
  <c r="CM748" i="3" s="1"/>
  <c r="CG749" i="3"/>
  <c r="CI749" i="3" s="1"/>
  <c r="CK749" i="3"/>
  <c r="CM749" i="3" s="1"/>
  <c r="CG750" i="3"/>
  <c r="CI750" i="3" s="1"/>
  <c r="CK750" i="3"/>
  <c r="CM750" i="3" s="1"/>
  <c r="X742" i="3" l="1"/>
  <c r="X743" i="3"/>
  <c r="X744" i="3"/>
  <c r="X745" i="3"/>
  <c r="X746" i="3"/>
  <c r="X747" i="3"/>
  <c r="X748" i="3"/>
  <c r="X749" i="3"/>
  <c r="X750" i="3"/>
  <c r="X751" i="3"/>
  <c r="AJ180" i="20" l="1"/>
  <c r="AJ166" i="20"/>
  <c r="AP293" i="20" l="1"/>
  <c r="AJ1025"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J994" i="3"/>
  <c r="AF1026" i="3"/>
  <c r="AF1021" i="3"/>
  <c r="E33" i="7"/>
  <c r="E32" i="7"/>
  <c r="E31" i="7"/>
  <c r="E30" i="7"/>
  <c r="E29" i="7"/>
  <c r="E28" i="7"/>
  <c r="E27" i="7"/>
  <c r="E26" i="7"/>
  <c r="W847" i="3"/>
  <c r="E15" i="7" s="1"/>
  <c r="G15" i="7" s="1"/>
  <c r="E16" i="7"/>
  <c r="G16" i="7" s="1"/>
  <c r="I16" i="7" s="1"/>
  <c r="K16" i="7" s="1"/>
  <c r="M16" i="7" s="1"/>
  <c r="O16" i="7" s="1"/>
  <c r="Q16" i="7" s="1"/>
  <c r="S16" i="7" s="1"/>
  <c r="U16" i="7" s="1"/>
  <c r="W16" i="7" s="1"/>
  <c r="Y16" i="7" s="1"/>
  <c r="AA16" i="7" s="1"/>
  <c r="AC16" i="7" s="1"/>
  <c r="AE16" i="7" s="1"/>
  <c r="AG16" i="7" s="1"/>
  <c r="W855" i="3"/>
  <c r="E17" i="7" s="1"/>
  <c r="G17" i="7" s="1"/>
  <c r="I17" i="7" s="1"/>
  <c r="K17" i="7" s="1"/>
  <c r="M17" i="7" s="1"/>
  <c r="O17" i="7" s="1"/>
  <c r="Q17" i="7" s="1"/>
  <c r="S17" i="7" s="1"/>
  <c r="U17" i="7" s="1"/>
  <c r="W17" i="7" s="1"/>
  <c r="Y17" i="7" s="1"/>
  <c r="AA17" i="7" s="1"/>
  <c r="AC17" i="7" s="1"/>
  <c r="AE17" i="7" s="1"/>
  <c r="AG17" i="7" s="1"/>
  <c r="W862" i="3"/>
  <c r="E18" i="7" s="1"/>
  <c r="G18" i="7" s="1"/>
  <c r="I18" i="7" s="1"/>
  <c r="K18" i="7" s="1"/>
  <c r="M18" i="7" s="1"/>
  <c r="O18" i="7" s="1"/>
  <c r="Q18" i="7" s="1"/>
  <c r="S18" i="7" s="1"/>
  <c r="U18" i="7" s="1"/>
  <c r="W18" i="7" s="1"/>
  <c r="Y18" i="7" s="1"/>
  <c r="AA18" i="7" s="1"/>
  <c r="AC18" i="7" s="1"/>
  <c r="AE18" i="7" s="1"/>
  <c r="AG18" i="7" s="1"/>
  <c r="E19" i="7"/>
  <c r="W872" i="3"/>
  <c r="W879" i="3"/>
  <c r="E21" i="7" s="1"/>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DG122" i="3"/>
  <c r="R989" i="3" s="1"/>
  <c r="CP718" i="3"/>
  <c r="CP719" i="3"/>
  <c r="EZ719" i="3" s="1"/>
  <c r="CP720" i="3"/>
  <c r="EZ720" i="3" s="1"/>
  <c r="CP721" i="3"/>
  <c r="EZ721" i="3" s="1"/>
  <c r="CP722" i="3"/>
  <c r="EZ722" i="3" s="1"/>
  <c r="CP723" i="3"/>
  <c r="EZ723" i="3" s="1"/>
  <c r="CP724" i="3"/>
  <c r="EZ724" i="3" s="1"/>
  <c r="CP725" i="3"/>
  <c r="EZ725" i="3" s="1"/>
  <c r="CP726" i="3"/>
  <c r="EZ726" i="3" s="1"/>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52" i="3"/>
  <c r="EZ752" i="3" s="1"/>
  <c r="CP773" i="3"/>
  <c r="CP774" i="3"/>
  <c r="CP775" i="3"/>
  <c r="CP776" i="3"/>
  <c r="CP787" i="3"/>
  <c r="DU787" i="3" s="1"/>
  <c r="CP788" i="3"/>
  <c r="DU788" i="3" s="1"/>
  <c r="CP789" i="3"/>
  <c r="DU789" i="3" s="1"/>
  <c r="CP790" i="3"/>
  <c r="CP791" i="3"/>
  <c r="DU791" i="3" s="1"/>
  <c r="CP792" i="3"/>
  <c r="DU792" i="3" s="1"/>
  <c r="CP793" i="3"/>
  <c r="DU793" i="3" s="1"/>
  <c r="CP794" i="3"/>
  <c r="DU794" i="3" s="1"/>
  <c r="CP795" i="3"/>
  <c r="DU795" i="3" s="1"/>
  <c r="CP796" i="3"/>
  <c r="DU796" i="3" s="1"/>
  <c r="CU718" i="3"/>
  <c r="CU719" i="3"/>
  <c r="FE719" i="3" s="1"/>
  <c r="CU720" i="3"/>
  <c r="FE720" i="3" s="1"/>
  <c r="CU721" i="3"/>
  <c r="FE721" i="3" s="1"/>
  <c r="CU722" i="3"/>
  <c r="FE722" i="3" s="1"/>
  <c r="CU723" i="3"/>
  <c r="FE723" i="3" s="1"/>
  <c r="CU724" i="3"/>
  <c r="FE724" i="3" s="1"/>
  <c r="CU725" i="3"/>
  <c r="FE725" i="3" s="1"/>
  <c r="CU726" i="3"/>
  <c r="FE726" i="3" s="1"/>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52" i="3"/>
  <c r="FE752" i="3" s="1"/>
  <c r="CU773" i="3"/>
  <c r="CU774" i="3"/>
  <c r="CU775" i="3"/>
  <c r="CU776" i="3"/>
  <c r="CU787" i="3"/>
  <c r="DZ787" i="3" s="1"/>
  <c r="CU788" i="3"/>
  <c r="DZ788" i="3" s="1"/>
  <c r="CU789" i="3"/>
  <c r="DZ789" i="3" s="1"/>
  <c r="CU790" i="3"/>
  <c r="DZ790" i="3" s="1"/>
  <c r="CU791" i="3"/>
  <c r="DZ791" i="3" s="1"/>
  <c r="CU792" i="3"/>
  <c r="DZ792" i="3" s="1"/>
  <c r="CU793" i="3"/>
  <c r="DZ793" i="3" s="1"/>
  <c r="CU794" i="3"/>
  <c r="DZ794" i="3" s="1"/>
  <c r="CU795" i="3"/>
  <c r="DZ795" i="3" s="1"/>
  <c r="CU796" i="3"/>
  <c r="DZ796" i="3" s="1"/>
  <c r="CZ718" i="3"/>
  <c r="FJ718" i="3" s="1"/>
  <c r="CZ719" i="3"/>
  <c r="FJ719" i="3" s="1"/>
  <c r="CZ720" i="3"/>
  <c r="FJ720" i="3" s="1"/>
  <c r="CZ721" i="3"/>
  <c r="FJ721" i="3" s="1"/>
  <c r="CZ722" i="3"/>
  <c r="FJ722" i="3" s="1"/>
  <c r="CZ723" i="3"/>
  <c r="FJ723" i="3" s="1"/>
  <c r="CZ724" i="3"/>
  <c r="FJ724" i="3" s="1"/>
  <c r="CZ725" i="3"/>
  <c r="FJ725"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52" i="3"/>
  <c r="FJ752" i="3" s="1"/>
  <c r="CZ773" i="3"/>
  <c r="CZ774" i="3"/>
  <c r="CZ775" i="3"/>
  <c r="CZ776" i="3"/>
  <c r="CZ787" i="3"/>
  <c r="EE787" i="3" s="1"/>
  <c r="CZ788" i="3"/>
  <c r="EE788" i="3" s="1"/>
  <c r="CZ789" i="3"/>
  <c r="EE789" i="3" s="1"/>
  <c r="CZ790" i="3"/>
  <c r="EE790" i="3" s="1"/>
  <c r="CZ791" i="3"/>
  <c r="EE791" i="3" s="1"/>
  <c r="CZ792" i="3"/>
  <c r="EE792" i="3" s="1"/>
  <c r="CZ793" i="3"/>
  <c r="EE793" i="3" s="1"/>
  <c r="CZ794" i="3"/>
  <c r="CZ795" i="3"/>
  <c r="EE795" i="3" s="1"/>
  <c r="CZ796" i="3"/>
  <c r="EE796" i="3" s="1"/>
  <c r="DE718" i="3"/>
  <c r="FO718" i="3" s="1"/>
  <c r="DE719" i="3"/>
  <c r="FO719" i="3" s="1"/>
  <c r="DE720" i="3"/>
  <c r="FO720" i="3" s="1"/>
  <c r="DE721" i="3"/>
  <c r="FO721" i="3" s="1"/>
  <c r="DE722" i="3"/>
  <c r="FO722" i="3" s="1"/>
  <c r="DE723" i="3"/>
  <c r="FO723" i="3" s="1"/>
  <c r="DE724" i="3"/>
  <c r="FO724" i="3" s="1"/>
  <c r="DE725" i="3"/>
  <c r="FO725"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52" i="3"/>
  <c r="FO752" i="3" s="1"/>
  <c r="DE773" i="3"/>
  <c r="DE774" i="3"/>
  <c r="DE775" i="3"/>
  <c r="DE776" i="3"/>
  <c r="DE787" i="3"/>
  <c r="EJ787" i="3" s="1"/>
  <c r="DE788" i="3"/>
  <c r="EJ788" i="3" s="1"/>
  <c r="DE789" i="3"/>
  <c r="EJ789" i="3" s="1"/>
  <c r="DE790" i="3"/>
  <c r="EJ790" i="3" s="1"/>
  <c r="DE791" i="3"/>
  <c r="EJ791" i="3" s="1"/>
  <c r="DE792" i="3"/>
  <c r="EJ792" i="3" s="1"/>
  <c r="DE793" i="3"/>
  <c r="EJ793" i="3" s="1"/>
  <c r="DE794" i="3"/>
  <c r="EJ794" i="3" s="1"/>
  <c r="DE795" i="3"/>
  <c r="EJ795" i="3" s="1"/>
  <c r="DE796" i="3"/>
  <c r="EJ796" i="3" s="1"/>
  <c r="DO787" i="3"/>
  <c r="ET787" i="3" s="1"/>
  <c r="DO788" i="3"/>
  <c r="ET788" i="3" s="1"/>
  <c r="DO789" i="3"/>
  <c r="ET789" i="3" s="1"/>
  <c r="DO790" i="3"/>
  <c r="ET790" i="3" s="1"/>
  <c r="DO791" i="3"/>
  <c r="ET791" i="3" s="1"/>
  <c r="DO792" i="3"/>
  <c r="ET792" i="3" s="1"/>
  <c r="DO793" i="3"/>
  <c r="ET793" i="3" s="1"/>
  <c r="DO794" i="3"/>
  <c r="ET794" i="3" s="1"/>
  <c r="DO795" i="3"/>
  <c r="ET795" i="3" s="1"/>
  <c r="DO796" i="3"/>
  <c r="ET796" i="3" s="1"/>
  <c r="DO773" i="3"/>
  <c r="DO774" i="3"/>
  <c r="DO775" i="3"/>
  <c r="DO776" i="3"/>
  <c r="DO718" i="3"/>
  <c r="FY718" i="3" s="1"/>
  <c r="DO719" i="3"/>
  <c r="FY719" i="3" s="1"/>
  <c r="DO720" i="3"/>
  <c r="FY720" i="3" s="1"/>
  <c r="DO721" i="3"/>
  <c r="FY721" i="3" s="1"/>
  <c r="DO722" i="3"/>
  <c r="FY722" i="3" s="1"/>
  <c r="DO723" i="3"/>
  <c r="FY723" i="3" s="1"/>
  <c r="DO724" i="3"/>
  <c r="FY724" i="3" s="1"/>
  <c r="DO725" i="3"/>
  <c r="FY725" i="3" s="1"/>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52" i="3"/>
  <c r="FY752" i="3" s="1"/>
  <c r="DJ718" i="3"/>
  <c r="FT718" i="3" s="1"/>
  <c r="DJ719" i="3"/>
  <c r="FT719" i="3" s="1"/>
  <c r="DJ720" i="3"/>
  <c r="FT720" i="3" s="1"/>
  <c r="DJ721" i="3"/>
  <c r="FT721" i="3" s="1"/>
  <c r="DJ722" i="3"/>
  <c r="FT722" i="3" s="1"/>
  <c r="DJ723" i="3"/>
  <c r="FT723" i="3" s="1"/>
  <c r="DJ724" i="3"/>
  <c r="FT724" i="3" s="1"/>
  <c r="DJ725" i="3"/>
  <c r="FT725"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52" i="3"/>
  <c r="FT752" i="3" s="1"/>
  <c r="DJ773" i="3"/>
  <c r="DJ774" i="3"/>
  <c r="DJ775" i="3"/>
  <c r="DJ776" i="3"/>
  <c r="DJ787" i="3"/>
  <c r="DJ788" i="3"/>
  <c r="EO788" i="3" s="1"/>
  <c r="DJ789" i="3"/>
  <c r="EO789" i="3" s="1"/>
  <c r="DJ790" i="3"/>
  <c r="EO790" i="3" s="1"/>
  <c r="DJ791" i="3"/>
  <c r="EO791" i="3" s="1"/>
  <c r="DJ792" i="3"/>
  <c r="EO792" i="3" s="1"/>
  <c r="DJ793" i="3"/>
  <c r="EO793" i="3" s="1"/>
  <c r="DJ794" i="3"/>
  <c r="EO794" i="3" s="1"/>
  <c r="DJ795" i="3"/>
  <c r="EO795" i="3" s="1"/>
  <c r="DJ796" i="3"/>
  <c r="EO796" i="3" s="1"/>
  <c r="AJ1001" i="3"/>
  <c r="AJ1007" i="3"/>
  <c r="AJ1011" i="3"/>
  <c r="AJ1013" i="3"/>
  <c r="AJ1041" i="3"/>
  <c r="CG719" i="3"/>
  <c r="CI719" i="3" s="1"/>
  <c r="CG720" i="3"/>
  <c r="CI720" i="3" s="1"/>
  <c r="CG721" i="3"/>
  <c r="CI721" i="3" s="1"/>
  <c r="CG722" i="3"/>
  <c r="CI722" i="3" s="1"/>
  <c r="CG723" i="3"/>
  <c r="CI723" i="3" s="1"/>
  <c r="CG724" i="3"/>
  <c r="CI724" i="3" s="1"/>
  <c r="CG725" i="3"/>
  <c r="CI725" i="3" s="1"/>
  <c r="CG726" i="3"/>
  <c r="CI726" i="3" s="1"/>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52" i="3"/>
  <c r="CI752" i="3" s="1"/>
  <c r="CK718" i="3"/>
  <c r="CM718" i="3" s="1"/>
  <c r="CK719" i="3"/>
  <c r="CM719" i="3" s="1"/>
  <c r="CK720" i="3"/>
  <c r="CM720" i="3" s="1"/>
  <c r="CK721" i="3"/>
  <c r="CM721" i="3" s="1"/>
  <c r="CK722" i="3"/>
  <c r="CM722" i="3" s="1"/>
  <c r="CK723" i="3"/>
  <c r="CM723" i="3" s="1"/>
  <c r="CK724" i="3"/>
  <c r="CM724" i="3" s="1"/>
  <c r="CK725" i="3"/>
  <c r="CM725"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52" i="3"/>
  <c r="CM752" i="3" s="1"/>
  <c r="AO639" i="3"/>
  <c r="AD64" i="15"/>
  <c r="W700" i="3"/>
  <c r="BE69" i="3" s="1"/>
  <c r="BG226" i="3"/>
  <c r="BG227" i="3"/>
  <c r="BG228" i="3"/>
  <c r="BG229" i="3"/>
  <c r="BG230" i="3"/>
  <c r="BG232" i="3"/>
  <c r="BG233" i="3"/>
  <c r="BG234" i="3"/>
  <c r="BG236" i="3"/>
  <c r="BG237" i="3"/>
  <c r="BG238" i="3"/>
  <c r="BG239" i="3"/>
  <c r="BG240" i="3"/>
  <c r="BG241" i="3"/>
  <c r="M232" i="3"/>
  <c r="AG450" i="3"/>
  <c r="BE24" i="3" s="1"/>
  <c r="O797" i="3"/>
  <c r="O777" i="3"/>
  <c r="AP95" i="20"/>
  <c r="BF718" i="3"/>
  <c r="BF719" i="3"/>
  <c r="BF720" i="3"/>
  <c r="BF721" i="3"/>
  <c r="BF722" i="3"/>
  <c r="BF723" i="3"/>
  <c r="BF724" i="3"/>
  <c r="BF725" i="3"/>
  <c r="BF726" i="3"/>
  <c r="BF727" i="3"/>
  <c r="BF728" i="3"/>
  <c r="BF729" i="3"/>
  <c r="BF730" i="3"/>
  <c r="BF731" i="3"/>
  <c r="BF732" i="3"/>
  <c r="BF733" i="3"/>
  <c r="BF734" i="3"/>
  <c r="BF735" i="3"/>
  <c r="BF736" i="3"/>
  <c r="BF737" i="3"/>
  <c r="BF738" i="3"/>
  <c r="BF739" i="3"/>
  <c r="AJ652" i="20"/>
  <c r="AJ792" i="20"/>
  <c r="AP294" i="20"/>
  <c r="AP295" i="20" s="1"/>
  <c r="AK338" i="20" s="1"/>
  <c r="AO31" i="20"/>
  <c r="AO32" i="20" s="1"/>
  <c r="AO26" i="20"/>
  <c r="AO21" i="20"/>
  <c r="AO20" i="20"/>
  <c r="AO16" i="20"/>
  <c r="AO15" i="20"/>
  <c r="AO14" i="20"/>
  <c r="G131" i="21"/>
  <c r="G128" i="21"/>
  <c r="E130" i="21" s="1"/>
  <c r="I9" i="21"/>
  <c r="S26" i="4"/>
  <c r="E26" i="13" s="1"/>
  <c r="C26" i="4"/>
  <c r="B26" i="13" s="1"/>
  <c r="G72" i="21"/>
  <c r="G78" i="21" s="1"/>
  <c r="G109" i="21"/>
  <c r="M20" i="21"/>
  <c r="M21" i="21"/>
  <c r="M22" i="21"/>
  <c r="M23" i="21"/>
  <c r="M24" i="21"/>
  <c r="M25" i="21"/>
  <c r="M26" i="21"/>
  <c r="M27" i="21"/>
  <c r="M28" i="21"/>
  <c r="M29" i="21"/>
  <c r="M30" i="21"/>
  <c r="M31" i="21"/>
  <c r="M32" i="21"/>
  <c r="M33" i="21"/>
  <c r="M34" i="21"/>
  <c r="M35" i="21"/>
  <c r="M36" i="21"/>
  <c r="M37" i="21"/>
  <c r="M38" i="21"/>
  <c r="M39" i="21"/>
  <c r="M40" i="21"/>
  <c r="M41" i="21"/>
  <c r="M42" i="21"/>
  <c r="M43" i="21"/>
  <c r="M44" i="21"/>
  <c r="L97" i="21"/>
  <c r="L98" i="21"/>
  <c r="L99" i="21"/>
  <c r="L101" i="21"/>
  <c r="L102" i="21"/>
  <c r="L103" i="21"/>
  <c r="L104"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B4" i="8"/>
  <c r="G4" i="8" s="1"/>
  <c r="B5" i="8"/>
  <c r="G5" i="8" s="1"/>
  <c r="B6" i="8"/>
  <c r="G6" i="8" s="1"/>
  <c r="G70" i="21"/>
  <c r="B10" i="8"/>
  <c r="G10" i="8" s="1"/>
  <c r="E88" i="21"/>
  <c r="E79" i="21"/>
  <c r="B35" i="21"/>
  <c r="B20" i="21"/>
  <c r="B7" i="8"/>
  <c r="G7" i="8" s="1"/>
  <c r="AK285" i="20"/>
  <c r="T814" i="20" s="1"/>
  <c r="AF814" i="20" s="1"/>
  <c r="BE78" i="3" s="1"/>
  <c r="B24" i="4"/>
  <c r="R36" i="4"/>
  <c r="B36" i="4"/>
  <c r="B66" i="4"/>
  <c r="B67" i="4"/>
  <c r="E67" i="4" s="1"/>
  <c r="B68" i="4"/>
  <c r="B69" i="4"/>
  <c r="E69" i="4" s="1"/>
  <c r="R66" i="4"/>
  <c r="R67" i="4"/>
  <c r="S67" i="4" s="1"/>
  <c r="S70" i="4" s="1"/>
  <c r="E70" i="13" s="1"/>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21" i="20" a="1"/>
  <c r="AV121" i="20" s="1"/>
  <c r="AV120" i="20" a="1"/>
  <c r="AV120" i="20" s="1"/>
  <c r="AV119" i="20" a="1"/>
  <c r="AV119" i="20" s="1"/>
  <c r="AV118" i="20" a="1"/>
  <c r="AV118" i="20" s="1"/>
  <c r="AV117" i="20" a="1"/>
  <c r="AV117" i="20" s="1"/>
  <c r="AV116" i="20" a="1"/>
  <c r="AV116" i="20" s="1"/>
  <c r="AU121" i="20"/>
  <c r="AU120" i="20"/>
  <c r="AU119" i="20"/>
  <c r="AU118" i="20"/>
  <c r="AU117" i="20"/>
  <c r="AU116" i="20"/>
  <c r="H100" i="13"/>
  <c r="H101" i="13"/>
  <c r="H102" i="13"/>
  <c r="H103" i="13"/>
  <c r="E100" i="13"/>
  <c r="E101" i="13"/>
  <c r="E102" i="13"/>
  <c r="E103" i="13"/>
  <c r="B100" i="13"/>
  <c r="B101" i="13"/>
  <c r="B102" i="13"/>
  <c r="B103" i="13"/>
  <c r="A69" i="13"/>
  <c r="H66" i="13"/>
  <c r="H67" i="13"/>
  <c r="H68" i="13"/>
  <c r="H69" i="13"/>
  <c r="E66" i="13"/>
  <c r="E68" i="13"/>
  <c r="E69" i="13"/>
  <c r="B66" i="13"/>
  <c r="B67" i="13"/>
  <c r="B68" i="13"/>
  <c r="B69" i="13"/>
  <c r="A53" i="13"/>
  <c r="H36" i="13"/>
  <c r="E36" i="13"/>
  <c r="B36" i="13"/>
  <c r="H24" i="13"/>
  <c r="E24" i="13"/>
  <c r="B24" i="13"/>
  <c r="C104" i="4"/>
  <c r="B104" i="13" s="1"/>
  <c r="B99" i="4"/>
  <c r="J99" i="4" s="1"/>
  <c r="J104" i="4" s="1"/>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I54" i="7"/>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A61" i="15"/>
  <c r="BA479" i="3"/>
  <c r="BA470" i="3"/>
  <c r="G24" i="7"/>
  <c r="I24" i="7" s="1"/>
  <c r="K24" i="7" s="1"/>
  <c r="M24" i="7" s="1"/>
  <c r="O24" i="7" s="1"/>
  <c r="Q24" i="7" s="1"/>
  <c r="S24" i="7" s="1"/>
  <c r="U24" i="7" s="1"/>
  <c r="W24" i="7" s="1"/>
  <c r="Y24" i="7" s="1"/>
  <c r="AA24" i="7" s="1"/>
  <c r="AC24" i="7" s="1"/>
  <c r="AE24" i="7" s="1"/>
  <c r="AG24" i="7" s="1"/>
  <c r="B100" i="4"/>
  <c r="R100" i="4"/>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36" i="20"/>
  <c r="AQ112" i="20"/>
  <c r="AO130" i="20"/>
  <c r="AO131" i="20"/>
  <c r="AO132" i="20"/>
  <c r="AO133" i="20"/>
  <c r="AO134" i="20"/>
  <c r="AO135" i="20"/>
  <c r="AO136" i="20"/>
  <c r="AO113" i="20"/>
  <c r="AO114" i="20"/>
  <c r="AO115" i="20"/>
  <c r="AO116" i="20"/>
  <c r="AO117" i="20"/>
  <c r="AO118" i="20"/>
  <c r="AO119" i="20"/>
  <c r="AO120" i="20"/>
  <c r="AO121" i="20"/>
  <c r="AO122" i="20"/>
  <c r="AO123" i="20"/>
  <c r="AO124" i="20"/>
  <c r="AO125" i="20"/>
  <c r="AO126" i="20"/>
  <c r="AO127" i="20"/>
  <c r="AO128" i="20"/>
  <c r="AO129" i="20"/>
  <c r="AO112" i="20"/>
  <c r="BS719" i="3"/>
  <c r="BS720" i="3"/>
  <c r="BS721" i="3"/>
  <c r="BS722" i="3"/>
  <c r="BS723" i="3"/>
  <c r="BS724" i="3"/>
  <c r="BS725" i="3"/>
  <c r="BS726" i="3"/>
  <c r="BS727" i="3"/>
  <c r="BS728" i="3"/>
  <c r="BS729" i="3"/>
  <c r="BS730" i="3"/>
  <c r="BS731" i="3"/>
  <c r="BS732" i="3"/>
  <c r="BS733" i="3"/>
  <c r="BS734" i="3"/>
  <c r="BS735" i="3"/>
  <c r="BS736" i="3"/>
  <c r="BS737" i="3"/>
  <c r="BS738" i="3"/>
  <c r="BS739" i="3"/>
  <c r="BS740" i="3"/>
  <c r="BS741" i="3"/>
  <c r="BS718" i="3"/>
  <c r="AH729" i="3"/>
  <c r="X729" i="3"/>
  <c r="AH726" i="3"/>
  <c r="X726" i="3"/>
  <c r="AH727" i="3"/>
  <c r="X727" i="3"/>
  <c r="AH725" i="3"/>
  <c r="X725" i="3"/>
  <c r="AH728" i="3"/>
  <c r="X728" i="3"/>
  <c r="AB245" i="20"/>
  <c r="AB247" i="20" s="1"/>
  <c r="AB233" i="20"/>
  <c r="AB232" i="20"/>
  <c r="AB231" i="20"/>
  <c r="AB230" i="20"/>
  <c r="AB229" i="20"/>
  <c r="AB228" i="20"/>
  <c r="AB227" i="20"/>
  <c r="AB226" i="20"/>
  <c r="AB225" i="20"/>
  <c r="AB224" i="20"/>
  <c r="AF820" i="20"/>
  <c r="AG523" i="20"/>
  <c r="AG519" i="20"/>
  <c r="AG515" i="20"/>
  <c r="AG512" i="20"/>
  <c r="AG508" i="20"/>
  <c r="AG503" i="20"/>
  <c r="AG498" i="20"/>
  <c r="AG496" i="20"/>
  <c r="AG492" i="20"/>
  <c r="AG487" i="20"/>
  <c r="AG485" i="20"/>
  <c r="AG480" i="20"/>
  <c r="AP373" i="20"/>
  <c r="AP372" i="20"/>
  <c r="AP371" i="20"/>
  <c r="AP370" i="20"/>
  <c r="AP369" i="20"/>
  <c r="AP368" i="20"/>
  <c r="AP365" i="20"/>
  <c r="AP364" i="20"/>
  <c r="AP363" i="20"/>
  <c r="AP362" i="20"/>
  <c r="AP361" i="20"/>
  <c r="AP360" i="20"/>
  <c r="AP359" i="20"/>
  <c r="AP358" i="20"/>
  <c r="AP357" i="20"/>
  <c r="AJ781" i="20"/>
  <c r="AJ765" i="20"/>
  <c r="AJ753" i="20"/>
  <c r="AJ737" i="20"/>
  <c r="AJ687" i="20"/>
  <c r="AJ640" i="20"/>
  <c r="T810" i="20"/>
  <c r="T809" i="20"/>
  <c r="AO70" i="20"/>
  <c r="AO69" i="20"/>
  <c r="AO68" i="20"/>
  <c r="A3" i="15"/>
  <c r="T11" i="4"/>
  <c r="H11" i="13" s="1"/>
  <c r="R10" i="4"/>
  <c r="R91" i="4"/>
  <c r="R84" i="4"/>
  <c r="B59" i="4"/>
  <c r="C80" i="11"/>
  <c r="C81" i="11"/>
  <c r="B80" i="11"/>
  <c r="B81" i="11"/>
  <c r="I96" i="13"/>
  <c r="J96" i="13"/>
  <c r="J81" i="13"/>
  <c r="I81" i="13"/>
  <c r="G81" i="13"/>
  <c r="D81" i="13"/>
  <c r="H80" i="13"/>
  <c r="E80" i="13"/>
  <c r="B80" i="13"/>
  <c r="D81" i="4"/>
  <c r="F81" i="4"/>
  <c r="G81" i="4"/>
  <c r="H81" i="4"/>
  <c r="I81" i="4"/>
  <c r="J81" i="4"/>
  <c r="K81" i="4"/>
  <c r="L81" i="4"/>
  <c r="M81" i="4"/>
  <c r="N81" i="4"/>
  <c r="O81" i="4"/>
  <c r="P81" i="4"/>
  <c r="Q81" i="4"/>
  <c r="T81" i="4"/>
  <c r="H81" i="13" s="1"/>
  <c r="C81" i="4"/>
  <c r="B81" i="13" s="1"/>
  <c r="B80" i="4"/>
  <c r="R80" i="4" s="1"/>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2" i="13"/>
  <c r="E91" i="13"/>
  <c r="E90" i="13"/>
  <c r="E87" i="13"/>
  <c r="E85" i="13"/>
  <c r="E84" i="13"/>
  <c r="E65" i="13"/>
  <c r="E53" i="13"/>
  <c r="E52" i="13"/>
  <c r="E51" i="13"/>
  <c r="E50" i="13"/>
  <c r="E47" i="13"/>
  <c r="E46" i="13"/>
  <c r="E45" i="13"/>
  <c r="F54" i="13" s="1"/>
  <c r="E43" i="13"/>
  <c r="E41" i="13"/>
  <c r="E37" i="13"/>
  <c r="E34" i="13"/>
  <c r="E27" i="13"/>
  <c r="E25" i="13"/>
  <c r="E23" i="13"/>
  <c r="E22" i="13"/>
  <c r="E21" i="13"/>
  <c r="E20" i="13"/>
  <c r="E19" i="13"/>
  <c r="E18" i="13"/>
  <c r="E17" i="13"/>
  <c r="E15" i="13"/>
  <c r="E14" i="13"/>
  <c r="E13" i="13"/>
  <c r="E10" i="13"/>
  <c r="B99" i="13"/>
  <c r="C104" i="13" s="1"/>
  <c r="B95" i="13"/>
  <c r="B94" i="13"/>
  <c r="B93" i="13"/>
  <c r="B92" i="13"/>
  <c r="B91" i="13"/>
  <c r="B90" i="13"/>
  <c r="B89" i="13"/>
  <c r="B88" i="13"/>
  <c r="B87" i="13"/>
  <c r="B86" i="13"/>
  <c r="B85" i="13"/>
  <c r="B84" i="13"/>
  <c r="B83" i="13"/>
  <c r="B79" i="13"/>
  <c r="C81" i="13" s="1"/>
  <c r="B76" i="13"/>
  <c r="B75" i="13"/>
  <c r="C77" i="13" s="1"/>
  <c r="B74" i="13"/>
  <c r="B73" i="13"/>
  <c r="B72" i="13"/>
  <c r="B65" i="13"/>
  <c r="B61" i="13"/>
  <c r="B60" i="13"/>
  <c r="B59" i="13"/>
  <c r="B58" i="13"/>
  <c r="B57" i="13"/>
  <c r="B56" i="13"/>
  <c r="B53" i="13"/>
  <c r="B52" i="13"/>
  <c r="B51" i="13"/>
  <c r="B50" i="13"/>
  <c r="B49" i="13"/>
  <c r="B48" i="13"/>
  <c r="B47" i="13"/>
  <c r="B46" i="13"/>
  <c r="B45" i="13"/>
  <c r="B43" i="13"/>
  <c r="C42" i="4"/>
  <c r="B42" i="13" s="1"/>
  <c r="B41" i="13"/>
  <c r="B40" i="13"/>
  <c r="C42" i="13" s="1"/>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C8" i="13" s="1"/>
  <c r="J104" i="13"/>
  <c r="I104" i="13"/>
  <c r="G104" i="13"/>
  <c r="D104" i="13"/>
  <c r="G96" i="13"/>
  <c r="D96" i="13"/>
  <c r="D77" i="13"/>
  <c r="J70" i="13"/>
  <c r="I70" i="13"/>
  <c r="G70" i="13"/>
  <c r="D70" i="13"/>
  <c r="D62" i="13"/>
  <c r="C62" i="13"/>
  <c r="J54" i="13"/>
  <c r="I54" i="13"/>
  <c r="G54" i="13"/>
  <c r="D54" i="13"/>
  <c r="J42" i="13"/>
  <c r="I42" i="13"/>
  <c r="G42" i="13"/>
  <c r="F26" i="13"/>
  <c r="D42" i="13"/>
  <c r="J38" i="13"/>
  <c r="I38" i="13"/>
  <c r="G38" i="13"/>
  <c r="D38" i="13"/>
  <c r="J26" i="13"/>
  <c r="I26" i="13"/>
  <c r="I11" i="13"/>
  <c r="G26" i="13"/>
  <c r="D26" i="13"/>
  <c r="C26" i="13"/>
  <c r="J11" i="13"/>
  <c r="D11" i="13"/>
  <c r="C11" i="13"/>
  <c r="D8" i="13"/>
  <c r="T104" i="4"/>
  <c r="H104" i="13" s="1"/>
  <c r="R103" i="4"/>
  <c r="R102" i="4"/>
  <c r="R101" i="4"/>
  <c r="R92" i="4"/>
  <c r="R90" i="4"/>
  <c r="R87" i="4"/>
  <c r="R85" i="4"/>
  <c r="R76" i="4"/>
  <c r="R72" i="4"/>
  <c r="R73" i="4"/>
  <c r="R74" i="4"/>
  <c r="R61" i="4"/>
  <c r="R60" i="4"/>
  <c r="R59" i="4"/>
  <c r="R58" i="4"/>
  <c r="R57" i="4"/>
  <c r="R56" i="4"/>
  <c r="R52" i="4"/>
  <c r="R51" i="4"/>
  <c r="R50" i="4"/>
  <c r="R43" i="4"/>
  <c r="R41" i="4"/>
  <c r="R37" i="4"/>
  <c r="R34" i="4"/>
  <c r="R33" i="4"/>
  <c r="S33" i="4" s="1"/>
  <c r="E33" i="13" s="1"/>
  <c r="R32" i="4"/>
  <c r="S32" i="4" s="1"/>
  <c r="E32" i="13" s="1"/>
  <c r="R31" i="4"/>
  <c r="S31" i="4" s="1"/>
  <c r="E31" i="13" s="1"/>
  <c r="R30" i="4"/>
  <c r="S30" i="4" s="1"/>
  <c r="E30" i="13" s="1"/>
  <c r="R29" i="4"/>
  <c r="S29" i="4" s="1"/>
  <c r="E29" i="13" s="1"/>
  <c r="R27" i="4"/>
  <c r="R25" i="4"/>
  <c r="R23" i="4"/>
  <c r="R22" i="4"/>
  <c r="R21" i="4"/>
  <c r="R20" i="4"/>
  <c r="R19" i="4"/>
  <c r="R18" i="4"/>
  <c r="R17" i="4"/>
  <c r="R15" i="4"/>
  <c r="R14" i="4"/>
  <c r="R13" i="4"/>
  <c r="R9" i="4"/>
  <c r="R7"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A5" i="8"/>
  <c r="D5" i="8"/>
  <c r="A6" i="8"/>
  <c r="D6" i="8"/>
  <c r="A7" i="8"/>
  <c r="D7" i="8"/>
  <c r="I7" i="8" s="1"/>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C38" i="4"/>
  <c r="B38" i="13" s="1"/>
  <c r="C54" i="4"/>
  <c r="C62" i="4"/>
  <c r="B62" i="13" s="1"/>
  <c r="C77" i="4"/>
  <c r="B77" i="13" s="1"/>
  <c r="C96" i="4"/>
  <c r="B96" i="13" s="1"/>
  <c r="D8" i="4"/>
  <c r="D11" i="4"/>
  <c r="D26" i="4"/>
  <c r="B26" i="4" s="1"/>
  <c r="D38" i="4"/>
  <c r="D42" i="4"/>
  <c r="D54" i="4"/>
  <c r="D62" i="4"/>
  <c r="D77" i="4"/>
  <c r="D96" i="4"/>
  <c r="D104" i="4"/>
  <c r="F2" i="4"/>
  <c r="G2" i="4"/>
  <c r="H2" i="4"/>
  <c r="I2" i="4"/>
  <c r="J2" i="4"/>
  <c r="K2" i="4"/>
  <c r="L2" i="4"/>
  <c r="M2" i="4"/>
  <c r="N2" i="4"/>
  <c r="O2" i="4"/>
  <c r="P2" i="4"/>
  <c r="Q2" i="4"/>
  <c r="B4" i="4"/>
  <c r="B5" i="4"/>
  <c r="E5" i="4" s="1"/>
  <c r="R5" i="4" s="1"/>
  <c r="B6" i="4"/>
  <c r="E6" i="4" s="1"/>
  <c r="R6" i="4" s="1"/>
  <c r="B7" i="4"/>
  <c r="F8" i="4"/>
  <c r="G8" i="4"/>
  <c r="G11" i="4"/>
  <c r="H8" i="4"/>
  <c r="H11" i="4"/>
  <c r="I8" i="4"/>
  <c r="I11" i="4"/>
  <c r="J8" i="4"/>
  <c r="J11" i="4"/>
  <c r="J26" i="4"/>
  <c r="J38" i="4"/>
  <c r="J42" i="4"/>
  <c r="J54" i="4"/>
  <c r="J62" i="4"/>
  <c r="J70" i="4"/>
  <c r="J77" i="4"/>
  <c r="J96" i="4"/>
  <c r="K8" i="4"/>
  <c r="K11" i="4"/>
  <c r="L8" i="4"/>
  <c r="L11" i="4"/>
  <c r="M8" i="4"/>
  <c r="M11" i="4"/>
  <c r="N8" i="4"/>
  <c r="O8" i="4"/>
  <c r="Q8" i="4"/>
  <c r="Q11" i="4"/>
  <c r="B9" i="4"/>
  <c r="B10" i="4"/>
  <c r="E11" i="4"/>
  <c r="F11" i="4"/>
  <c r="F26" i="4"/>
  <c r="F38" i="4"/>
  <c r="F42" i="4"/>
  <c r="F54" i="4"/>
  <c r="F62" i="4"/>
  <c r="N11" i="4"/>
  <c r="O11" i="4"/>
  <c r="B13" i="4"/>
  <c r="B14" i="4"/>
  <c r="B15" i="4"/>
  <c r="AD210" i="20"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E35" i="4" s="1"/>
  <c r="R35" i="4" s="1"/>
  <c r="S35" i="4" s="1"/>
  <c r="B37" i="4"/>
  <c r="E38" i="4"/>
  <c r="G38" i="4"/>
  <c r="H38" i="4"/>
  <c r="K38" i="4"/>
  <c r="L38" i="4"/>
  <c r="O38" i="4"/>
  <c r="P38" i="4"/>
  <c r="P42" i="4"/>
  <c r="P54" i="4"/>
  <c r="P62" i="4"/>
  <c r="P70" i="4"/>
  <c r="P77" i="4"/>
  <c r="P96" i="4"/>
  <c r="P104" i="4"/>
  <c r="Q38" i="4"/>
  <c r="B40" i="4"/>
  <c r="E40" i="4" s="1"/>
  <c r="E42" i="4" s="1"/>
  <c r="B41" i="4"/>
  <c r="G42" i="4"/>
  <c r="H42" i="4"/>
  <c r="K42" i="4"/>
  <c r="L42" i="4"/>
  <c r="O42" i="4"/>
  <c r="Q42" i="4"/>
  <c r="B43" i="4"/>
  <c r="B45" i="4"/>
  <c r="E45" i="4" s="1"/>
  <c r="B46" i="4"/>
  <c r="E46" i="4" s="1"/>
  <c r="R46" i="4" s="1"/>
  <c r="B47" i="4"/>
  <c r="E47" i="4" s="1"/>
  <c r="R47" i="4" s="1"/>
  <c r="B48" i="4"/>
  <c r="E48" i="4" s="1"/>
  <c r="R48" i="4" s="1"/>
  <c r="S48" i="4" s="1"/>
  <c r="E48" i="13" s="1"/>
  <c r="B49" i="4"/>
  <c r="E49" i="4" s="1"/>
  <c r="R49" i="4" s="1"/>
  <c r="S49" i="4" s="1"/>
  <c r="S54" i="4" s="1"/>
  <c r="E54" i="13" s="1"/>
  <c r="B50" i="4"/>
  <c r="B51" i="4"/>
  <c r="B52" i="4"/>
  <c r="B53" i="4"/>
  <c r="E53" i="4" s="1"/>
  <c r="R53" i="4" s="1"/>
  <c r="G54" i="4"/>
  <c r="H54" i="4"/>
  <c r="K54" i="4"/>
  <c r="L54" i="4"/>
  <c r="O54" i="4"/>
  <c r="Q54" i="4"/>
  <c r="B56" i="4"/>
  <c r="B57" i="4"/>
  <c r="B58" i="4"/>
  <c r="B60" i="4"/>
  <c r="B61" i="4"/>
  <c r="E62" i="4"/>
  <c r="G62" i="4"/>
  <c r="H62" i="4"/>
  <c r="K62" i="4"/>
  <c r="L62" i="4"/>
  <c r="O62" i="4"/>
  <c r="O70" i="4"/>
  <c r="O77" i="4"/>
  <c r="O96" i="4"/>
  <c r="O104" i="4"/>
  <c r="Q62" i="4"/>
  <c r="B65" i="4"/>
  <c r="E65" i="4" s="1"/>
  <c r="R65" i="4" s="1"/>
  <c r="F70" i="4"/>
  <c r="G70" i="4"/>
  <c r="H70" i="4"/>
  <c r="I70" i="4"/>
  <c r="K70" i="4"/>
  <c r="L70" i="4"/>
  <c r="Q70" i="4"/>
  <c r="B72" i="4"/>
  <c r="B73" i="4"/>
  <c r="B74" i="4"/>
  <c r="B75" i="4"/>
  <c r="E75" i="4" s="1"/>
  <c r="R75" i="4" s="1"/>
  <c r="B76" i="4"/>
  <c r="E77" i="4"/>
  <c r="F77" i="4"/>
  <c r="G77" i="4"/>
  <c r="H77" i="4"/>
  <c r="I77" i="4"/>
  <c r="K77" i="4"/>
  <c r="L77" i="4"/>
  <c r="Q77" i="4"/>
  <c r="B79" i="4"/>
  <c r="E79" i="4" s="1"/>
  <c r="R79" i="4" s="1"/>
  <c r="S79" i="4" s="1"/>
  <c r="B83" i="4"/>
  <c r="E83" i="4" s="1"/>
  <c r="R83" i="4" s="1"/>
  <c r="B84" i="4"/>
  <c r="B85" i="4"/>
  <c r="B86" i="4"/>
  <c r="E86" i="4" s="1"/>
  <c r="R86" i="4" s="1"/>
  <c r="S86" i="4" s="1"/>
  <c r="E86" i="13" s="1"/>
  <c r="B87" i="4"/>
  <c r="B88" i="4"/>
  <c r="E88" i="4" s="1"/>
  <c r="R88" i="4" s="1"/>
  <c r="B89" i="4"/>
  <c r="E89" i="4" s="1"/>
  <c r="R89" i="4" s="1"/>
  <c r="S89" i="4" s="1"/>
  <c r="E89" i="13" s="1"/>
  <c r="B90" i="4"/>
  <c r="B91" i="4"/>
  <c r="B92" i="4"/>
  <c r="B93" i="4"/>
  <c r="E93" i="4" s="1"/>
  <c r="R93" i="4" s="1"/>
  <c r="S93" i="4" s="1"/>
  <c r="E93" i="13" s="1"/>
  <c r="B94" i="4"/>
  <c r="E94" i="4" s="1"/>
  <c r="R94" i="4" s="1"/>
  <c r="S94" i="4" s="1"/>
  <c r="E94" i="13" s="1"/>
  <c r="B95" i="4"/>
  <c r="E95" i="4" s="1"/>
  <c r="R95" i="4" s="1"/>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18" i="3"/>
  <c r="AF418" i="3" s="1"/>
  <c r="AP582" i="20" s="1"/>
  <c r="BA453" i="3"/>
  <c r="BA454" i="3"/>
  <c r="BA461" i="3"/>
  <c r="BA462" i="3"/>
  <c r="BA469" i="3"/>
  <c r="BA478" i="3"/>
  <c r="BI542" i="3"/>
  <c r="BI543" i="3"/>
  <c r="BI550" i="3"/>
  <c r="BI551" i="3"/>
  <c r="BI558" i="3"/>
  <c r="BI559" i="3"/>
  <c r="G568" i="3"/>
  <c r="Z568" i="3"/>
  <c r="BI566" i="3"/>
  <c r="BI567" i="3"/>
  <c r="G577" i="3"/>
  <c r="Z577" i="3"/>
  <c r="G585" i="3"/>
  <c r="Z585" i="3"/>
  <c r="G593" i="3"/>
  <c r="Z593" i="3"/>
  <c r="G601" i="3"/>
  <c r="Z601" i="3"/>
  <c r="DU718" i="3"/>
  <c r="DZ718" i="3"/>
  <c r="EE718" i="3"/>
  <c r="EJ718" i="3"/>
  <c r="EO718" i="3"/>
  <c r="ET718" i="3"/>
  <c r="DU719" i="3"/>
  <c r="DZ719" i="3"/>
  <c r="EE719" i="3"/>
  <c r="EJ719" i="3"/>
  <c r="EO719" i="3"/>
  <c r="ET719" i="3"/>
  <c r="DU720" i="3"/>
  <c r="DZ720" i="3"/>
  <c r="EE720" i="3"/>
  <c r="EJ720" i="3"/>
  <c r="EO720" i="3"/>
  <c r="ET720" i="3"/>
  <c r="DU721" i="3"/>
  <c r="DZ721" i="3"/>
  <c r="EE721" i="3"/>
  <c r="EJ721" i="3"/>
  <c r="EO721" i="3"/>
  <c r="ET721" i="3"/>
  <c r="DU722" i="3"/>
  <c r="DZ722" i="3"/>
  <c r="EE722" i="3"/>
  <c r="EJ722" i="3"/>
  <c r="EO722" i="3"/>
  <c r="ET722" i="3"/>
  <c r="DU723" i="3"/>
  <c r="DZ723" i="3"/>
  <c r="EE723" i="3"/>
  <c r="EJ723" i="3"/>
  <c r="EO723" i="3"/>
  <c r="ET723" i="3"/>
  <c r="G609" i="3"/>
  <c r="Z609" i="3"/>
  <c r="DU724" i="3"/>
  <c r="DZ724" i="3"/>
  <c r="EE724" i="3"/>
  <c r="EJ724" i="3"/>
  <c r="EO724" i="3"/>
  <c r="ET724" i="3"/>
  <c r="DU725" i="3"/>
  <c r="DZ725" i="3"/>
  <c r="EE725" i="3"/>
  <c r="EJ725" i="3"/>
  <c r="EO725" i="3"/>
  <c r="ET725"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52" i="3"/>
  <c r="DZ752" i="3"/>
  <c r="EE752" i="3"/>
  <c r="EJ752" i="3"/>
  <c r="EO752" i="3"/>
  <c r="ET752" i="3"/>
  <c r="G643" i="3"/>
  <c r="Z643" i="3"/>
  <c r="G651" i="3"/>
  <c r="Z651" i="3"/>
  <c r="G659" i="3"/>
  <c r="Z659" i="3"/>
  <c r="G667" i="3"/>
  <c r="Z667" i="3"/>
  <c r="AH724" i="3"/>
  <c r="G675" i="3"/>
  <c r="Z675" i="3"/>
  <c r="G683" i="3"/>
  <c r="Z683" i="3"/>
  <c r="X718" i="3"/>
  <c r="AH718" i="3" s="1"/>
  <c r="X719" i="3"/>
  <c r="AH719" i="3" s="1"/>
  <c r="X720" i="3"/>
  <c r="X721" i="3"/>
  <c r="X722" i="3"/>
  <c r="X723" i="3"/>
  <c r="X724" i="3"/>
  <c r="X730" i="3"/>
  <c r="X731" i="3"/>
  <c r="X732" i="3"/>
  <c r="X733" i="3"/>
  <c r="X734" i="3"/>
  <c r="X735" i="3"/>
  <c r="X736" i="3"/>
  <c r="X737" i="3"/>
  <c r="X738" i="3"/>
  <c r="X739" i="3"/>
  <c r="X740" i="3"/>
  <c r="X741" i="3"/>
  <c r="M832" i="3"/>
  <c r="Q832" i="3"/>
  <c r="U832" i="3"/>
  <c r="Y832" i="3"/>
  <c r="AC832" i="3"/>
  <c r="AG832" i="3"/>
  <c r="Z902" i="3"/>
  <c r="E49" i="13" l="1"/>
  <c r="E70" i="4"/>
  <c r="R99" i="4"/>
  <c r="S99" i="4" s="1"/>
  <c r="E99" i="13" s="1"/>
  <c r="F104" i="13" s="1"/>
  <c r="D88" i="11"/>
  <c r="D87" i="11"/>
  <c r="D32" i="11"/>
  <c r="C70" i="13"/>
  <c r="E96" i="4"/>
  <c r="S104" i="4"/>
  <c r="BA1058" i="3" s="1"/>
  <c r="S38" i="4"/>
  <c r="E38" i="13" s="1"/>
  <c r="E54" i="4"/>
  <c r="C96" i="13"/>
  <c r="C54" i="13"/>
  <c r="R40" i="4"/>
  <c r="C38" i="13"/>
  <c r="F96" i="13"/>
  <c r="E79" i="13"/>
  <c r="F81" i="13" s="1"/>
  <c r="S81" i="4"/>
  <c r="E81" i="13" s="1"/>
  <c r="E35" i="13"/>
  <c r="F38" i="13" s="1"/>
  <c r="S96" i="4"/>
  <c r="E96" i="13" s="1"/>
  <c r="E67" i="13"/>
  <c r="F70" i="13" s="1"/>
  <c r="R45" i="4"/>
  <c r="R54" i="4" s="1"/>
  <c r="BE23" i="3"/>
  <c r="E4" i="4"/>
  <c r="E81" i="4"/>
  <c r="R69" i="4"/>
  <c r="R70" i="4" s="1"/>
  <c r="D90" i="11"/>
  <c r="D89" i="11"/>
  <c r="D6" i="11"/>
  <c r="AH723" i="3"/>
  <c r="D70" i="11"/>
  <c r="D94" i="11"/>
  <c r="D93" i="11"/>
  <c r="D92" i="11"/>
  <c r="D101" i="11"/>
  <c r="D54" i="11"/>
  <c r="D91" i="11"/>
  <c r="D103" i="11"/>
  <c r="AH722" i="3"/>
  <c r="D36" i="11"/>
  <c r="D35" i="11"/>
  <c r="D25" i="11"/>
  <c r="D34" i="11"/>
  <c r="D33" i="11"/>
  <c r="C105" i="11"/>
  <c r="C82" i="11"/>
  <c r="D86" i="11"/>
  <c r="D85" i="11"/>
  <c r="D96" i="11"/>
  <c r="D95" i="11"/>
  <c r="B8" i="4"/>
  <c r="N189" i="23" s="1"/>
  <c r="D104" i="11"/>
  <c r="C12" i="4"/>
  <c r="B12" i="13" s="1"/>
  <c r="D75" i="11"/>
  <c r="D62" i="11"/>
  <c r="D58" i="11"/>
  <c r="D47" i="11"/>
  <c r="L12" i="4"/>
  <c r="D38" i="11"/>
  <c r="B42" i="4"/>
  <c r="B104" i="4"/>
  <c r="H12" i="4"/>
  <c r="D51" i="11"/>
  <c r="D49" i="11"/>
  <c r="B78" i="11"/>
  <c r="D48" i="11"/>
  <c r="D20" i="11"/>
  <c r="D15" i="11"/>
  <c r="D8" i="11"/>
  <c r="D100" i="11"/>
  <c r="D41" i="11"/>
  <c r="D12" i="13"/>
  <c r="D74" i="11"/>
  <c r="C12" i="13"/>
  <c r="D77" i="11"/>
  <c r="D73" i="11"/>
  <c r="D53" i="11"/>
  <c r="D50" i="11"/>
  <c r="D21" i="11"/>
  <c r="D16" i="11"/>
  <c r="B12" i="11"/>
  <c r="D5" i="11"/>
  <c r="D76" i="11"/>
  <c r="D66" i="11"/>
  <c r="D59" i="11"/>
  <c r="D42" i="11"/>
  <c r="D28" i="11"/>
  <c r="N63" i="4"/>
  <c r="N97" i="4" s="1"/>
  <c r="N105" i="4" s="1"/>
  <c r="D12" i="4"/>
  <c r="C43" i="11"/>
  <c r="D43" i="11" s="1"/>
  <c r="F12" i="4"/>
  <c r="D11" i="11"/>
  <c r="C63" i="11"/>
  <c r="B55" i="11"/>
  <c r="D24" i="11"/>
  <c r="B39" i="11"/>
  <c r="B71" i="11"/>
  <c r="B105" i="11"/>
  <c r="O12" i="4"/>
  <c r="D10" i="11"/>
  <c r="B43" i="11"/>
  <c r="Q12" i="4"/>
  <c r="K12" i="4"/>
  <c r="D61" i="11"/>
  <c r="D57" i="11"/>
  <c r="B9" i="11"/>
  <c r="J12" i="4"/>
  <c r="B54" i="4"/>
  <c r="D30" i="11"/>
  <c r="D22" i="11"/>
  <c r="R77" i="4"/>
  <c r="D80" i="11"/>
  <c r="D31" i="11"/>
  <c r="B62" i="4"/>
  <c r="O63" i="4"/>
  <c r="O97" i="4" s="1"/>
  <c r="O105" i="4" s="1"/>
  <c r="M63" i="4"/>
  <c r="M97" i="4" s="1"/>
  <c r="M105" i="4" s="1"/>
  <c r="N12" i="4"/>
  <c r="I12" i="4"/>
  <c r="B70" i="4"/>
  <c r="D102" i="11"/>
  <c r="P63" i="4"/>
  <c r="P97" i="4" s="1"/>
  <c r="P105" i="4" s="1"/>
  <c r="F63" i="4"/>
  <c r="F97" i="4" s="1"/>
  <c r="F105" i="4" s="1"/>
  <c r="I63" i="13"/>
  <c r="I97" i="13" s="1"/>
  <c r="I105" i="13" s="1"/>
  <c r="I107" i="13" s="1"/>
  <c r="C71" i="11"/>
  <c r="R38" i="4"/>
  <c r="B81" i="4"/>
  <c r="R11" i="4"/>
  <c r="G58" i="7"/>
  <c r="I63" i="4"/>
  <c r="I97" i="4" s="1"/>
  <c r="I105" i="4" s="1"/>
  <c r="L63" i="4"/>
  <c r="L97" i="4" s="1"/>
  <c r="L105" i="4" s="1"/>
  <c r="D52" i="11"/>
  <c r="D44" i="11"/>
  <c r="D18" i="11"/>
  <c r="C12" i="11"/>
  <c r="J63" i="4"/>
  <c r="J97" i="4" s="1"/>
  <c r="J105" i="4" s="1"/>
  <c r="Q63" i="4"/>
  <c r="Q97" i="4" s="1"/>
  <c r="Q105" i="4" s="1"/>
  <c r="B11" i="4"/>
  <c r="C39" i="11"/>
  <c r="C97" i="11"/>
  <c r="J63" i="13"/>
  <c r="J97" i="13" s="1"/>
  <c r="J105" i="13" s="1"/>
  <c r="J107" i="13" s="1"/>
  <c r="D81" i="11"/>
  <c r="R104" i="4"/>
  <c r="B77" i="4"/>
  <c r="C78" i="11"/>
  <c r="D60" i="11"/>
  <c r="M12" i="4"/>
  <c r="D63" i="4"/>
  <c r="D97" i="4" s="1"/>
  <c r="D105" i="4" s="1"/>
  <c r="BE68" i="3" s="1"/>
  <c r="R26" i="4"/>
  <c r="R42" i="4"/>
  <c r="R62" i="4"/>
  <c r="D63" i="13"/>
  <c r="D97" i="13" s="1"/>
  <c r="D105" i="13" s="1"/>
  <c r="B97" i="11"/>
  <c r="C55" i="11"/>
  <c r="D23" i="11"/>
  <c r="D19" i="11"/>
  <c r="D14" i="11"/>
  <c r="D7" i="11"/>
  <c r="R96" i="4"/>
  <c r="G63" i="13"/>
  <c r="G97" i="13" s="1"/>
  <c r="G105" i="13" s="1"/>
  <c r="G107" i="13" s="1"/>
  <c r="R81" i="4"/>
  <c r="M53" i="7"/>
  <c r="K58" i="7"/>
  <c r="N188" i="23"/>
  <c r="C27" i="11"/>
  <c r="AB48" i="15"/>
  <c r="D46" i="11"/>
  <c r="B82" i="11"/>
  <c r="H63" i="4"/>
  <c r="H97" i="4" s="1"/>
  <c r="H105" i="4" s="1"/>
  <c r="G63" i="4"/>
  <c r="G97" i="4" s="1"/>
  <c r="G105" i="4" s="1"/>
  <c r="I58" i="7"/>
  <c r="C9" i="11"/>
  <c r="B63" i="11"/>
  <c r="T63" i="4"/>
  <c r="B96" i="4"/>
  <c r="B38" i="4"/>
  <c r="D84" i="11"/>
  <c r="B54" i="13"/>
  <c r="K63" i="4"/>
  <c r="K97" i="4" s="1"/>
  <c r="K105" i="4" s="1"/>
  <c r="CI753" i="3"/>
  <c r="X1048" i="3" s="1"/>
  <c r="BG243" i="3"/>
  <c r="BO245" i="3" s="1"/>
  <c r="T267" i="3" s="1"/>
  <c r="AH721" i="3"/>
  <c r="G144" i="21"/>
  <c r="G143" i="21"/>
  <c r="J7" i="8"/>
  <c r="J40" i="8" s="1"/>
  <c r="Z809" i="3" s="1"/>
  <c r="S38" i="21"/>
  <c r="S37" i="21"/>
  <c r="S36" i="21"/>
  <c r="S43" i="21"/>
  <c r="S35" i="21"/>
  <c r="S42" i="21"/>
  <c r="S34" i="21"/>
  <c r="U20" i="21"/>
  <c r="S41" i="21"/>
  <c r="U33" i="21"/>
  <c r="S33" i="21"/>
  <c r="S44" i="21"/>
  <c r="S40" i="21"/>
  <c r="U32" i="21"/>
  <c r="S32" i="21"/>
  <c r="U24" i="21"/>
  <c r="U28" i="21"/>
  <c r="S39" i="21"/>
  <c r="AH720" i="3"/>
  <c r="T22" i="21"/>
  <c r="U22" i="21"/>
  <c r="U37" i="21"/>
  <c r="U29" i="21"/>
  <c r="T21" i="21"/>
  <c r="U21" i="21"/>
  <c r="T44" i="21"/>
  <c r="U44"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Y1011" i="3"/>
  <c r="AF1017" i="3" s="1"/>
  <c r="C9" i="7"/>
  <c r="E9" i="7" s="1"/>
  <c r="C7" i="7"/>
  <c r="G12" i="4"/>
  <c r="AF1014" i="3"/>
  <c r="G99" i="21"/>
  <c r="C63" i="4"/>
  <c r="B63" i="13" s="1"/>
  <c r="AA29" i="7"/>
  <c r="O29" i="7"/>
  <c r="AY1003" i="3"/>
  <c r="I1048"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07" i="20"/>
  <c r="AP587" i="20"/>
  <c r="AJ1016" i="3"/>
  <c r="BS753" i="3"/>
  <c r="BT751" i="3" s="1"/>
  <c r="BU751" i="3" s="1"/>
  <c r="AB234" i="20"/>
  <c r="AB250" i="20" s="1"/>
  <c r="AB252" i="20" s="1"/>
  <c r="AB254" i="20" s="1"/>
  <c r="AB260" i="20" s="1"/>
  <c r="AD209" i="20" s="1"/>
  <c r="AO71" i="20"/>
  <c r="AP375" i="20"/>
  <c r="AQ375" i="20" s="1"/>
  <c r="AK535" i="20"/>
  <c r="T813" i="20" s="1"/>
  <c r="AF813" i="20" s="1"/>
  <c r="BF753" i="3"/>
  <c r="CU753" i="3"/>
  <c r="EC648" i="3" s="1"/>
  <c r="FE718" i="3"/>
  <c r="FE753" i="3" s="1"/>
  <c r="Y7" i="15"/>
  <c r="AI7" i="15"/>
  <c r="EZ718" i="3"/>
  <c r="CP753" i="3"/>
  <c r="DX669" i="3" s="1"/>
  <c r="DU753" i="3"/>
  <c r="AG29" i="7"/>
  <c r="AC28" i="7"/>
  <c r="AO641" i="3"/>
  <c r="K29" i="7"/>
  <c r="S29" i="7"/>
  <c r="AG28" i="7"/>
  <c r="Y28" i="7"/>
  <c r="U28" i="7"/>
  <c r="S28" i="7"/>
  <c r="Q28" i="7"/>
  <c r="W28" i="7"/>
  <c r="I28" i="7"/>
  <c r="O28" i="7"/>
  <c r="AA28" i="7"/>
  <c r="G28" i="7"/>
  <c r="M28" i="7"/>
  <c r="K28" i="7"/>
  <c r="AG40" i="7"/>
  <c r="AG43" i="7" s="1"/>
  <c r="S40" i="7"/>
  <c r="S43" i="7" s="1"/>
  <c r="AK183" i="20"/>
  <c r="AP366" i="20"/>
  <c r="AQ366" i="20" s="1"/>
  <c r="T816" i="20"/>
  <c r="T808" i="20"/>
  <c r="AF808" i="20" s="1"/>
  <c r="BE75" i="3" s="1"/>
  <c r="P44" i="21" a="1"/>
  <c r="P44" i="21" s="1"/>
  <c r="R21" i="21" a="1"/>
  <c r="R21" i="21" s="1"/>
  <c r="G32" i="7"/>
  <c r="I32" i="7" s="1"/>
  <c r="K32" i="7" s="1"/>
  <c r="M32" i="7" s="1"/>
  <c r="O32" i="7" s="1"/>
  <c r="Q32" i="7" s="1"/>
  <c r="S32" i="7" s="1"/>
  <c r="U32" i="7" s="1"/>
  <c r="W32" i="7" s="1"/>
  <c r="Y32" i="7" s="1"/>
  <c r="AA32" i="7" s="1"/>
  <c r="AC32" i="7" s="1"/>
  <c r="AE32" i="7" s="1"/>
  <c r="AG32" i="7" s="1"/>
  <c r="AC40" i="7"/>
  <c r="AC43" i="7" s="1"/>
  <c r="I40" i="7"/>
  <c r="I43" i="7" s="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G445" i="3"/>
  <c r="AD27" i="15" s="1"/>
  <c r="ET753" i="3"/>
  <c r="T24" i="21"/>
  <c r="B27" i="11"/>
  <c r="D26" i="11"/>
  <c r="T30" i="21"/>
  <c r="T7" i="15"/>
  <c r="E43" i="7"/>
  <c r="AC29" i="7"/>
  <c r="M29" i="7"/>
  <c r="R44" i="21" a="1"/>
  <c r="R44" i="21" s="1"/>
  <c r="Q40" i="7"/>
  <c r="Q43" i="7" s="1"/>
  <c r="U40" i="7"/>
  <c r="U43" i="7" s="1"/>
  <c r="G29" i="7"/>
  <c r="Q29" i="7"/>
  <c r="AA40" i="7"/>
  <c r="AA43" i="7" s="1"/>
  <c r="Y40" i="7"/>
  <c r="Y43" i="7" s="1"/>
  <c r="M40" i="7"/>
  <c r="M43" i="7" s="1"/>
  <c r="AE29" i="7"/>
  <c r="P36" i="21" a="1"/>
  <c r="P36" i="21" s="1"/>
  <c r="T28" i="21"/>
  <c r="AE40" i="7"/>
  <c r="AE43" i="7" s="1"/>
  <c r="W40" i="7"/>
  <c r="W43" i="7" s="1"/>
  <c r="W29" i="7"/>
  <c r="P40" i="21" a="1"/>
  <c r="P40" i="21" s="1"/>
  <c r="O40" i="7"/>
  <c r="O43" i="7" s="1"/>
  <c r="U29" i="7"/>
  <c r="R25" i="21" a="1"/>
  <c r="R25" i="21" s="1"/>
  <c r="T36" i="21"/>
  <c r="T42" i="21"/>
  <c r="AD68" i="15"/>
  <c r="CU777" i="3"/>
  <c r="CY778" i="3" s="1"/>
  <c r="EJ753" i="3"/>
  <c r="T33" i="21"/>
  <c r="DO777" i="3"/>
  <c r="DS778" i="3" s="1"/>
  <c r="CZ777" i="3"/>
  <c r="DD778" i="3" s="1"/>
  <c r="EE753" i="3"/>
  <c r="DE777" i="3"/>
  <c r="DI778" i="3" s="1"/>
  <c r="R39" i="21" a="1"/>
  <c r="R39" i="21" s="1"/>
  <c r="EO753" i="3"/>
  <c r="R27" i="21" a="1"/>
  <c r="R27" i="21" s="1"/>
  <c r="DJ777" i="3"/>
  <c r="DN778" i="3" s="1"/>
  <c r="DO797" i="3"/>
  <c r="DS798" i="3" s="1"/>
  <c r="AC797" i="3"/>
  <c r="G8" i="7"/>
  <c r="DZ797" i="3"/>
  <c r="R35" i="21" a="1"/>
  <c r="R35" i="21" s="1"/>
  <c r="R43" i="21" a="1"/>
  <c r="R43" i="21" s="1"/>
  <c r="R31" i="21" a="1"/>
  <c r="R31" i="21" s="1"/>
  <c r="R988" i="3"/>
  <c r="R987" i="3"/>
  <c r="R986" i="3"/>
  <c r="AC777" i="3"/>
  <c r="T41" i="21"/>
  <c r="E105" i="20"/>
  <c r="R23" i="21" a="1"/>
  <c r="R23" i="21" s="1"/>
  <c r="E104" i="20"/>
  <c r="R40" i="21" a="1"/>
  <c r="R40" i="21" s="1"/>
  <c r="AC883" i="3"/>
  <c r="P34" i="21" a="1"/>
  <c r="P34" i="21" s="1"/>
  <c r="P41" i="21" a="1"/>
  <c r="P41" i="21" s="1"/>
  <c r="R29" i="21" a="1"/>
  <c r="R29" i="21" s="1"/>
  <c r="DZ753" i="3"/>
  <c r="R34" i="21" a="1"/>
  <c r="R34" i="21" s="1"/>
  <c r="CP777" i="3"/>
  <c r="CT778" i="3" s="1"/>
  <c r="P35" i="21" a="1"/>
  <c r="P35" i="21" s="1"/>
  <c r="R990" i="3"/>
  <c r="FT753" i="3"/>
  <c r="CZ797" i="3"/>
  <c r="DD798" i="3" s="1"/>
  <c r="EE794" i="3"/>
  <c r="EE797" i="3" s="1"/>
  <c r="R32" i="21" a="1"/>
  <c r="R32" i="21" s="1"/>
  <c r="P32" i="21" a="1"/>
  <c r="P32" i="21" s="1"/>
  <c r="T32" i="21"/>
  <c r="T26" i="21"/>
  <c r="R26" i="21" a="1"/>
  <c r="R26" i="21" s="1"/>
  <c r="CM753" i="3"/>
  <c r="X1052" i="3" s="1"/>
  <c r="DJ753" i="3"/>
  <c r="AX692" i="20" s="1"/>
  <c r="CU797" i="3"/>
  <c r="CY798" i="3" s="1"/>
  <c r="M18" i="21"/>
  <c r="R37" i="21" a="1"/>
  <c r="R37" i="21" s="1"/>
  <c r="P37" i="21" a="1"/>
  <c r="P37" i="21" s="1"/>
  <c r="T37" i="21"/>
  <c r="DO753" i="3"/>
  <c r="AX693" i="20" s="1"/>
  <c r="DE753" i="3"/>
  <c r="AX691" i="20" s="1"/>
  <c r="ET797" i="3"/>
  <c r="DJ797" i="3"/>
  <c r="DN798" i="3" s="1"/>
  <c r="EO787" i="3"/>
  <c r="EO797" i="3" s="1"/>
  <c r="EJ797" i="3"/>
  <c r="AC884" i="3"/>
  <c r="DE797" i="3"/>
  <c r="DI798" i="3" s="1"/>
  <c r="CZ753" i="3"/>
  <c r="FJ753" i="3"/>
  <c r="DU790" i="3"/>
  <c r="DU797" i="3" s="1"/>
  <c r="CP797" i="3"/>
  <c r="P39" i="21" a="1"/>
  <c r="P39" i="21" s="1"/>
  <c r="AV122" i="20"/>
  <c r="AW121" i="20" s="1"/>
  <c r="R36" i="21" a="1"/>
  <c r="R36" i="21" s="1"/>
  <c r="R22" i="21" a="1"/>
  <c r="R22" i="21" s="1"/>
  <c r="T38" i="21"/>
  <c r="T29" i="21"/>
  <c r="T20" i="21"/>
  <c r="P38" i="21" a="1"/>
  <c r="P38" i="21" s="1"/>
  <c r="R38" i="21" a="1"/>
  <c r="R38" i="21" s="1"/>
  <c r="R20" i="21" a="1"/>
  <c r="R20" i="21" s="1"/>
  <c r="P33" i="21" a="1"/>
  <c r="P33"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60" i="21"/>
  <c r="E26" i="21"/>
  <c r="E24" i="21"/>
  <c r="F24" i="21" s="1"/>
  <c r="G40" i="8"/>
  <c r="I15" i="7"/>
  <c r="E28" i="21"/>
  <c r="E25" i="21"/>
  <c r="F25" i="21" s="1"/>
  <c r="G25" i="21" s="1"/>
  <c r="S40" i="4" l="1"/>
  <c r="S42" i="4" s="1"/>
  <c r="E42" i="13" s="1"/>
  <c r="E104" i="13"/>
  <c r="S63" i="4"/>
  <c r="S97" i="4" s="1"/>
  <c r="C63" i="13"/>
  <c r="C97" i="13" s="1"/>
  <c r="C105" i="13" s="1"/>
  <c r="E8" i="4"/>
  <c r="R4" i="4"/>
  <c r="R8" i="4" s="1"/>
  <c r="R63" i="4" s="1"/>
  <c r="R97" i="4" s="1"/>
  <c r="R105" i="4" s="1"/>
  <c r="AJ621" i="20"/>
  <c r="AK794" i="20" s="1"/>
  <c r="T819" i="20" s="1"/>
  <c r="AF819" i="20" s="1"/>
  <c r="BE82" i="3" s="1"/>
  <c r="G94" i="21"/>
  <c r="N195" i="23"/>
  <c r="D55" i="11"/>
  <c r="D105" i="11"/>
  <c r="D82" i="11"/>
  <c r="D71" i="11"/>
  <c r="B12" i="4"/>
  <c r="D39" i="11"/>
  <c r="D78" i="11"/>
  <c r="D12" i="11"/>
  <c r="D63" i="11"/>
  <c r="B13" i="11"/>
  <c r="C64" i="11"/>
  <c r="C98" i="11" s="1"/>
  <c r="B64" i="11"/>
  <c r="B98" i="11" s="1"/>
  <c r="B106" i="11" s="1"/>
  <c r="B63" i="4"/>
  <c r="D27" i="11"/>
  <c r="D97" i="11"/>
  <c r="T97" i="4"/>
  <c r="H63" i="13"/>
  <c r="AO39" i="20"/>
  <c r="AK62" i="20" s="1"/>
  <c r="T804" i="20" s="1"/>
  <c r="AF804" i="20" s="1"/>
  <c r="BE71" i="3" s="1"/>
  <c r="D9" i="11"/>
  <c r="C13" i="11"/>
  <c r="O53" i="7"/>
  <c r="M58" i="7"/>
  <c r="BA1039" i="3"/>
  <c r="BA1048" i="3" s="1" a="1"/>
  <c r="BA1048" i="3" s="1"/>
  <c r="AO42" i="20"/>
  <c r="AS360" i="20"/>
  <c r="G9" i="7"/>
  <c r="C97" i="4"/>
  <c r="C105" i="4" s="1"/>
  <c r="AC455" i="3" s="1"/>
  <c r="G130" i="21"/>
  <c r="G132" i="21" s="1"/>
  <c r="I16" i="21" s="1"/>
  <c r="AY1005" i="3"/>
  <c r="DX635" i="3"/>
  <c r="BG752" i="3"/>
  <c r="BH752" i="3" s="1"/>
  <c r="BG751" i="3"/>
  <c r="BH751" i="3" s="1"/>
  <c r="BT719" i="3"/>
  <c r="BU719" i="3" s="1"/>
  <c r="BT727" i="3"/>
  <c r="BU727" i="3" s="1"/>
  <c r="BT735" i="3"/>
  <c r="BU735" i="3" s="1"/>
  <c r="BT743" i="3"/>
  <c r="BU743" i="3" s="1"/>
  <c r="BT752" i="3"/>
  <c r="BU752" i="3" s="1"/>
  <c r="BT720" i="3"/>
  <c r="BU720" i="3" s="1"/>
  <c r="BT728" i="3"/>
  <c r="BU728" i="3" s="1"/>
  <c r="BT736" i="3"/>
  <c r="BU736" i="3" s="1"/>
  <c r="BT744" i="3"/>
  <c r="BU744" i="3" s="1"/>
  <c r="BT718" i="3"/>
  <c r="BU718" i="3" s="1"/>
  <c r="BT721" i="3"/>
  <c r="BU721" i="3" s="1"/>
  <c r="BT729" i="3"/>
  <c r="BU729" i="3" s="1"/>
  <c r="BT737" i="3"/>
  <c r="BU737" i="3" s="1"/>
  <c r="BT745" i="3"/>
  <c r="BU745" i="3" s="1"/>
  <c r="BT731" i="3"/>
  <c r="BU731" i="3" s="1"/>
  <c r="BT739" i="3"/>
  <c r="BU739" i="3" s="1"/>
  <c r="BT748" i="3"/>
  <c r="BU748" i="3" s="1"/>
  <c r="BT734" i="3"/>
  <c r="BU734" i="3" s="1"/>
  <c r="BT750" i="3"/>
  <c r="BU750" i="3" s="1"/>
  <c r="BT722" i="3"/>
  <c r="BU722" i="3" s="1"/>
  <c r="BT730" i="3"/>
  <c r="BU730" i="3" s="1"/>
  <c r="BT738" i="3"/>
  <c r="BU738" i="3" s="1"/>
  <c r="BT746" i="3"/>
  <c r="BU746" i="3" s="1"/>
  <c r="BT723" i="3"/>
  <c r="BU723" i="3" s="1"/>
  <c r="BT747" i="3"/>
  <c r="BU747" i="3" s="1"/>
  <c r="BT724" i="3"/>
  <c r="BU724" i="3" s="1"/>
  <c r="BT732" i="3"/>
  <c r="BU732" i="3" s="1"/>
  <c r="BT740" i="3"/>
  <c r="BU740" i="3" s="1"/>
  <c r="BT726" i="3"/>
  <c r="BU726" i="3" s="1"/>
  <c r="BT742" i="3"/>
  <c r="BU742" i="3" s="1"/>
  <c r="BT725" i="3"/>
  <c r="BU725" i="3" s="1"/>
  <c r="BT733" i="3"/>
  <c r="BU733" i="3" s="1"/>
  <c r="BT741" i="3"/>
  <c r="BU741" i="3" s="1"/>
  <c r="BT749" i="3"/>
  <c r="BU749" i="3" s="1"/>
  <c r="BG724" i="3"/>
  <c r="BH724" i="3" s="1"/>
  <c r="BG725" i="3"/>
  <c r="BH725" i="3" s="1"/>
  <c r="BG733" i="3"/>
  <c r="BH733" i="3" s="1"/>
  <c r="BG741" i="3"/>
  <c r="BH741" i="3" s="1"/>
  <c r="BG749" i="3"/>
  <c r="BH749" i="3" s="1"/>
  <c r="BG726" i="3"/>
  <c r="BH726" i="3" s="1"/>
  <c r="BG734" i="3"/>
  <c r="BH734" i="3" s="1"/>
  <c r="BG742" i="3"/>
  <c r="BH742" i="3" s="1"/>
  <c r="BG750" i="3"/>
  <c r="BH750" i="3" s="1"/>
  <c r="BG722" i="3"/>
  <c r="BH722" i="3" s="1"/>
  <c r="BG738" i="3"/>
  <c r="BH738" i="3" s="1"/>
  <c r="BG719" i="3"/>
  <c r="BH719" i="3" s="1"/>
  <c r="BG727" i="3"/>
  <c r="BH727" i="3" s="1"/>
  <c r="BG735" i="3"/>
  <c r="BH735" i="3" s="1"/>
  <c r="BG743" i="3"/>
  <c r="BH743" i="3" s="1"/>
  <c r="BG721" i="3"/>
  <c r="BH721" i="3" s="1"/>
  <c r="BG737" i="3"/>
  <c r="BH737" i="3" s="1"/>
  <c r="BG746" i="3"/>
  <c r="BH746" i="3" s="1"/>
  <c r="BG740" i="3"/>
  <c r="BH740" i="3" s="1"/>
  <c r="BG720" i="3"/>
  <c r="BH720" i="3" s="1"/>
  <c r="BG728" i="3"/>
  <c r="BH728" i="3" s="1"/>
  <c r="BG736" i="3"/>
  <c r="BH736" i="3" s="1"/>
  <c r="BG744" i="3"/>
  <c r="BH744" i="3" s="1"/>
  <c r="BG718" i="3"/>
  <c r="BG729" i="3"/>
  <c r="BH729" i="3" s="1"/>
  <c r="BG745" i="3"/>
  <c r="BH745" i="3" s="1"/>
  <c r="BG730" i="3"/>
  <c r="BH730" i="3" s="1"/>
  <c r="BG732" i="3"/>
  <c r="BH732" i="3" s="1"/>
  <c r="BG748" i="3"/>
  <c r="BH748" i="3" s="1"/>
  <c r="BG723" i="3"/>
  <c r="BH723" i="3" s="1"/>
  <c r="BG731" i="3"/>
  <c r="BH731" i="3" s="1"/>
  <c r="BG739" i="3"/>
  <c r="BH739" i="3" s="1"/>
  <c r="BG747" i="3"/>
  <c r="BH747" i="3" s="1"/>
  <c r="E22" i="7"/>
  <c r="AX694" i="20"/>
  <c r="AY695" i="20" s="1"/>
  <c r="AS362" i="20"/>
  <c r="AS358" i="20" s="1"/>
  <c r="AK469" i="20" s="1"/>
  <c r="T817" i="20" s="1"/>
  <c r="AF817" i="20" s="1"/>
  <c r="BE80" i="3" s="1"/>
  <c r="DX661" i="3"/>
  <c r="CT755" i="3"/>
  <c r="CP802" i="3"/>
  <c r="AB986"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EW643" i="3"/>
  <c r="EW658" i="3"/>
  <c r="EW666" i="3"/>
  <c r="EW663" i="3"/>
  <c r="EW660" i="3"/>
  <c r="EW667" i="3"/>
  <c r="EW665" i="3"/>
  <c r="EW659" i="3"/>
  <c r="EW664" i="3"/>
  <c r="EW662" i="3"/>
  <c r="EW661" i="3"/>
  <c r="EC666" i="3"/>
  <c r="CY755" i="3"/>
  <c r="EC661" i="3"/>
  <c r="EC665" i="3"/>
  <c r="EC659" i="3"/>
  <c r="EC662" i="3"/>
  <c r="EC663" i="3"/>
  <c r="EC660" i="3"/>
  <c r="EC664" i="3"/>
  <c r="EC667" i="3"/>
  <c r="EC658" i="3"/>
  <c r="DX668" i="3"/>
  <c r="DX639" i="3"/>
  <c r="DX636" i="3"/>
  <c r="DX653" i="3"/>
  <c r="DX657" i="3"/>
  <c r="EC639" i="3"/>
  <c r="AC885" i="3"/>
  <c r="EC652" i="3"/>
  <c r="I1052" i="3"/>
  <c r="AY1006" i="3" s="1"/>
  <c r="T815" i="20"/>
  <c r="AF815" i="20" s="1"/>
  <c r="BE79" i="3" s="1"/>
  <c r="Y27" i="15"/>
  <c r="AI27" i="15"/>
  <c r="T27" i="15"/>
  <c r="Y800" i="3"/>
  <c r="G22" i="7"/>
  <c r="G35" i="7" s="1"/>
  <c r="EC645" i="3"/>
  <c r="EC647" i="3"/>
  <c r="EC637" i="3"/>
  <c r="EC653" i="3"/>
  <c r="EC649" i="3"/>
  <c r="DX646" i="3"/>
  <c r="EC638" i="3"/>
  <c r="EC650" i="3"/>
  <c r="DU778" i="3"/>
  <c r="EC657" i="3"/>
  <c r="EC656" i="3"/>
  <c r="EC643" i="3"/>
  <c r="EC668" i="3"/>
  <c r="EC669" i="3"/>
  <c r="EC646" i="3"/>
  <c r="EC635" i="3"/>
  <c r="EC636" i="3"/>
  <c r="EC651" i="3"/>
  <c r="EC640" i="3"/>
  <c r="EC644" i="3"/>
  <c r="EC655" i="3"/>
  <c r="AW118" i="20"/>
  <c r="AW116" i="20"/>
  <c r="EM636" i="3"/>
  <c r="EC654" i="3"/>
  <c r="EC641" i="3"/>
  <c r="I8" i="7"/>
  <c r="I9" i="7" s="1"/>
  <c r="T18" i="21"/>
  <c r="G51" i="21" s="1"/>
  <c r="Y801" i="3"/>
  <c r="E4" i="7" s="1"/>
  <c r="DU777" i="3"/>
  <c r="EC642" i="3"/>
  <c r="AW117" i="20"/>
  <c r="AW120" i="20"/>
  <c r="EH641" i="3"/>
  <c r="AG1045" i="3"/>
  <c r="DS755" i="3"/>
  <c r="EW652" i="3"/>
  <c r="EW647" i="3"/>
  <c r="EW644" i="3"/>
  <c r="EW656" i="3"/>
  <c r="EW650" i="3"/>
  <c r="EW654" i="3"/>
  <c r="EW655" i="3"/>
  <c r="EW657" i="3"/>
  <c r="EW653" i="3"/>
  <c r="EW639" i="3"/>
  <c r="EW648" i="3"/>
  <c r="DO802" i="3"/>
  <c r="EW646" i="3"/>
  <c r="EW645" i="3"/>
  <c r="EW642" i="3"/>
  <c r="EW668" i="3"/>
  <c r="EW649" i="3"/>
  <c r="EW635" i="3"/>
  <c r="EW640" i="3"/>
  <c r="EW641" i="3"/>
  <c r="EW638" i="3"/>
  <c r="EW636" i="3"/>
  <c r="EW669" i="3"/>
  <c r="FY753" i="3"/>
  <c r="EW637" i="3"/>
  <c r="DN755" i="3"/>
  <c r="DJ802"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9" i="3"/>
  <c r="ER642" i="3"/>
  <c r="CZ802" i="3"/>
  <c r="AB988" i="3" s="1"/>
  <c r="AJ988" i="3" s="1"/>
  <c r="EH643" i="3"/>
  <c r="EH654" i="3"/>
  <c r="EH639" i="3"/>
  <c r="EH651" i="3"/>
  <c r="EH635" i="3"/>
  <c r="EH647" i="3"/>
  <c r="EH645" i="3"/>
  <c r="EH649" i="3"/>
  <c r="EH650" i="3"/>
  <c r="EH669" i="3"/>
  <c r="EH638" i="3"/>
  <c r="EH652" i="3"/>
  <c r="EH648" i="3"/>
  <c r="EH636" i="3"/>
  <c r="DD755" i="3"/>
  <c r="EH642" i="3"/>
  <c r="EH640" i="3"/>
  <c r="EH655" i="3"/>
  <c r="EH644" i="3"/>
  <c r="EH657" i="3"/>
  <c r="EH646" i="3"/>
  <c r="EH656" i="3"/>
  <c r="EH668" i="3"/>
  <c r="G42" i="21" a="1"/>
  <c r="G42" i="21" s="1"/>
  <c r="G43" i="21" s="1"/>
  <c r="DX649" i="3"/>
  <c r="DX640" i="3"/>
  <c r="DX642" i="3"/>
  <c r="DX641" i="3"/>
  <c r="DX656" i="3"/>
  <c r="DX652" i="3"/>
  <c r="DX647" i="3"/>
  <c r="DX655" i="3"/>
  <c r="DX644" i="3"/>
  <c r="DX654" i="3"/>
  <c r="DX648" i="3"/>
  <c r="DO754" i="3"/>
  <c r="DX651" i="3"/>
  <c r="DX638" i="3"/>
  <c r="DX650" i="3"/>
  <c r="DX643" i="3"/>
  <c r="EH653" i="3"/>
  <c r="EW651" i="3"/>
  <c r="DX637" i="3"/>
  <c r="EZ753" i="3"/>
  <c r="ER650" i="3"/>
  <c r="AW119" i="20"/>
  <c r="DX645" i="3"/>
  <c r="CU802" i="3"/>
  <c r="AB987" i="3" s="1"/>
  <c r="AJ987" i="3" s="1"/>
  <c r="ER668" i="3"/>
  <c r="CT798" i="3"/>
  <c r="DU800" i="3" s="1"/>
  <c r="DU799" i="3"/>
  <c r="DE802" i="3"/>
  <c r="AB989" i="3" s="1"/>
  <c r="AJ989" i="3" s="1"/>
  <c r="EM650" i="3"/>
  <c r="EM646" i="3"/>
  <c r="EM653" i="3"/>
  <c r="EM641" i="3"/>
  <c r="EM654" i="3"/>
  <c r="DI755" i="3"/>
  <c r="EM669" i="3"/>
  <c r="EM637" i="3"/>
  <c r="EM657" i="3"/>
  <c r="EM655" i="3"/>
  <c r="EM668" i="3"/>
  <c r="EM640" i="3"/>
  <c r="EM645" i="3"/>
  <c r="EM647" i="3"/>
  <c r="EM639" i="3"/>
  <c r="EM649" i="3"/>
  <c r="EM642" i="3"/>
  <c r="EM656" i="3"/>
  <c r="EM644" i="3"/>
  <c r="EM638" i="3"/>
  <c r="EM648" i="3"/>
  <c r="EH637" i="3"/>
  <c r="ET799" i="3"/>
  <c r="FO753" i="3"/>
  <c r="EM635" i="3"/>
  <c r="EM643" i="3"/>
  <c r="E6" i="7"/>
  <c r="K15" i="7"/>
  <c r="I22" i="7"/>
  <c r="I35" i="7" s="1"/>
  <c r="E29" i="21"/>
  <c r="G24" i="21"/>
  <c r="R12" i="4" l="1"/>
  <c r="E63" i="13"/>
  <c r="E40" i="13"/>
  <c r="F42" i="13" s="1"/>
  <c r="F63" i="13" s="1"/>
  <c r="F97" i="13" s="1"/>
  <c r="F105" i="13" s="1"/>
  <c r="F107" i="13" s="1"/>
  <c r="E63" i="4"/>
  <c r="E97" i="4" s="1"/>
  <c r="E105" i="4" s="1"/>
  <c r="E12" i="4"/>
  <c r="D64" i="11"/>
  <c r="B105" i="4"/>
  <c r="BE101" i="3"/>
  <c r="AK84" i="20"/>
  <c r="AK191" i="20" s="1"/>
  <c r="T811" i="20" s="1"/>
  <c r="AF811" i="20" s="1"/>
  <c r="BE76" i="3" s="1"/>
  <c r="D13" i="11"/>
  <c r="B97" i="13"/>
  <c r="B97" i="4"/>
  <c r="AZ1046" i="3"/>
  <c r="S105" i="4"/>
  <c r="E97" i="13"/>
  <c r="B105" i="13"/>
  <c r="AG269" i="20"/>
  <c r="O58" i="7"/>
  <c r="Q53" i="7"/>
  <c r="T105" i="4"/>
  <c r="H97" i="13"/>
  <c r="P29" i="21" a="1"/>
  <c r="P29" i="21" s="1"/>
  <c r="S29" i="21" s="1"/>
  <c r="P31" i="21" a="1"/>
  <c r="P31" i="21" s="1"/>
  <c r="S31" i="21" s="1"/>
  <c r="P30" i="21" a="1"/>
  <c r="P30" i="21" s="1"/>
  <c r="S30" i="21" s="1"/>
  <c r="P25" i="21" a="1"/>
  <c r="P25" i="21" s="1"/>
  <c r="S25" i="21" s="1"/>
  <c r="P28" i="21" a="1"/>
  <c r="P28" i="21" s="1"/>
  <c r="S28" i="21" s="1"/>
  <c r="P27" i="21" a="1"/>
  <c r="P27" i="21" s="1"/>
  <c r="S27" i="21" s="1"/>
  <c r="P26" i="21" a="1"/>
  <c r="P26" i="21" s="1"/>
  <c r="S26" i="21" s="1"/>
  <c r="P23" i="21" a="1"/>
  <c r="P23" i="21" s="1"/>
  <c r="S23" i="21" s="1"/>
  <c r="P24" i="21" a="1"/>
  <c r="P24" i="21" s="1"/>
  <c r="S24" i="21" s="1"/>
  <c r="P20" i="21" a="1"/>
  <c r="P20" i="21" s="1"/>
  <c r="S20" i="21" s="1"/>
  <c r="P22" i="21" a="1"/>
  <c r="P22" i="21" s="1"/>
  <c r="S22" i="21" s="1"/>
  <c r="P21" i="21" a="1"/>
  <c r="P21" i="21" s="1"/>
  <c r="S21" i="21" s="1"/>
  <c r="DU755" i="3"/>
  <c r="O756" i="3" s="1"/>
  <c r="BG753" i="3"/>
  <c r="BU753" i="3"/>
  <c r="AH753" i="3" s="1"/>
  <c r="BE43" i="3" s="1"/>
  <c r="E35" i="7"/>
  <c r="BT753" i="3"/>
  <c r="AX695" i="20"/>
  <c r="AO695" i="20" s="1"/>
  <c r="BH718" i="3"/>
  <c r="DX670" i="3"/>
  <c r="E130" i="20" s="1"/>
  <c r="E133" i="20" s="1"/>
  <c r="E136" i="20" s="1"/>
  <c r="AW122" i="20"/>
  <c r="K8" i="7"/>
  <c r="M8" i="7" s="1"/>
  <c r="D98" i="11"/>
  <c r="C106" i="11"/>
  <c r="D106" i="11" s="1"/>
  <c r="G4" i="7"/>
  <c r="G5" i="7" s="1"/>
  <c r="EC670" i="3"/>
  <c r="J130" i="20" s="1"/>
  <c r="J133" i="20" s="1"/>
  <c r="J136" i="20" s="1"/>
  <c r="Z818" i="3"/>
  <c r="E5" i="7"/>
  <c r="EW670" i="3"/>
  <c r="AD130" i="20" s="1"/>
  <c r="AD133" i="20" s="1"/>
  <c r="AD136" i="20" s="1"/>
  <c r="EH670" i="3"/>
  <c r="O130" i="20" s="1"/>
  <c r="O133" i="20" s="1"/>
  <c r="O136" i="20" s="1"/>
  <c r="ER670" i="3"/>
  <c r="Y130" i="20" s="1"/>
  <c r="Y133" i="20" s="1"/>
  <c r="Y136" i="20" s="1"/>
  <c r="EM670" i="3"/>
  <c r="T130" i="20" s="1"/>
  <c r="T133" i="20" s="1"/>
  <c r="T136" i="20" s="1"/>
  <c r="AJ986" i="3"/>
  <c r="AB990" i="3"/>
  <c r="AJ990" i="3" s="1"/>
  <c r="G6" i="7"/>
  <c r="E7" i="7"/>
  <c r="M15" i="7"/>
  <c r="K22" i="7"/>
  <c r="K35" i="7" s="1"/>
  <c r="F27" i="21"/>
  <c r="G61" i="21"/>
  <c r="G63" i="21" s="1"/>
  <c r="G65" i="21" s="1"/>
  <c r="E13" i="21" s="1"/>
  <c r="F28" i="21"/>
  <c r="G28" i="21" s="1"/>
  <c r="G52" i="21"/>
  <c r="G54" i="21" s="1"/>
  <c r="G56" i="21" s="1"/>
  <c r="E12" i="21" s="1"/>
  <c r="AB47" i="15" l="1"/>
  <c r="AB49" i="15" s="1"/>
  <c r="AB54" i="15" s="1"/>
  <c r="AB55" i="15" s="1"/>
  <c r="AM555" i="3"/>
  <c r="T805" i="20"/>
  <c r="AF805" i="20" s="1"/>
  <c r="BE72" i="3" s="1"/>
  <c r="AB266" i="20"/>
  <c r="AC454" i="3"/>
  <c r="N185" i="23"/>
  <c r="BE22" i="3"/>
  <c r="S107" i="4"/>
  <c r="AE699" i="3" s="1"/>
  <c r="E105" i="13"/>
  <c r="BA1056" i="3"/>
  <c r="AZ1051" i="3"/>
  <c r="H105" i="13"/>
  <c r="T107" i="4"/>
  <c r="H107" i="13" s="1"/>
  <c r="Q58" i="7"/>
  <c r="S53" i="7"/>
  <c r="G45" i="21"/>
  <c r="G47" i="21" s="1"/>
  <c r="E10" i="21" s="1"/>
  <c r="E11" i="21"/>
  <c r="AP705" i="20"/>
  <c r="AP706" i="20"/>
  <c r="I4" i="7"/>
  <c r="I5" i="7" s="1"/>
  <c r="K9" i="7"/>
  <c r="E11" i="7"/>
  <c r="E37" i="7" s="1"/>
  <c r="E49" i="7" s="1"/>
  <c r="AJ992" i="3"/>
  <c r="E138" i="20"/>
  <c r="E139" i="20" s="1"/>
  <c r="AK143" i="20" s="1"/>
  <c r="T807" i="20" s="1"/>
  <c r="AF807" i="20" s="1"/>
  <c r="BE74" i="3" s="1"/>
  <c r="AB991" i="3"/>
  <c r="DU802" i="3"/>
  <c r="U373" i="20" s="1"/>
  <c r="P421" i="3"/>
  <c r="I6" i="7"/>
  <c r="G7" i="7"/>
  <c r="G11" i="7" s="1"/>
  <c r="G37" i="7" s="1"/>
  <c r="M22" i="7"/>
  <c r="M35" i="7" s="1"/>
  <c r="O15" i="7"/>
  <c r="M9" i="7"/>
  <c r="O8" i="7"/>
  <c r="G27" i="21"/>
  <c r="F26" i="21"/>
  <c r="AA918" i="3" l="1"/>
  <c r="AD199" i="20"/>
  <c r="AD211" i="20" s="1"/>
  <c r="AG268" i="20" s="1"/>
  <c r="AG270" i="20" s="1"/>
  <c r="AK273" i="20" s="1"/>
  <c r="T812" i="20" s="1"/>
  <c r="AF812" i="20" s="1"/>
  <c r="BE77" i="3" s="1"/>
  <c r="AM566" i="3"/>
  <c r="AJ1029" i="3"/>
  <c r="AJ1032" i="3"/>
  <c r="AJ1036" i="3" s="1"/>
  <c r="I15" i="21" s="1"/>
  <c r="AC456" i="3"/>
  <c r="AD11" i="15"/>
  <c r="AD23" i="15" s="1"/>
  <c r="AD26" i="15" s="1"/>
  <c r="AD28" i="15" s="1"/>
  <c r="AI11" i="15"/>
  <c r="AI23" i="15" s="1"/>
  <c r="AI26" i="15" s="1"/>
  <c r="AI28" i="15" s="1"/>
  <c r="BE44" i="3"/>
  <c r="F457" i="3"/>
  <c r="BA1055" i="3"/>
  <c r="BA1059" i="3" s="1"/>
  <c r="N196" i="23"/>
  <c r="N186" i="23"/>
  <c r="S58" i="7"/>
  <c r="U53" i="7"/>
  <c r="AA1056" i="3"/>
  <c r="AF551" i="20"/>
  <c r="E107" i="13"/>
  <c r="AJ1045" i="3"/>
  <c r="AJ1049" i="3"/>
  <c r="AP553" i="20" s="1"/>
  <c r="AP550" i="20"/>
  <c r="K4" i="7"/>
  <c r="M4" i="7" s="1"/>
  <c r="E45" i="7"/>
  <c r="E48" i="7" s="1"/>
  <c r="G45" i="7"/>
  <c r="G49" i="7"/>
  <c r="K6" i="7"/>
  <c r="I7" i="7"/>
  <c r="I11" i="7" s="1"/>
  <c r="I37" i="7" s="1"/>
  <c r="G26" i="21"/>
  <c r="F29" i="21"/>
  <c r="G29" i="21"/>
  <c r="O22" i="7"/>
  <c r="O35" i="7" s="1"/>
  <c r="Q15" i="7"/>
  <c r="O9" i="7"/>
  <c r="Q8" i="7"/>
  <c r="T11" i="15" l="1"/>
  <c r="T23" i="15" s="1"/>
  <c r="T26" i="15" s="1"/>
  <c r="T28" i="15" s="1"/>
  <c r="Y11" i="15"/>
  <c r="Y23" i="15" s="1"/>
  <c r="Y26" i="15" s="1"/>
  <c r="Y28" i="15" s="1"/>
  <c r="Y64" i="15" s="1"/>
  <c r="Y68" i="15" s="1"/>
  <c r="Y69" i="15" s="1"/>
  <c r="U58" i="7"/>
  <c r="W53" i="7"/>
  <c r="AJ1053" i="3"/>
  <c r="AA1057" i="3" s="1"/>
  <c r="G1058" i="3" s="1"/>
  <c r="AP552" i="20"/>
  <c r="AP554" i="20" s="1"/>
  <c r="K5" i="7"/>
  <c r="E47" i="7"/>
  <c r="E60" i="7"/>
  <c r="E62" i="7" s="1"/>
  <c r="O4" i="7"/>
  <c r="M5" i="7"/>
  <c r="I45" i="7"/>
  <c r="I49" i="7"/>
  <c r="M6" i="7"/>
  <c r="K7" i="7"/>
  <c r="G60" i="7"/>
  <c r="G47" i="7"/>
  <c r="G48" i="7"/>
  <c r="Q22" i="7"/>
  <c r="Q35" i="7" s="1"/>
  <c r="S15" i="7"/>
  <c r="G79" i="21"/>
  <c r="G80" i="21" s="1"/>
  <c r="E15" i="21" s="1"/>
  <c r="G31" i="21"/>
  <c r="G33" i="21" s="1"/>
  <c r="E9" i="21" s="1"/>
  <c r="G88" i="21"/>
  <c r="G90" i="21" s="1"/>
  <c r="E16" i="21" s="1"/>
  <c r="G111" i="21"/>
  <c r="G96" i="21"/>
  <c r="Q9" i="7"/>
  <c r="S8" i="7"/>
  <c r="T29" i="15" l="1"/>
  <c r="W58" i="7"/>
  <c r="Y53" i="7"/>
  <c r="T24" i="15"/>
  <c r="Y38" i="15" s="1"/>
  <c r="Y40" i="15" s="1"/>
  <c r="AP557" i="20"/>
  <c r="AP556" i="20" s="1"/>
  <c r="AP559" i="20" s="1"/>
  <c r="AF552" i="20" s="1"/>
  <c r="AF553" i="20" s="1"/>
  <c r="AK559" i="20" s="1"/>
  <c r="T818" i="20" s="1"/>
  <c r="AF818" i="20" s="1"/>
  <c r="BE81" i="3" s="1"/>
  <c r="K11" i="7"/>
  <c r="K37" i="7" s="1"/>
  <c r="K45" i="7" s="1"/>
  <c r="E66" i="7"/>
  <c r="E67" i="7"/>
  <c r="O5" i="7"/>
  <c r="Q4" i="7"/>
  <c r="M7" i="7"/>
  <c r="M11" i="7" s="1"/>
  <c r="M37" i="7" s="1"/>
  <c r="O6" i="7"/>
  <c r="G67" i="7"/>
  <c r="G62" i="7"/>
  <c r="G66" i="7"/>
  <c r="I48" i="7"/>
  <c r="I60" i="7"/>
  <c r="I47" i="7"/>
  <c r="G101" i="21"/>
  <c r="G113" i="21"/>
  <c r="G97" i="21"/>
  <c r="S22" i="7"/>
  <c r="S35" i="7" s="1"/>
  <c r="U15" i="7"/>
  <c r="U8" i="7"/>
  <c r="S9" i="7"/>
  <c r="AA53" i="7" l="1"/>
  <c r="Y58" i="7"/>
  <c r="AD38" i="15"/>
  <c r="AD40" i="15" s="1"/>
  <c r="Y41" i="15" s="1"/>
  <c r="AB56" i="15" s="1"/>
  <c r="G115" i="21"/>
  <c r="E17" i="21" s="1"/>
  <c r="E14" i="21" s="1"/>
  <c r="E18" i="21" s="1"/>
  <c r="K49" i="7"/>
  <c r="E70" i="7"/>
  <c r="E72" i="7" s="1"/>
  <c r="S4" i="7"/>
  <c r="Q5" i="7"/>
  <c r="G70" i="7"/>
  <c r="G72" i="7" s="1"/>
  <c r="O7" i="7"/>
  <c r="O11" i="7" s="1"/>
  <c r="O37" i="7" s="1"/>
  <c r="Q6" i="7"/>
  <c r="M45" i="7"/>
  <c r="M49" i="7"/>
  <c r="I66" i="7"/>
  <c r="I67" i="7"/>
  <c r="I62" i="7"/>
  <c r="K47" i="7"/>
  <c r="K60" i="7"/>
  <c r="K48" i="7"/>
  <c r="U22" i="7"/>
  <c r="U35" i="7" s="1"/>
  <c r="W15" i="7"/>
  <c r="U9" i="7"/>
  <c r="W8" i="7"/>
  <c r="AC53" i="7" l="1"/>
  <c r="AA58" i="7"/>
  <c r="M26" i="3"/>
  <c r="BE19" i="3" s="1"/>
  <c r="U4" i="7"/>
  <c r="S5" i="7"/>
  <c r="M48" i="7"/>
  <c r="M47" i="7"/>
  <c r="M60" i="7"/>
  <c r="O45" i="7"/>
  <c r="O49" i="7"/>
  <c r="K66" i="7"/>
  <c r="K67" i="7"/>
  <c r="K62" i="7"/>
  <c r="Q7" i="7"/>
  <c r="Q11" i="7" s="1"/>
  <c r="Q37" i="7" s="1"/>
  <c r="S6" i="7"/>
  <c r="I70" i="7"/>
  <c r="I72" i="7" s="1"/>
  <c r="W22" i="7"/>
  <c r="W35" i="7" s="1"/>
  <c r="Y15" i="7"/>
  <c r="W9" i="7"/>
  <c r="Y8" i="7"/>
  <c r="AE53" i="7" l="1"/>
  <c r="AC58" i="7"/>
  <c r="AB57" i="15"/>
  <c r="P204" i="3"/>
  <c r="U5" i="7"/>
  <c r="W4" i="7"/>
  <c r="Q49" i="7"/>
  <c r="Q45" i="7"/>
  <c r="M62" i="7"/>
  <c r="M67" i="7"/>
  <c r="M66" i="7"/>
  <c r="O47" i="7"/>
  <c r="O48" i="7"/>
  <c r="O60" i="7"/>
  <c r="K70" i="7"/>
  <c r="K72" i="7" s="1"/>
  <c r="S7" i="7"/>
  <c r="S11" i="7" s="1"/>
  <c r="S37" i="7" s="1"/>
  <c r="U6" i="7"/>
  <c r="Y22" i="7"/>
  <c r="Y35" i="7" s="1"/>
  <c r="AA15" i="7"/>
  <c r="Y9" i="7"/>
  <c r="AA8" i="7"/>
  <c r="AG53" i="7" l="1"/>
  <c r="AG58" i="7" s="1"/>
  <c r="AE58" i="7"/>
  <c r="AB59" i="15"/>
  <c r="AB77" i="15" s="1"/>
  <c r="M70" i="7"/>
  <c r="M72" i="7" s="1"/>
  <c r="W5" i="7"/>
  <c r="Y4" i="7"/>
  <c r="U7" i="7"/>
  <c r="U11" i="7" s="1"/>
  <c r="U37" i="7" s="1"/>
  <c r="W6" i="7"/>
  <c r="O67" i="7"/>
  <c r="O66" i="7"/>
  <c r="O62" i="7"/>
  <c r="Q60" i="7"/>
  <c r="Q48" i="7"/>
  <c r="Q47" i="7"/>
  <c r="S49" i="7"/>
  <c r="S45" i="7"/>
  <c r="AC15" i="7"/>
  <c r="AA22" i="7"/>
  <c r="AA35" i="7" s="1"/>
  <c r="AC8" i="7"/>
  <c r="AA9" i="7"/>
  <c r="AB78" i="15" l="1"/>
  <c r="AB79" i="15" s="1"/>
  <c r="AB81" i="15" s="1"/>
  <c r="J82" i="15" s="1"/>
  <c r="AA4" i="7"/>
  <c r="Y5" i="7"/>
  <c r="Y6" i="7"/>
  <c r="W7" i="7"/>
  <c r="W11" i="7" s="1"/>
  <c r="W37" i="7" s="1"/>
  <c r="U45" i="7"/>
  <c r="U49" i="7"/>
  <c r="Q66" i="7"/>
  <c r="Q67" i="7"/>
  <c r="Q62" i="7"/>
  <c r="S48" i="7"/>
  <c r="S47" i="7"/>
  <c r="S60" i="7"/>
  <c r="O70" i="7"/>
  <c r="O72" i="7" s="1"/>
  <c r="AE15" i="7"/>
  <c r="AC22" i="7"/>
  <c r="AC35" i="7" s="1"/>
  <c r="AC9" i="7"/>
  <c r="AE8" i="7"/>
  <c r="M27" i="3" l="1"/>
  <c r="BE20" i="3" s="1"/>
  <c r="I10" i="21"/>
  <c r="I11" i="21" s="1"/>
  <c r="AA5" i="7"/>
  <c r="AC4" i="7"/>
  <c r="S67" i="7"/>
  <c r="S66" i="7"/>
  <c r="S62" i="7"/>
  <c r="U48" i="7"/>
  <c r="U60" i="7"/>
  <c r="U47" i="7"/>
  <c r="Q70" i="7"/>
  <c r="Q72" i="7" s="1"/>
  <c r="W49" i="7"/>
  <c r="W45" i="7"/>
  <c r="Y7" i="7"/>
  <c r="Y11" i="7" s="1"/>
  <c r="Y37" i="7" s="1"/>
  <c r="AA6" i="7"/>
  <c r="AE22" i="7"/>
  <c r="AE35" i="7" s="1"/>
  <c r="AG15" i="7"/>
  <c r="AG22" i="7" s="1"/>
  <c r="AG35" i="7" s="1"/>
  <c r="AE9" i="7"/>
  <c r="AG8" i="7"/>
  <c r="AG9" i="7" s="1"/>
  <c r="H4" i="21" l="1"/>
  <c r="P205" i="3"/>
  <c r="S70" i="7"/>
  <c r="S72" i="7" s="1"/>
  <c r="AC5" i="7"/>
  <c r="AE4" i="7"/>
  <c r="AC6" i="7"/>
  <c r="AA7" i="7"/>
  <c r="AA11" i="7" s="1"/>
  <c r="AA37" i="7" s="1"/>
  <c r="U66" i="7"/>
  <c r="U67" i="7"/>
  <c r="U62" i="7"/>
  <c r="Y49" i="7"/>
  <c r="Y45" i="7"/>
  <c r="W60" i="7"/>
  <c r="W47" i="7"/>
  <c r="W48" i="7"/>
  <c r="AE5" i="7" l="1"/>
  <c r="AG4" i="7"/>
  <c r="AA45" i="7"/>
  <c r="AA49" i="7"/>
  <c r="U70" i="7"/>
  <c r="U72" i="7" s="1"/>
  <c r="W67" i="7"/>
  <c r="W62" i="7"/>
  <c r="W66" i="7"/>
  <c r="Y47" i="7"/>
  <c r="Y48" i="7"/>
  <c r="Y60" i="7"/>
  <c r="AE6" i="7"/>
  <c r="AC7" i="7"/>
  <c r="AC11" i="7" s="1"/>
  <c r="AC37" i="7" s="1"/>
  <c r="AG5" i="7" l="1"/>
  <c r="W70" i="7"/>
  <c r="W72" i="7" s="1"/>
  <c r="AA60" i="7"/>
  <c r="AA47" i="7"/>
  <c r="AA48" i="7"/>
  <c r="AC45" i="7"/>
  <c r="AC49" i="7"/>
  <c r="AE7" i="7"/>
  <c r="AE11" i="7" s="1"/>
  <c r="AE37" i="7" s="1"/>
  <c r="AG6" i="7"/>
  <c r="Y67" i="7"/>
  <c r="Y62" i="7"/>
  <c r="AA62" i="7" s="1"/>
  <c r="Y66" i="7"/>
  <c r="AA66" i="7" l="1"/>
  <c r="AC62" i="7"/>
  <c r="Y70" i="7"/>
  <c r="Y72" i="7" s="1"/>
  <c r="AG7" i="7"/>
  <c r="AG11" i="7" s="1"/>
  <c r="AG37" i="7" s="1"/>
  <c r="AE49" i="7"/>
  <c r="AE45" i="7"/>
  <c r="AC60" i="7"/>
  <c r="AC48" i="7"/>
  <c r="AC47" i="7"/>
  <c r="AA67" i="7"/>
  <c r="AC66" i="7" l="1"/>
  <c r="AE62" i="7"/>
  <c r="AA70" i="7"/>
  <c r="AA72" i="7" s="1"/>
  <c r="AC67" i="7"/>
  <c r="AE47" i="7"/>
  <c r="AE60" i="7"/>
  <c r="AE48" i="7"/>
  <c r="AG49" i="7"/>
  <c r="AG45" i="7"/>
  <c r="AE66" i="7" l="1"/>
  <c r="AG62" i="7"/>
  <c r="AG48" i="7"/>
  <c r="AG60" i="7"/>
  <c r="AG47" i="7"/>
  <c r="AE67" i="7"/>
  <c r="AC70" i="7"/>
  <c r="AC72" i="7" s="1"/>
  <c r="AG66" i="7" l="1"/>
  <c r="AE70" i="7"/>
  <c r="AE72" i="7" s="1"/>
  <c r="AG67" i="7"/>
  <c r="AG70" i="7" l="1"/>
  <c r="AG72" i="7" s="1"/>
  <c r="BH753" i="3"/>
  <c r="AC753" i="3" s="1"/>
  <c r="BE42" i="3" s="1"/>
  <c r="E93" i="20" l="1"/>
  <c r="E94" i="20" s="1"/>
  <c r="E95" i="20" s="1"/>
  <c r="E103" i="20"/>
  <c r="E106" i="20" s="1"/>
  <c r="AP106" i="20" s="1"/>
  <c r="AK109" i="20" s="1"/>
  <c r="T806" i="20" s="1"/>
  <c r="AF806" i="20" s="1"/>
  <c r="BE73" i="3" l="1"/>
  <c r="AF821" i="20"/>
  <c r="BE70" i="3" s="1"/>
  <c r="H3" i="21"/>
  <c r="H5" i="21" l="1"/>
  <c r="BE83"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C554" authorId="0" shapeId="0" xr:uid="{00000000-0006-0000-0400-000002000000}">
      <text>
        <r>
          <rPr>
            <sz val="9"/>
            <color indexed="81"/>
            <rFont val="Tahoma"/>
            <family val="2"/>
          </rPr>
          <t>Input tax-exempt bond amount.  This cell is linked to the tie breaker.  Do not include any taxable bond amount.</t>
        </r>
      </text>
    </comment>
    <comment ref="Z809"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6" authorId="2"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8"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292" authorId="0" shapeId="0" xr:uid="{44D572CF-24FA-4A9D-AF74-B902460F6538}">
      <text>
        <r>
          <rPr>
            <sz val="9"/>
            <color indexed="81"/>
            <rFont val="Tahoma"/>
            <family val="2"/>
          </rPr>
          <t>*Using the sort order described in Section 5231, once projects receiving 10 points pursuant to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H779"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73" authorId="0" shapeId="0" xr:uid="{5BACA3C2-BBC2-4EBF-900D-EEDB4C09B202}">
      <text>
        <r>
          <rPr>
            <sz val="9"/>
            <color indexed="81"/>
            <rFont val="Tahoma"/>
            <family val="2"/>
          </rPr>
          <t>*as specified on the HCD Neighborhood Change Map</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<sst xmlns="http://schemas.openxmlformats.org/spreadsheetml/2006/main" count="5025" uniqueCount="2754">
  <si>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</si>
  <si>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</si>
  <si>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</si>
  <si>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</si>
  <si>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</si>
  <si>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</si>
  <si>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</si>
  <si>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</si>
  <si>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</si>
  <si>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</si>
  <si>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</si>
  <si>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</si>
  <si>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</si>
  <si>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</si>
  <si>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</si>
  <si>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</si>
  <si>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</si>
  <si>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</si>
  <si>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</si>
  <si>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</si>
  <si>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</si>
  <si>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</si>
  <si>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</si>
  <si>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</si>
  <si>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</si>
  <si>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</si>
  <si>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</si>
  <si>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</si>
  <si>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</si>
  <si>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</si>
  <si>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</si>
  <si>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</si>
  <si>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</si>
  <si>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</si>
  <si>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</si>
  <si>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</si>
  <si>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</si>
  <si>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</si>
  <si>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</si>
  <si>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</si>
  <si>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</si>
  <si>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</si>
  <si>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</si>
  <si>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</si>
  <si>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</si>
  <si>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</si>
  <si>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</si>
  <si>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</si>
  <si>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</si>
  <si>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</si>
  <si>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</si>
  <si>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</si>
  <si>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</si>
  <si>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</si>
  <si>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</si>
  <si>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</si>
  <si>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</si>
  <si>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</si>
  <si>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</si>
  <si>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</si>
  <si>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</si>
  <si>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</si>
  <si>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</si>
  <si>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</si>
  <si>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</si>
  <si>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</si>
  <si>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</si>
  <si>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</si>
  <si>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</si>
  <si>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</si>
  <si>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</si>
  <si>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</si>
  <si>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</si>
  <si>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</si>
  <si>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</si>
  <si>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</si>
  <si>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</si>
  <si>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</si>
  <si>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</si>
  <si>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</si>
  <si>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</si>
  <si>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</si>
  <si>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</si>
  <si>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</si>
  <si>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</si>
  <si>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</si>
  <si>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</si>
  <si>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</si>
  <si>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</si>
  <si>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</si>
  <si>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</si>
  <si>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</si>
  <si>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</si>
  <si>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</si>
  <si>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</si>
  <si>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</si>
  <si>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</si>
  <si>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</si>
  <si>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</si>
  <si>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</si>
  <si>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</si>
  <si>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</si>
  <si>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</si>
  <si>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</si>
  <si>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</si>
  <si>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</si>
  <si>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</si>
  <si>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</si>
  <si>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</si>
  <si>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</si>
  <si>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</si>
  <si>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</si>
  <si>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</si>
  <si>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</si>
  <si>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</si>
  <si>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</si>
  <si>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</si>
  <si>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</si>
  <si>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</si>
  <si>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</si>
  <si>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</si>
  <si>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</si>
  <si>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</si>
  <si>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</si>
  <si>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</si>
  <si>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</si>
  <si>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</si>
  <si>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</si>
  <si>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</si>
  <si>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</si>
  <si>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</si>
  <si>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</si>
  <si>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</si>
  <si>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</si>
  <si>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</si>
  <si>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</si>
  <si>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</si>
  <si>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</si>
  <si>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</si>
  <si>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</si>
  <si>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</si>
  <si>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</si>
  <si>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</si>
  <si>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</si>
  <si>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</si>
  <si>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</si>
  <si>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</si>
  <si>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</si>
  <si>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</si>
  <si>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</si>
  <si>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</si>
  <si>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</si>
  <si>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</si>
  <si>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</si>
  <si>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</si>
  <si>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</si>
  <si>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</si>
  <si>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</si>
  <si>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</si>
  <si>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</si>
  <si>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</si>
  <si>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</si>
  <si>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</si>
  <si>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</si>
  <si>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</si>
  <si>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</si>
  <si>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</si>
  <si>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</si>
  <si>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</si>
  <si>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</si>
  <si>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</si>
  <si>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</si>
  <si>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</si>
  <si>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</si>
  <si>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</si>
  <si>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</si>
  <si>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</si>
  <si>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</si>
  <si>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</si>
  <si>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</si>
  <si>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</si>
  <si>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</si>
  <si>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</si>
  <si>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</si>
  <si>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</si>
  <si>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</si>
  <si>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</si>
  <si>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</si>
  <si>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</si>
  <si>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</si>
  <si>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</si>
  <si>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</si>
  <si>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</si>
  <si>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</si>
  <si>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</si>
  <si>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</si>
  <si>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</si>
  <si>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</si>
  <si>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</si>
  <si>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</si>
  <si>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</si>
  <si>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</si>
  <si>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</si>
  <si>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</si>
  <si>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</si>
  <si>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</si>
  <si>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</si>
  <si>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</si>
  <si>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</si>
  <si>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</si>
  <si>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</si>
  <si>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</si>
  <si>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</si>
  <si>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</si>
  <si>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</si>
  <si>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</si>
  <si>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</si>
  <si>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</si>
  <si>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</si>
  <si>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</si>
  <si>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</si>
  <si>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</si>
  <si>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</si>
  <si>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</si>
  <si>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</si>
  <si>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</si>
  <si>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</si>
  <si>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</si>
  <si>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</si>
  <si>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</si>
  <si>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</si>
  <si>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</si>
  <si>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</si>
  <si>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</si>
  <si>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</si>
  <si>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</si>
  <si>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</si>
  <si>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</si>
  <si>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</si>
  <si>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</si>
  <si>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</si>
  <si>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</si>
  <si>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</si>
  <si>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</si>
  <si>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</si>
  <si>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</si>
  <si>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</si>
  <si>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</si>
  <si>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</si>
  <si>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</si>
  <si>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</si>
  <si>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</si>
  <si>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</si>
  <si>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</si>
  <si>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</si>
  <si>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</si>
  <si>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</si>
  <si>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</si>
  <si>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</si>
  <si>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</si>
  <si>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</si>
  <si>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</si>
  <si>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</si>
  <si>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</si>
  <si>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</si>
  <si>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</si>
  <si>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</si>
  <si>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</si>
  <si>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</si>
  <si>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</si>
  <si>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</si>
  <si>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</si>
  <si>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</si>
  <si>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</si>
  <si>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</si>
  <si>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</si>
  <si>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</si>
  <si>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</si>
  <si>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</si>
  <si>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</si>
  <si>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</si>
  <si>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</si>
  <si>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</si>
  <si>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</si>
  <si>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</si>
  <si>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</si>
  <si>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</si>
  <si>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</si>
  <si>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</si>
  <si>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</si>
  <si>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</si>
  <si>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</si>
  <si>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</si>
  <si>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</si>
  <si>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</si>
  <si>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</si>
  <si>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</si>
  <si>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</si>
  <si>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</si>
  <si>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</si>
  <si>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</si>
  <si>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</si>
  <si>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</si>
  <si>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</si>
  <si>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</si>
  <si>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</si>
  <si>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</si>
  <si>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</si>
  <si>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</si>
  <si>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</si>
  <si>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</si>
  <si>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</si>
  <si>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</si>
  <si>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</si>
  <si>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</si>
  <si>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</si>
  <si>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</si>
  <si>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</si>
  <si>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</si>
  <si>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</si>
  <si>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</si>
  <si>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</si>
  <si>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</si>
  <si>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</si>
  <si>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</si>
  <si>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</si>
  <si>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</si>
  <si>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</si>
  <si>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</si>
  <si>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</si>
  <si>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</si>
  <si>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</si>
  <si>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</si>
  <si>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</si>
  <si>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</si>
  <si>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</si>
  <si>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</si>
  <si>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</si>
  <si>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</si>
  <si>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</si>
  <si>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</si>
  <si>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</si>
  <si>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</si>
  <si>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</si>
  <si>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</si>
  <si>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</si>
  <si>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</si>
  <si>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</si>
  <si>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</si>
  <si>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</si>
  <si>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</si>
  <si>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</si>
  <si>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</si>
  <si>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</si>
  <si>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</si>
  <si>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</si>
  <si>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</si>
  <si>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</si>
  <si>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</si>
  <si>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</si>
  <si>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</si>
  <si>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</si>
  <si>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</si>
  <si>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</si>
  <si>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</si>
  <si>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</si>
  <si>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</si>
  <si>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</si>
  <si>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</si>
  <si>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</si>
  <si>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</si>
  <si>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</si>
  <si>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</si>
  <si>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</si>
  <si>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</si>
  <si>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</si>
  <si>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</si>
  <si>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</si>
  <si>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</si>
  <si>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</si>
  <si>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</si>
  <si>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</si>
  <si>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</si>
  <si>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</si>
  <si>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</si>
  <si>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</si>
  <si>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</si>
  <si>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</si>
  <si>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</si>
  <si>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</si>
  <si>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</si>
  <si>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</si>
  <si>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</si>
  <si>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</si>
  <si>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</si>
  <si>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</si>
  <si>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</si>
  <si>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</si>
  <si>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</si>
  <si>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</si>
  <si>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</si>
  <si>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</si>
  <si>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</si>
  <si>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</si>
  <si>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</si>
  <si>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</si>
  <si>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</si>
  <si>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</si>
  <si>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</si>
  <si>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</si>
  <si>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</si>
  <si>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</si>
  <si>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</si>
  <si>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</si>
  <si>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</si>
  <si>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</si>
  <si>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</si>
  <si>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</si>
  <si>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</si>
  <si>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</si>
  <si>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</si>
  <si>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</si>
  <si>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</si>
  <si>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</si>
  <si>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</si>
  <si>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</si>
  <si>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</si>
  <si>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</si>
  <si>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</si>
  <si>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</si>
  <si>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</si>
  <si>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</si>
  <si>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</si>
  <si>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</si>
  <si>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</si>
  <si>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</si>
  <si>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</si>
  <si>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</si>
  <si>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</si>
  <si>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</si>
  <si>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</si>
  <si>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</si>
  <si>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</si>
  <si>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</si>
  <si>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</si>
  <si>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</si>
  <si>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</si>
  <si>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</si>
  <si>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</si>
  <si>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</si>
  <si>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</si>
  <si>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</si>
  <si>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</si>
  <si>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</si>
  <si>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</si>
  <si>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</si>
  <si>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</si>
  <si>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</si>
  <si>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</si>
  <si>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</si>
  <si>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</si>
  <si>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</si>
  <si>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</si>
  <si>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</si>
  <si>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</si>
  <si>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</si>
  <si>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</si>
  <si>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</si>
  <si>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</si>
  <si>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</si>
  <si>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</si>
  <si>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</si>
  <si>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</si>
  <si>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</si>
  <si>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</si>
  <si>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</si>
  <si>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</si>
  <si>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</si>
  <si>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</si>
  <si>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</si>
  <si>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</si>
  <si>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</si>
  <si>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</si>
  <si>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</si>
  <si>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</si>
  <si>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</si>
  <si>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</si>
  <si>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</si>
  <si>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</si>
  <si>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</si>
  <si>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</si>
  <si>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</si>
  <si>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</si>
  <si>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</si>
  <si>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</si>
  <si>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</si>
  <si>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</si>
  <si>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</si>
  <si>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</si>
  <si>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</si>
  <si>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</si>
  <si>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</si>
  <si>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</si>
  <si>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</si>
  <si>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</si>
  <si>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</si>
  <si>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</si>
  <si>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</si>
  <si>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</si>
  <si>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</si>
  <si>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</si>
  <si>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</si>
  <si>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</si>
  <si>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</si>
  <si>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</si>
  <si>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</si>
  <si>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</si>
  <si>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</si>
  <si>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</si>
  <si>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</si>
  <si>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</si>
  <si>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</si>
  <si>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</si>
  <si>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</si>
  <si>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</si>
  <si>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</si>
  <si>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</si>
  <si>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</si>
  <si>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</si>
  <si>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</si>
  <si>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</si>
  <si>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</si>
  <si>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</si>
  <si>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</si>
  <si>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</si>
  <si>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</si>
  <si>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</si>
  <si>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</si>
  <si>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</si>
  <si>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</si>
  <si>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</si>
  <si>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</si>
  <si>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</si>
  <si>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</si>
  <si>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</si>
  <si>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</si>
  <si>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</si>
  <si>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</si>
  <si>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</si>
  <si>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</si>
  <si>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</si>
  <si>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</si>
  <si>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</si>
  <si>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</si>
  <si>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</si>
  <si>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</si>
  <si>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</si>
  <si>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</si>
  <si>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</si>
  <si>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</si>
  <si>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</si>
  <si>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</si>
  <si>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</si>
  <si>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</si>
  <si>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</si>
  <si>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</si>
  <si>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</si>
  <si>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</si>
  <si>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</si>
  <si>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</si>
  <si>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</si>
  <si>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</si>
  <si>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</si>
  <si>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</si>
  <si>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</si>
  <si>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</si>
  <si>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</si>
  <si>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</si>
  <si>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</si>
  <si>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</si>
  <si>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</si>
  <si>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</si>
  <si>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</si>
  <si>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</si>
  <si>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</si>
  <si>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</si>
  <si>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</si>
  <si>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</si>
  <si>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</si>
  <si>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</si>
  <si>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</si>
  <si>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</si>
  <si>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</si>
  <si>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</si>
  <si>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</si>
  <si>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</si>
  <si>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</si>
  <si>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</si>
  <si>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</si>
  <si>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</si>
  <si>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</si>
  <si>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</si>
  <si>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</si>
  <si>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</si>
  <si>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</si>
  <si>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</si>
  <si>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</si>
  <si>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</si>
  <si>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</si>
  <si>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</si>
  <si>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</si>
  <si>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</si>
  <si>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</si>
  <si>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</si>
  <si>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</si>
  <si>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</si>
  <si>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</si>
  <si>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</si>
  <si>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</si>
  <si>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</si>
  <si>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</si>
  <si>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</si>
  <si>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</si>
  <si>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</si>
  <si>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</si>
  <si>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</si>
  <si>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</si>
  <si>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</si>
  <si>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</si>
  <si>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</si>
  <si>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</si>
  <si>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</si>
  <si>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</si>
  <si>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</si>
  <si>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</si>
  <si>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</si>
  <si>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</si>
  <si>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</si>
  <si>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</si>
  <si>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</si>
  <si>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</si>
  <si>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</si>
  <si>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</si>
  <si>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</si>
  <si>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</si>
  <si>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</si>
  <si>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</si>
  <si>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</si>
  <si>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</si>
  <si>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</si>
  <si>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</si>
  <si>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</si>
  <si>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</si>
  <si>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</si>
  <si>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</si>
  <si>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</si>
  <si>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</si>
  <si>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</si>
  <si>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</si>
  <si>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</si>
  <si>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</si>
  <si>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</si>
  <si>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</si>
  <si>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</si>
  <si>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</si>
  <si>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</si>
  <si>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</si>
  <si>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</si>
  <si>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</si>
  <si>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</si>
  <si>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</si>
  <si>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</si>
  <si>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</si>
  <si>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</si>
  <si>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</si>
  <si>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</si>
  <si>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</si>
  <si>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</si>
  <si>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</si>
  <si>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</si>
  <si>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</si>
  <si>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</si>
  <si>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</si>
  <si>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</si>
  <si>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</si>
  <si>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</si>
  <si>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</si>
  <si>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</si>
  <si>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</si>
  <si>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</si>
  <si>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</si>
  <si>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</si>
  <si>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</si>
  <si>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</si>
  <si>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</si>
  <si>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</si>
  <si>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</si>
  <si>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</si>
  <si>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</si>
  <si>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</si>
  <si>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</si>
  <si>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</si>
  <si>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</si>
  <si>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</si>
  <si>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</si>
  <si>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</si>
  <si>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</si>
  <si>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</si>
  <si>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</si>
  <si>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</si>
  <si>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</si>
  <si>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</si>
  <si>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</si>
  <si>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</si>
  <si>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</si>
  <si>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</si>
  <si>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</si>
  <si>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</si>
  <si>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</si>
  <si>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</si>
  <si>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</si>
  <si>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</si>
  <si>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</si>
  <si>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</si>
  <si>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</si>
  <si>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</si>
  <si>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</si>
  <si>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</si>
  <si>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</si>
  <si>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</si>
  <si>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</si>
  <si>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</si>
  <si>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</si>
  <si>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</si>
  <si>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</si>
  <si>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</si>
  <si>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</si>
  <si>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</si>
  <si>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</si>
  <si>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</si>
  <si>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</si>
  <si>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</si>
  <si>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</si>
  <si>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</si>
  <si>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</si>
  <si>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</si>
  <si>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</si>
  <si>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</si>
  <si>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</si>
  <si>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</si>
  <si>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</si>
  <si>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</si>
  <si>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</si>
  <si>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</si>
  <si>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</si>
  <si>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</si>
  <si>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</si>
  <si>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</si>
  <si>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</si>
  <si>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</si>
  <si>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</si>
  <si>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</si>
  <si>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</si>
  <si>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</si>
  <si>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</si>
  <si>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</si>
  <si>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</si>
  <si>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</si>
  <si>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</si>
  <si>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</si>
  <si>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</si>
  <si>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</si>
  <si>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</si>
  <si>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</si>
  <si>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</si>
  <si>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</si>
  <si>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</si>
  <si>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</si>
  <si>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</si>
  <si>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</si>
  <si>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</si>
  <si>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</si>
  <si>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</si>
  <si>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</si>
  <si>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</si>
  <si>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</si>
  <si>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</si>
  <si>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</si>
  <si>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</si>
  <si>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</si>
  <si>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</si>
  <si>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</si>
  <si>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</si>
  <si>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</si>
  <si>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</si>
  <si>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</si>
  <si>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</si>
  <si>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</si>
  <si>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</si>
  <si>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</si>
  <si>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</si>
  <si>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</si>
  <si>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</si>
  <si>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</si>
  <si>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</si>
  <si>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</si>
  <si>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</si>
  <si>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</si>
  <si>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</si>
  <si>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</si>
  <si>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</si>
  <si>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</si>
  <si>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</si>
  <si>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</si>
  <si>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</si>
  <si>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</si>
  <si>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</si>
  <si>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</si>
  <si>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</si>
  <si>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</si>
  <si>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</si>
  <si>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</si>
  <si>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</si>
  <si>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</si>
  <si>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</si>
  <si>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</si>
  <si>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</si>
  <si>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</si>
  <si>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</si>
  <si>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</si>
  <si>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</si>
  <si>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</si>
  <si>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</si>
  <si>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</si>
  <si>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</si>
  <si>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</si>
  <si>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</si>
  <si>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</si>
  <si>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</si>
  <si>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</si>
  <si>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</si>
  <si>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</si>
  <si>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</si>
  <si>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</si>
  <si>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</si>
  <si>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</si>
  <si>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</si>
  <si>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</si>
  <si>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</si>
  <si>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</si>
  <si>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</si>
  <si>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</si>
  <si>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</si>
  <si>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</si>
  <si>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</si>
  <si>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</si>
  <si>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</si>
  <si>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</si>
  <si>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</si>
  <si>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</si>
  <si>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</si>
  <si>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</si>
  <si>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</si>
  <si>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</si>
  <si>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</si>
  <si>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</si>
  <si>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</si>
  <si>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</si>
  <si>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</si>
  <si>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</si>
  <si>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</si>
  <si>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</si>
  <si>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</si>
  <si>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</si>
  <si>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</si>
  <si>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</si>
  <si>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</si>
  <si>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</si>
  <si>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</si>
  <si>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</si>
  <si>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</si>
  <si>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</si>
  <si>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</si>
  <si>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</si>
  <si>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</si>
  <si>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</si>
  <si>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</si>
  <si>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</si>
  <si>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</si>
  <si>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</si>
  <si>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</si>
  <si>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</si>
  <si>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</si>
  <si>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</si>
  <si>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</si>
  <si>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</si>
  <si>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</si>
  <si>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</si>
  <si>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</si>
  <si>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</si>
  <si>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</si>
  <si>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</si>
  <si>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</si>
  <si>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</si>
  <si>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</si>
  <si>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</si>
  <si>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</si>
  <si>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</si>
  <si>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</si>
  <si>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</si>
  <si>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</si>
  <si>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</si>
  <si>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</si>
  <si>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</si>
  <si>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</si>
  <si>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</si>
  <si>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</si>
  <si>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</si>
  <si>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</si>
  <si>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</si>
  <si>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</si>
  <si>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</si>
  <si>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</si>
  <si>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</si>
  <si>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</si>
  <si>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</si>
  <si>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</si>
  <si>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</si>
  <si>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</si>
  <si>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</si>
  <si>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</si>
  <si>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</si>
  <si>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</si>
  <si>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</si>
  <si>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</si>
  <si>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</si>
  <si>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</si>
  <si>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</si>
  <si>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</si>
  <si>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</si>
  <si>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</si>
  <si>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</si>
  <si>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</si>
  <si>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</si>
  <si>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</si>
  <si>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</si>
  <si>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</si>
  <si>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</si>
  <si>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</si>
  <si>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</si>
  <si>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</si>
  <si>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</si>
  <si>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</si>
  <si>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</si>
  <si>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</si>
  <si>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</si>
  <si>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</si>
  <si>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</si>
  <si>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</si>
  <si>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</si>
  <si>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</si>
  <si>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</si>
  <si>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</si>
  <si>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</si>
  <si>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</si>
  <si>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</si>
  <si>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</si>
  <si>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</si>
  <si>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</si>
  <si>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</si>
  <si>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</si>
  <si>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</si>
  <si>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</si>
  <si>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</si>
  <si>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</si>
  <si>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</si>
  <si>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</si>
  <si>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</si>
  <si>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</si>
  <si>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</si>
  <si>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</si>
  <si>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</si>
  <si>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</si>
  <si>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</si>
  <si>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</si>
  <si>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</si>
  <si>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</si>
  <si>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</si>
  <si>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</si>
  <si>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</si>
  <si>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</si>
  <si>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</si>
  <si>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</si>
  <si>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</si>
  <si>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</si>
  <si>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</si>
  <si>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</si>
  <si>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</si>
  <si>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</si>
  <si>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</si>
  <si>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</si>
  <si>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</si>
  <si>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</si>
  <si>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</si>
  <si>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</si>
  <si>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</si>
  <si>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</si>
  <si>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</si>
  <si>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</si>
  <si>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</si>
  <si>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</si>
  <si>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</si>
  <si>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</si>
  <si>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</si>
  <si>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</si>
  <si>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</si>
  <si>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</si>
  <si>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</si>
  <si>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</si>
  <si>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</si>
  <si>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</si>
  <si>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</si>
  <si>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</si>
  <si>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</si>
  <si>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</si>
  <si>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</si>
  <si>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</si>
  <si>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</si>
  <si>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</si>
  <si>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</si>
  <si>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</si>
  <si>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</si>
  <si>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</si>
  <si>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</si>
  <si>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</si>
  <si>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</si>
  <si>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</si>
  <si>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</si>
  <si>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</si>
  <si>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</si>
  <si>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</si>
  <si>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</si>
  <si>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</si>
  <si>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</si>
  <si>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</si>
  <si>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</si>
  <si>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</si>
  <si>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</si>
  <si>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</si>
  <si>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</si>
  <si>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</si>
  <si>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</si>
  <si>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</si>
  <si>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</si>
  <si>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</si>
  <si>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</si>
  <si>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</si>
  <si>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</si>
  <si>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</si>
  <si>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</si>
  <si>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</si>
  <si>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</si>
  <si>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</si>
  <si>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</si>
  <si>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</si>
  <si>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</si>
  <si>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</si>
  <si>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</si>
  <si>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</si>
  <si>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</si>
  <si>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</si>
  <si>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</si>
  <si>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</si>
  <si>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</si>
  <si>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</si>
  <si>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</si>
  <si>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</si>
  <si>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</si>
  <si>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</si>
  <si>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</si>
  <si>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</si>
  <si>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</si>
  <si>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</si>
  <si>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</si>
  <si>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</si>
  <si>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</si>
  <si>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</si>
  <si>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</si>
  <si>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</si>
  <si>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</si>
  <si>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</si>
  <si>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</si>
  <si>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</si>
  <si>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</si>
  <si>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</si>
  <si>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</si>
  <si>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</si>
  <si>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</si>
  <si>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</si>
  <si>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</si>
  <si>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</si>
  <si>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</si>
  <si>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</si>
  <si>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</si>
  <si>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</si>
  <si>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</si>
  <si>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</si>
  <si>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</si>
  <si>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</si>
  <si>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</si>
  <si>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</si>
  <si>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</si>
  <si>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</si>
  <si>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</si>
  <si>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</si>
  <si>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</si>
  <si>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</si>
  <si>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</si>
  <si>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</si>
  <si>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</si>
  <si>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</si>
  <si>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</si>
  <si>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</si>
  <si>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</si>
  <si>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</si>
  <si>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</si>
  <si>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</si>
  <si>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</si>
  <si>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</si>
  <si>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</si>
  <si>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</si>
  <si>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</si>
  <si>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</si>
  <si>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</si>
  <si>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</si>
  <si>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</si>
  <si>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</si>
  <si>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</si>
  <si>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</si>
  <si>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</si>
  <si>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</si>
  <si>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</si>
  <si>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</si>
  <si>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</si>
  <si>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</si>
  <si>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</si>
  <si>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</si>
  <si>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</si>
  <si>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</si>
  <si>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</si>
  <si>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</si>
  <si>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</si>
  <si>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</si>
  <si>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</si>
  <si>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</si>
  <si>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</si>
  <si>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</si>
  <si>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</si>
  <si>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</si>
  <si>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</si>
  <si>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</si>
  <si>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</si>
  <si>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</si>
  <si>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</si>
  <si>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</si>
  <si>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</si>
  <si>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</si>
  <si>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</si>
  <si>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</si>
  <si>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</si>
  <si>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</si>
  <si>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</si>
  <si>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</si>
  <si>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</si>
  <si>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</si>
  <si>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</si>
  <si>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</si>
  <si>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</si>
  <si>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</si>
  <si>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</si>
  <si>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</si>
  <si>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</si>
  <si>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</si>
  <si>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</si>
  <si>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</si>
  <si>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</si>
  <si>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</si>
  <si>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</si>
  <si>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</si>
  <si>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</si>
  <si>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</si>
  <si>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</si>
  <si>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</si>
  <si>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</si>
  <si>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</si>
  <si>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</si>
  <si>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</si>
  <si>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</si>
  <si>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</si>
  <si>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</si>
  <si>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</si>
  <si>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</si>
  <si>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</si>
  <si>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</si>
  <si>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</si>
  <si>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</si>
  <si>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</si>
  <si>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</si>
  <si>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</si>
  <si>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</si>
  <si>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</si>
  <si>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</si>
  <si>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</si>
  <si>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</si>
  <si>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</si>
  <si>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</si>
  <si>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</si>
  <si>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</si>
  <si>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</si>
  <si>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</si>
  <si>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</si>
  <si>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</si>
  <si>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</si>
  <si>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</si>
  <si>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</si>
  <si>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</si>
  <si>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</si>
  <si>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</si>
  <si>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</si>
  <si>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</si>
  <si>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</si>
  <si>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</si>
  <si>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</si>
  <si>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</si>
  <si>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</si>
  <si>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</si>
  <si>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</si>
  <si>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</si>
  <si>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</si>
  <si>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</si>
  <si>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</si>
  <si>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</si>
  <si>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</si>
  <si>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</si>
  <si>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</si>
  <si>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</si>
  <si>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</si>
  <si>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</si>
  <si>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</si>
  <si>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</si>
  <si>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</si>
  <si>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</si>
  <si>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</si>
  <si>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</si>
  <si>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</si>
  <si>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</si>
  <si>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</si>
  <si>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</si>
  <si>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</si>
  <si>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</si>
  <si>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</si>
  <si>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</si>
  <si>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</si>
  <si>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</si>
  <si>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</si>
  <si>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</si>
  <si>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</si>
  <si>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</si>
  <si>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</si>
  <si>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</si>
  <si>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</si>
  <si>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</si>
  <si>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</si>
  <si>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</si>
  <si>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</si>
  <si>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</si>
  <si>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</si>
  <si>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</si>
  <si>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</si>
  <si>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</si>
  <si>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</si>
  <si>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</si>
  <si>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</si>
  <si>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</si>
  <si>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</si>
  <si>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</si>
  <si>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</si>
  <si>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</si>
  <si>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</si>
  <si>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</si>
  <si>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</si>
  <si>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</si>
  <si>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</si>
  <si>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</si>
  <si>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</si>
  <si>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</si>
  <si>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</si>
  <si>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</si>
  <si>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</si>
  <si>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</si>
  <si>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</si>
  <si>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</si>
  <si>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</si>
  <si>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</si>
  <si>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</si>
  <si>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</si>
  <si>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</si>
  <si>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</si>
  <si>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</si>
  <si>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</si>
  <si>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</si>
  <si>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</si>
  <si>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</si>
  <si>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</si>
  <si>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</si>
  <si>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</si>
  <si>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</si>
  <si>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</si>
  <si>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</si>
  <si>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</si>
  <si>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</si>
  <si>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</si>
  <si>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</si>
  <si>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</si>
  <si>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</si>
  <si>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</si>
  <si>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</si>
  <si>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</si>
  <si>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</si>
  <si>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</si>
  <si>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</si>
  <si>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</si>
  <si>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</si>
  <si>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</si>
  <si>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</si>
  <si>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</si>
  <si>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</si>
  <si>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</si>
  <si>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</si>
  <si>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</si>
  <si>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</si>
  <si>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</si>
  <si>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</si>
  <si>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</si>
  <si>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</si>
  <si>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</si>
  <si>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</si>
  <si>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</si>
  <si>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</si>
  <si>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</si>
  <si>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</si>
  <si>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</si>
  <si>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</si>
  <si>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</si>
  <si>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</si>
  <si>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</si>
  <si>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</si>
  <si>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</si>
  <si>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</si>
  <si>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</si>
  <si>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</si>
  <si>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</si>
  <si>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</si>
  <si>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</si>
  <si>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</si>
  <si>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</si>
  <si>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</si>
  <si>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</si>
  <si>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</si>
  <si>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</si>
  <si>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</si>
  <si>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</si>
  <si>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</si>
  <si>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</si>
  <si>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</si>
  <si>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</si>
  <si>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</si>
  <si>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</si>
  <si>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</si>
  <si>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</si>
  <si>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</si>
  <si>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</si>
  <si>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</si>
  <si>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</si>
  <si>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</si>
  <si>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</si>
  <si>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</si>
  <si>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</si>
  <si>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</si>
  <si>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</si>
  <si>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</si>
  <si>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</si>
  <si>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</si>
  <si>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</si>
  <si>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</si>
  <si>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</si>
  <si>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</si>
  <si>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</si>
  <si>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</si>
  <si>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</si>
  <si>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</si>
  <si>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</si>
  <si>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</si>
  <si>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</si>
  <si>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</si>
  <si>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</si>
  <si>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</si>
  <si>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</si>
  <si>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</si>
  <si>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</si>
  <si>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</si>
  <si>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</si>
  <si>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</si>
  <si>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</si>
  <si>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</si>
  <si>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</si>
  <si>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</si>
  <si>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</si>
  <si>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</si>
  <si>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</si>
  <si>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</si>
  <si>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</si>
  <si>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</si>
  <si>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</si>
  <si>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</si>
  <si>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</si>
  <si>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</si>
  <si>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</si>
  <si>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</si>
  <si>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</si>
  <si>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</si>
  <si>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</si>
  <si>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</si>
  <si>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</si>
  <si>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</si>
  <si>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</si>
  <si>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</si>
  <si>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</si>
  <si>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</si>
  <si>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</si>
  <si>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</si>
  <si>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</si>
  <si>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</si>
  <si>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</si>
  <si>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</si>
  <si>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</si>
  <si>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</si>
  <si>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</si>
  <si>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</si>
  <si>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</si>
  <si>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</si>
  <si>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</si>
  <si>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</si>
  <si>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</si>
  <si>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</si>
  <si>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</si>
  <si>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</si>
  <si>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</si>
  <si>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</si>
  <si>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</si>
  <si>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</si>
  <si>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</si>
  <si>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</si>
  <si>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</si>
  <si>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</si>
  <si>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</si>
  <si>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</si>
  <si>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</si>
  <si>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</si>
  <si>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</si>
  <si>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</si>
  <si>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</si>
  <si>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</si>
  <si>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</si>
  <si>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</si>
  <si>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</si>
  <si>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</si>
  <si>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</si>
  <si>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</si>
  <si>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</si>
  <si>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</si>
  <si>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</si>
  <si>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</si>
  <si>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</si>
  <si>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</si>
  <si>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</si>
  <si>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</si>
  <si>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</si>
  <si>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</si>
  <si>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</si>
  <si>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</si>
  <si>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</si>
  <si>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</si>
  <si>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</si>
  <si>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</si>
  <si>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</si>
  <si>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</si>
  <si>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</si>
  <si>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</si>
  <si>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</si>
  <si>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</si>
  <si>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</si>
  <si>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</si>
  <si>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</si>
  <si>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</si>
  <si>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</si>
  <si>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</si>
  <si>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</si>
  <si>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</si>
  <si>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</si>
  <si>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</si>
  <si>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</si>
  <si>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</si>
  <si>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</si>
  <si>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</si>
  <si>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</si>
  <si>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</si>
  <si>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</si>
  <si>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</si>
  <si>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</si>
  <si>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</si>
  <si>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</si>
  <si>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</si>
  <si>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</si>
  <si>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</si>
  <si>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</si>
  <si>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</si>
  <si>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</si>
  <si>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</si>
  <si>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</si>
  <si>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</si>
  <si>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</si>
  <si>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</si>
  <si>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</si>
  <si>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</si>
  <si>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</si>
  <si>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</si>
  <si>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</si>
  <si>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</si>
  <si>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</si>
  <si>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</si>
  <si>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</si>
  <si>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</si>
  <si>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</si>
  <si>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</si>
  <si>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</si>
  <si>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</si>
  <si>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</si>
  <si>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</si>
  <si>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</si>
  <si>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</si>
  <si>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</si>
  <si>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</si>
  <si>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</si>
  <si>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</si>
  <si>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</si>
  <si>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</si>
  <si>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</si>
  <si>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</si>
  <si>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</si>
  <si>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</si>
  <si>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</si>
  <si>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</si>
  <si>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</si>
  <si>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</si>
  <si>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</si>
  <si>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</si>
  <si>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</si>
  <si>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</si>
  <si>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</si>
  <si>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</si>
  <si>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</si>
  <si>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</si>
  <si>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</si>
  <si>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</si>
  <si>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</si>
  <si>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</si>
  <si>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</si>
  <si>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</si>
  <si>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</si>
  <si>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</si>
  <si>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</si>
  <si>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</si>
  <si>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</si>
  <si>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</si>
  <si>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</si>
  <si>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</si>
  <si>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</si>
  <si>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</si>
  <si>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</si>
  <si>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</si>
  <si>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</si>
  <si>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</si>
  <si>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</si>
  <si>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</si>
  <si>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</si>
  <si>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</si>
  <si>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</si>
  <si>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</si>
  <si>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</si>
  <si>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</si>
  <si>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</si>
  <si>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</si>
  <si>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</si>
  <si>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</si>
  <si>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</si>
  <si>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</si>
  <si>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</si>
  <si>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</si>
  <si>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</si>
  <si>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</si>
  <si>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</si>
  <si>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</si>
  <si>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</si>
  <si>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</si>
  <si>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</si>
  <si>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</si>
  <si>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</si>
  <si>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</si>
  <si>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</si>
  <si>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</si>
  <si>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</si>
  <si>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</si>
  <si>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</si>
  <si>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</si>
  <si>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</si>
  <si>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</si>
  <si>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</si>
  <si>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</si>
  <si>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</si>
  <si>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</si>
  <si>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</si>
  <si>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</si>
  <si>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</si>
  <si>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</si>
  <si>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</si>
  <si>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</si>
  <si>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</si>
  <si>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</si>
  <si>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</si>
  <si>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</si>
  <si>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</si>
  <si>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</si>
  <si>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</si>
  <si>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</si>
  <si>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</si>
  <si>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</si>
  <si>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</si>
  <si>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</si>
  <si>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</si>
  <si>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</si>
  <si>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</si>
  <si>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</si>
  <si>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</si>
  <si>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</si>
  <si>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</si>
  <si>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</si>
  <si>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</si>
  <si>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</si>
  <si>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</si>
  <si>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</si>
  <si>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</si>
  <si>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</si>
  <si>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</si>
  <si>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</si>
  <si>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</si>
  <si>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</si>
  <si>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</si>
  <si>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</si>
  <si>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</si>
  <si>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</si>
  <si>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</si>
  <si>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</si>
  <si>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</si>
  <si>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</si>
  <si>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</si>
  <si>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</si>
  <si>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</si>
  <si>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</si>
  <si>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</si>
  <si>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</si>
  <si>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</si>
  <si>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</si>
  <si>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</si>
  <si>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</si>
  <si>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</si>
  <si>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</si>
  <si>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</si>
  <si>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</si>
  <si>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</si>
  <si>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</si>
  <si>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</si>
  <si>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</si>
  <si>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</si>
  <si>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</si>
  <si>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</si>
  <si>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</si>
  <si>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</si>
  <si>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</si>
  <si>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</si>
  <si>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</si>
  <si>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</si>
  <si>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</si>
  <si>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</si>
  <si>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</si>
  <si>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</si>
  <si>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</si>
  <si>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</si>
  <si>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</si>
  <si>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</si>
  <si>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</si>
  <si>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</si>
  <si>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</si>
  <si>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</si>
  <si>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</si>
  <si>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</si>
  <si>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</si>
  <si>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</si>
  <si>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</si>
  <si>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</si>
  <si>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</si>
  <si>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</si>
  <si>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</si>
  <si>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</si>
  <si>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</si>
  <si>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</si>
  <si>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</si>
  <si>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</si>
  <si>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</si>
  <si>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</si>
  <si>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</si>
  <si>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</si>
  <si>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</si>
  <si>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</si>
  <si>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</si>
  <si>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</si>
  <si>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</si>
  <si>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</si>
  <si>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</si>
  <si>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</si>
  <si>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</si>
  <si>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</si>
  <si>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</si>
  <si>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</si>
  <si>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</si>
  <si>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</si>
  <si>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</si>
  <si>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</si>
  <si>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</si>
  <si>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</si>
  <si>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</si>
  <si>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</si>
  <si>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</si>
  <si>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</si>
  <si>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</si>
  <si>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</si>
  <si>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</si>
  <si>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</si>
  <si>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</si>
  <si>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</si>
  <si>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</si>
  <si>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</si>
  <si>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</si>
  <si>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</si>
  <si>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</si>
  <si>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</si>
  <si>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</si>
  <si>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</si>
  <si>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</si>
  <si>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</si>
  <si>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</si>
  <si>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</si>
  <si>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</si>
  <si>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</si>
  <si>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</si>
  <si>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</si>
  <si>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</si>
  <si>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</si>
  <si>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</si>
  <si>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</si>
  <si>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</si>
  <si>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</si>
  <si>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</si>
  <si>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</si>
  <si>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</si>
  <si>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</si>
  <si>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</si>
  <si>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</si>
  <si>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</si>
  <si>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</si>
  <si>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</si>
  <si>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</si>
  <si>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</si>
  <si>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</si>
  <si>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</si>
  <si>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</si>
  <si>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</si>
  <si>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</si>
  <si>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</si>
  <si>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</si>
  <si>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</si>
  <si>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</si>
  <si>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</si>
  <si>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</si>
  <si>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</si>
  <si>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</si>
  <si>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</si>
  <si>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</si>
  <si>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</si>
  <si>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</si>
  <si>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</si>
  <si>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</si>
  <si>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</si>
  <si>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</si>
  <si>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</si>
  <si>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</si>
  <si>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</si>
  <si>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</si>
  <si>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</si>
  <si>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</si>
  <si>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</si>
  <si>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</si>
  <si>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</si>
  <si>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</si>
  <si>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</si>
  <si>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</si>
  <si>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</si>
  <si>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</si>
  <si>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</si>
  <si>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</si>
  <si>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</si>
  <si>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</si>
  <si>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</si>
  <si>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</si>
  <si>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</si>
  <si>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</si>
  <si>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</si>
  <si>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</si>
  <si>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</si>
  <si>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</si>
  <si>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</si>
  <si>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</si>
  <si>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</si>
  <si>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</si>
  <si>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</si>
  <si>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</si>
  <si>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</si>
  <si>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</si>
  <si>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</si>
  <si>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</si>
  <si>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</si>
  <si>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</si>
  <si>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</si>
  <si>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</si>
  <si>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</si>
  <si>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</si>
  <si>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</si>
  <si>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</si>
  <si>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</si>
  <si>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</si>
  <si>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</si>
  <si>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</si>
  <si>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</si>
  <si>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</si>
  <si>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</si>
  <si>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</si>
  <si>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</si>
  <si>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</si>
  <si>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</si>
  <si>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</si>
  <si>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</si>
  <si>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</si>
  <si>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</si>
  <si>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</si>
  <si>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</si>
  <si>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</si>
  <si>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</si>
  <si>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</si>
  <si>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</si>
  <si>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</si>
  <si>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</si>
  <si>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</si>
  <si>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</si>
  <si>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</si>
  <si>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</si>
  <si>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</si>
  <si>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</si>
  <si>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</si>
  <si>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</si>
  <si>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</si>
  <si>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</si>
  <si>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</si>
  <si>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</si>
  <si>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</si>
  <si>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</si>
  <si>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</si>
  <si>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</si>
  <si>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</si>
  <si>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</si>
  <si>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</si>
  <si>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</si>
  <si>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</si>
  <si>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</si>
  <si>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</si>
  <si>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</si>
  <si>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</si>
  <si>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</si>
  <si>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</si>
  <si>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</si>
  <si>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</si>
  <si>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</si>
  <si>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</si>
  <si>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</si>
  <si>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</si>
  <si>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</si>
  <si>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</si>
  <si>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</si>
  <si>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</si>
  <si>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</si>
  <si>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</si>
  <si>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</si>
  <si>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</si>
  <si>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</si>
  <si>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</si>
  <si>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</si>
  <si>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</si>
  <si>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</si>
  <si>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</si>
  <si>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</si>
  <si>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</si>
  <si>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</si>
  <si>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</si>
  <si>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</si>
  <si>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</si>
  <si>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</si>
  <si>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</si>
  <si>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</si>
  <si>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</si>
  <si>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</si>
  <si>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</si>
  <si>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</si>
  <si>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</si>
  <si>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</si>
  <si>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</si>
  <si>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</si>
  <si>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</si>
  <si>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</si>
  <si>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</si>
  <si>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</si>
  <si>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</si>
  <si>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</si>
  <si>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</si>
  <si>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</si>
  <si>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</si>
  <si>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</si>
  <si>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</si>
  <si>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</si>
  <si>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</si>
  <si>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</si>
  <si>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</si>
  <si>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</si>
  <si>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</si>
  <si>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</si>
  <si>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</si>
  <si>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</si>
  <si>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</si>
  <si>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</si>
  <si>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</si>
  <si>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</si>
  <si>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</si>
  <si>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</si>
  <si>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</si>
  <si>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</si>
  <si>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</si>
  <si>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</si>
  <si>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</si>
  <si>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</si>
  <si>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</si>
  <si>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</si>
  <si>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</si>
  <si>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</si>
  <si>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</si>
  <si>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</si>
  <si>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</si>
  <si>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</si>
  <si>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</si>
  <si>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</si>
  <si>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</si>
  <si>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</si>
  <si>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</si>
  <si>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</si>
  <si>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</si>
  <si>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</si>
  <si>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</si>
  <si>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</si>
  <si>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</si>
  <si>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</si>
  <si>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</si>
  <si>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</si>
  <si>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</si>
  <si>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</si>
  <si>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</si>
  <si>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</si>
  <si>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</si>
  <si>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</si>
  <si>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</si>
  <si>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</si>
  <si>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</si>
  <si>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</si>
  <si>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</si>
  <si>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</si>
  <si>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</si>
  <si>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</si>
  <si>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</si>
  <si>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</si>
  <si>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</si>
  <si>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</si>
  <si>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</si>
  <si>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</si>
  <si>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</si>
  <si>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</si>
  <si>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</si>
  <si>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</si>
  <si>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</si>
  <si>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</si>
  <si>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</si>
  <si>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</si>
  <si>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</si>
  <si>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</si>
  <si>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</si>
  <si>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</si>
  <si>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</si>
  <si>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</si>
  <si>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</si>
  <si>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</si>
  <si>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</si>
  <si>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</si>
  <si>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</si>
  <si>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</si>
  <si>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</si>
  <si>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</si>
  <si>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</si>
  <si>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</si>
  <si>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</si>
  <si>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</si>
  <si>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</si>
  <si>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</si>
  <si>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</si>
  <si>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</si>
  <si>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</si>
  <si>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</si>
  <si>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</si>
  <si>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</si>
  <si>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</si>
  <si>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</si>
  <si>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</si>
  <si>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</si>
  <si>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</si>
  <si>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</si>
  <si>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</si>
  <si>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</si>
  <si>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</si>
  <si>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</si>
  <si>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</si>
  <si>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</si>
  <si>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</si>
  <si>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</si>
  <si>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</si>
  <si>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</si>
  <si>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</si>
  <si>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</si>
  <si>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</si>
  <si>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</si>
  <si>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</si>
  <si>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</si>
  <si>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</si>
  <si>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</si>
  <si>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</si>
  <si>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</si>
  <si>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</si>
  <si>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</si>
  <si>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</si>
  <si>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</si>
  <si>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</si>
  <si>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</si>
  <si>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</si>
  <si>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</si>
  <si>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</si>
  <si>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</si>
  <si>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</si>
  <si>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</si>
  <si>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</si>
  <si>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</si>
  <si>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</si>
  <si>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</si>
  <si>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</si>
  <si>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</si>
  <si>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</si>
  <si>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</si>
  <si>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</si>
  <si>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</si>
  <si>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</si>
  <si>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</si>
  <si>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</si>
  <si>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</si>
  <si>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</si>
  <si>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</si>
  <si>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</si>
  <si>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</si>
  <si>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</si>
  <si>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</si>
  <si>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</si>
  <si>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</si>
  <si>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</si>
  <si>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</si>
  <si>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</si>
  <si>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</si>
  <si>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</si>
  <si>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</si>
  <si>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</si>
  <si>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</si>
  <si>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</si>
  <si>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</si>
  <si>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</si>
  <si>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</si>
  <si>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</si>
  <si>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</si>
  <si>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</si>
  <si>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</si>
  <si>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</si>
  <si>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</si>
  <si>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</si>
  <si>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</si>
  <si>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</si>
  <si>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</si>
  <si>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</si>
  <si>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</si>
  <si>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</si>
  <si>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</si>
  <si>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</si>
  <si>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</si>
  <si>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</si>
  <si>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</si>
  <si>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</si>
  <si>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</si>
  <si>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</si>
  <si>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</si>
  <si>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</si>
  <si>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</si>
  <si>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</si>
  <si>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</si>
  <si>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</si>
  <si>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</si>
  <si>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</si>
  <si>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</si>
  <si>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</si>
  <si>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</si>
  <si>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</si>
  <si>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</si>
  <si>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</si>
  <si>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</si>
  <si>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</si>
  <si>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</si>
  <si>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</si>
  <si>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</si>
  <si>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</si>
  <si>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</si>
  <si>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</si>
  <si>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</si>
  <si>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</si>
  <si>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</si>
  <si>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</si>
  <si>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</si>
  <si>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</si>
  <si>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</si>
  <si>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</si>
  <si>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</si>
  <si>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</si>
  <si>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</si>
  <si>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</si>
  <si>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</si>
  <si>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</si>
  <si>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</si>
  <si>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</si>
  <si>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</si>
  <si>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</si>
  <si>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</si>
  <si>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</si>
  <si>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</si>
  <si>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</si>
  <si>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</si>
  <si>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</si>
  <si>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</si>
  <si>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</si>
  <si>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</si>
  <si>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</si>
  <si>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</si>
  <si>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</si>
  <si>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</si>
  <si>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</si>
  <si>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</si>
  <si>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</si>
  <si>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</si>
  <si>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</si>
  <si>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</si>
  <si>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</si>
  <si>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</si>
  <si>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</si>
  <si>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</si>
  <si>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</si>
  <si>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</si>
  <si>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</si>
  <si>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</si>
  <si>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</si>
  <si>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</si>
  <si>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</si>
  <si>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</si>
  <si>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</si>
  <si>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</si>
  <si>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</si>
  <si>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</si>
  <si>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</si>
  <si>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</si>
  <si>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</si>
  <si>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$500M (Farmworker Housing)</t>
  </si>
  <si>
    <t>2024 100% RENTS</t>
  </si>
  <si>
    <t>2024 FAIR MARKET RENTS</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</si>
  <si>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</si>
  <si>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</si>
  <si>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</si>
  <si>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</si>
  <si>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</si>
  <si>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</si>
  <si>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</si>
  <si>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</si>
  <si>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</si>
  <si>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</si>
  <si>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</si>
  <si>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</si>
  <si>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</si>
  <si>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</si>
  <si>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</si>
  <si>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 2025 at</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</si>
  <si>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</si>
  <si>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</si>
  <si>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</si>
  <si>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</si>
  <si>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</si>
  <si>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</si>
  <si>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</si>
  <si>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</si>
  <si>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t>A project that received an award from HCD’s Portfolio Reinvestment Program</t>
  </si>
  <si>
    <t>A project applying as an SRO housing type, as defined in Section 10325(g) of the CTCAC regulations, and the rehabilitation will add a bathroom and complete kitchen to each unit</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</si>
  <si>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</si>
  <si>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</si>
  <si>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The sponsor is a BIPOC Entity meeting all requirements of Section 5230(f)(1)(C)</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</si>
  <si>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</si>
  <si>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</si>
  <si>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</si>
  <si>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</si>
  <si>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</si>
  <si>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Preservation Project:</t>
  </si>
  <si>
    <t>whose actual rents are less than the CTCAC rent limits:</t>
  </si>
  <si>
    <t>Preservation Rent</t>
  </si>
  <si>
    <t>Project is located in a neighborhood experiencing 
    neighborhood change*</t>
  </si>
  <si>
    <t>C. Population Benefit</t>
  </si>
  <si>
    <t>D. Location Benefit</t>
  </si>
  <si>
    <t>(1) Special Needs Population Benefit</t>
  </si>
  <si>
    <t>(2) Extremely Low Income Benefit</t>
  </si>
  <si>
    <t>Resource Area Benefit</t>
  </si>
  <si>
    <t>(3) Transit/Walkability Benefit</t>
  </si>
  <si>
    <t>(2) Community Revitalization Benefit</t>
  </si>
  <si>
    <t>(1) Resource Area Benefit</t>
  </si>
  <si>
    <t>Community Revitalization Benefit</t>
  </si>
  <si>
    <t>Transit/Walkability Benefit</t>
  </si>
  <si>
    <t>Seismic or Environmental Remediation</t>
  </si>
  <si>
    <t>Other Rehabilitation Project:</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</si>
  <si>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</si>
  <si>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</si>
  <si>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</si>
  <si>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</si>
  <si>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</si>
  <si>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</si>
  <si>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</si>
  <si>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</si>
  <si>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</si>
  <si>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</si>
  <si>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</si>
  <si>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</si>
  <si>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</si>
  <si>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</si>
  <si>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</si>
  <si>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</si>
  <si>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</si>
  <si>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</si>
  <si>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</si>
  <si>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</si>
  <si>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</si>
  <si>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</si>
  <si>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</si>
  <si>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</si>
  <si>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</si>
  <si>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</si>
  <si>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</si>
  <si>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</si>
  <si>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</si>
  <si>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</si>
  <si>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</si>
  <si>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</si>
  <si>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</si>
  <si>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</si>
  <si>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</si>
  <si>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</si>
  <si>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</si>
  <si>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</si>
  <si>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</si>
  <si>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</si>
  <si>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</si>
  <si>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</si>
  <si>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</si>
  <si>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</si>
  <si>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</si>
  <si>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</si>
  <si>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</si>
  <si>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</si>
  <si>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</si>
  <si>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</si>
  <si>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</si>
  <si>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</si>
  <si>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</si>
  <si>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</si>
  <si>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</si>
  <si>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</si>
  <si>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&lt;insert information&gt;</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</si>
  <si>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</si>
  <si>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</si>
  <si>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</si>
  <si>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</si>
  <si>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</si>
  <si>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</si>
  <si>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</si>
  <si>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</si>
  <si>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</si>
  <si>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</si>
  <si>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</si>
  <si>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</si>
  <si>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</si>
  <si>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</si>
  <si>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</si>
  <si>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</si>
  <si>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</si>
  <si>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</si>
  <si>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</si>
  <si>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</si>
  <si>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</si>
  <si>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Add general scope information outlined on the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</si>
  <si>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</si>
  <si>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</si>
  <si>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</si>
  <si>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</si>
  <si>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</si>
  <si>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</si>
  <si>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</si>
  <si>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</si>
  <si>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</si>
  <si>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</si>
  <si>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</si>
  <si>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Does the management company meet the minimum 3 points requirement pursuant to CDLAC Regulations Section 5230(f)?</t>
  </si>
  <si>
    <t>Management Company Information</t>
  </si>
  <si>
    <t>Total # of Units</t>
  </si>
  <si>
    <t># of Market Rate</t>
  </si>
  <si>
    <t># of Affordable</t>
  </si>
  <si>
    <t>In CalHFA Portfolio</t>
  </si>
  <si>
    <t>Pipeline</t>
  </si>
  <si>
    <t>Other General Partner Experience (Enter # in Each Phase - pipeline, under construction, completed)</t>
  </si>
  <si>
    <t>Share of Other General Partners' Ownership</t>
  </si>
  <si>
    <t>Development Pipeline For Other General Partner</t>
  </si>
  <si>
    <t>If no or N/A, provide explanation:</t>
  </si>
  <si>
    <t>Does the Co-Sponsor/Developer alone meet the minimum 7 points requirement pursuant to CDLAC Regulations Section 5230(f)?</t>
  </si>
  <si>
    <t>Co-Developer Experience (Enter # for Each Phase - pipeline, under construction, completed)</t>
  </si>
  <si>
    <t>Share of Developer Fees</t>
  </si>
  <si>
    <t>Share of Co-General Partners' Ownership in Project LP</t>
  </si>
  <si>
    <t>Co-Developer/Co-General Partner</t>
  </si>
  <si>
    <t>Does the Sponsor/Developer alone meet the minimum 7 points requirement pursuant to CDLAC Regulations Section 5230(f)?</t>
  </si>
  <si>
    <t>Developer Experience (Enter # for Each Phase - pipeline, under construction, completed)</t>
  </si>
  <si>
    <t>Share of  Developer Fees</t>
  </si>
  <si>
    <t>Share of General Partners' Ownership in Project LP</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</si>
  <si>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</si>
  <si>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</si>
  <si>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</si>
  <si>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</si>
  <si>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</si>
  <si>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</si>
  <si>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</si>
  <si>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</si>
  <si>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</si>
  <si>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</si>
  <si>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</si>
  <si>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</si>
  <si>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</si>
  <si>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</si>
  <si>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</si>
  <si>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</si>
  <si>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</si>
  <si>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</si>
  <si>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Services Company 2</t>
  </si>
  <si>
    <t>Services Company 1</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</si>
  <si>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</si>
  <si>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</si>
  <si>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</si>
  <si>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</si>
  <si>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</si>
  <si>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</si>
  <si>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</si>
  <si>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</si>
  <si>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</si>
  <si>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</si>
  <si>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</si>
  <si>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</si>
  <si>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3rd</t>
  </si>
  <si>
    <t>CTCAC</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</si>
  <si>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</si>
  <si>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</si>
  <si>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</si>
  <si>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</si>
  <si>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</si>
  <si>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</si>
  <si>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</si>
  <si>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</si>
  <si>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</si>
  <si>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</si>
  <si>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</si>
  <si>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</si>
  <si>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</si>
  <si>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</si>
  <si>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</si>
  <si>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</si>
  <si>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</si>
  <si>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</si>
  <si>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</si>
  <si>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</si>
  <si>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</si>
  <si>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</si>
  <si>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</si>
  <si>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</si>
  <si>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</si>
  <si>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</si>
  <si>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</si>
  <si>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</si>
  <si>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</si>
  <si>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</si>
  <si>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</si>
  <si>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Will this project be scattered site? (Defined by CDLAC, Article 1, Section 5170)</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</si>
  <si>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</si>
  <si>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</si>
  <si>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</si>
  <si>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</si>
  <si>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</si>
  <si>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</si>
  <si>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</si>
  <si>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2025 CDLAC-CTCAC JOINT APPLICATION CHECKLIST</t>
  </si>
  <si>
    <t>2025 4% FEDERAL LOW-INCOME HOUSING TAX CREDITS WITH TAX-EXEMPT BONDS</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</si>
  <si>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</si>
  <si>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</si>
  <si>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</si>
  <si>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</si>
  <si>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</si>
  <si>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</si>
  <si>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</si>
  <si>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</si>
  <si>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</si>
  <si>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</si>
  <si>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</si>
  <si>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</si>
  <si>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</si>
  <si>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</si>
  <si>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</si>
  <si>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</si>
  <si>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</si>
  <si>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</si>
  <si>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</si>
  <si>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</si>
  <si>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</si>
  <si>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</si>
  <si>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</si>
  <si>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</si>
  <si>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</si>
  <si>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</si>
  <si>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</si>
  <si>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</si>
  <si>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</si>
  <si>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</si>
  <si>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</si>
  <si>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</si>
  <si>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</si>
  <si>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</si>
  <si>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</si>
  <si>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</si>
  <si>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</si>
  <si>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</si>
  <si>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</si>
  <si>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</si>
  <si>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</si>
  <si>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</si>
  <si>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</si>
  <si>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</si>
  <si>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</si>
  <si>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</si>
  <si>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</si>
  <si>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</si>
  <si>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</si>
  <si>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</si>
  <si>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</si>
  <si>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</si>
  <si>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</si>
  <si>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</si>
  <si>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</si>
  <si>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</si>
  <si>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</si>
  <si>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</si>
  <si>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https://www.treasurer.ca.gov/CTCAC/2025/4-instructions.asp</t>
  </si>
  <si>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</si>
  <si>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</si>
  <si>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</si>
  <si>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</si>
  <si>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</si>
  <si>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</si>
  <si>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</si>
  <si>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</si>
  <si>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</si>
  <si>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</si>
  <si>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</si>
  <si>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</si>
  <si>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</si>
  <si>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</si>
  <si>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</si>
  <si>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</si>
  <si>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</si>
  <si>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</si>
  <si>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</si>
  <si>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</si>
  <si>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</si>
  <si>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</si>
  <si>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</si>
  <si>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</si>
  <si>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</si>
  <si>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</si>
  <si>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</si>
  <si>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</si>
  <si>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</si>
  <si>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</si>
  <si>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</si>
  <si>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</si>
  <si>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</si>
  <si>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</si>
  <si>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</si>
  <si>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</si>
  <si>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</si>
  <si>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</si>
  <si>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</si>
  <si>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</si>
  <si>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</si>
  <si>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</si>
  <si>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</si>
  <si>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</si>
  <si>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</si>
  <si>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Preservation and Other Rehab</t>
  </si>
  <si>
    <t>Points, New Con Density</t>
  </si>
  <si>
    <t>Points, Exceeding Min Income</t>
  </si>
  <si>
    <t>Points, Exceeding Min Rent</t>
  </si>
  <si>
    <t>Points, Experience</t>
  </si>
  <si>
    <t>Points, Housing Need</t>
  </si>
  <si>
    <t>Points, Leveraged Soft Resources</t>
  </si>
  <si>
    <t>Points, Readiness</t>
  </si>
  <si>
    <t>Points, AFFH</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</si>
  <si>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</si>
  <si>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</si>
  <si>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</si>
  <si>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</si>
  <si>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</si>
  <si>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</si>
  <si>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</si>
  <si>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</si>
  <si>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</si>
  <si>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</si>
  <si>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</si>
  <si>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</si>
  <si>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</si>
  <si>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</si>
  <si>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</si>
  <si>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</si>
  <si>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</si>
  <si>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</si>
  <si>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</si>
  <si>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</si>
  <si>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</si>
  <si>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</si>
  <si>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January 3, 2025 Version</t>
  </si>
  <si>
    <t>CDLAC Region</t>
  </si>
  <si>
    <t>Residential &amp; Commercial</t>
  </si>
  <si>
    <t>CTCAC Region</t>
  </si>
  <si>
    <t>Total Residential Project Cost</t>
  </si>
  <si>
    <t>Scattered Site</t>
  </si>
  <si>
    <t>4% 2025 TBLs</t>
  </si>
  <si>
    <t>9% 2025 TBLs</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</si>
  <si>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</si>
  <si>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</si>
  <si>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</si>
  <si>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</si>
  <si>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MRK Partners, Inc.</t>
  </si>
  <si>
    <t>Francis Avenue Apartments</t>
  </si>
  <si>
    <t>Tim Elliott - Community Housing Program Manager</t>
  </si>
  <si>
    <t>1200 W. 7th St., 8th Floor</t>
  </si>
  <si>
    <t>213-808-8596</t>
  </si>
  <si>
    <t>timothy.elliott@lacity.org</t>
  </si>
  <si>
    <t>2859 Francis Ave</t>
  </si>
  <si>
    <t>40%/60% Average Income</t>
  </si>
  <si>
    <t>Inner City Infill Site</t>
  </si>
  <si>
    <t>5077-022-059</t>
  </si>
  <si>
    <t>Administrative GP</t>
  </si>
  <si>
    <t>Managing GP</t>
  </si>
  <si>
    <t>Francis AGP LLC</t>
  </si>
  <si>
    <t>Pacific Southwest Community Development Corporation, a California nonprofit public benefit corporation</t>
  </si>
  <si>
    <t>16935 West Bernardo Drive, Ste. 238</t>
  </si>
  <si>
    <t>CA</t>
  </si>
  <si>
    <t>Robert Laing</t>
  </si>
  <si>
    <t>858-675-0506</t>
  </si>
  <si>
    <t>robertlaing@pswcdc.org</t>
  </si>
  <si>
    <t>2711 N. Sepulveda Blvd # 526</t>
  </si>
  <si>
    <t xml:space="preserve">Manhattan Beach </t>
  </si>
  <si>
    <t>Sydne Garchik</t>
  </si>
  <si>
    <t>424.999.4581 </t>
  </si>
  <si>
    <t>sgarchik@mrkpartners.com</t>
  </si>
  <si>
    <t>Manhattan Beach</t>
  </si>
  <si>
    <t>Downs Pham &amp; Kuei LLP</t>
  </si>
  <si>
    <t>235 Montgomery Street, Suite 1169</t>
  </si>
  <si>
    <t>San Francisco, CA 94104</t>
  </si>
  <si>
    <t>Irene Kuei</t>
  </si>
  <si>
    <t>415.202.6376</t>
  </si>
  <si>
    <t>ikuei@dowspham.com</t>
  </si>
  <si>
    <t>Rubin Brown LLP</t>
  </si>
  <si>
    <t>225 West Wacker Drive, Suite 1700</t>
  </si>
  <si>
    <t>Chicago, IL 60606</t>
  </si>
  <si>
    <t>Janet Manzella</t>
  </si>
  <si>
    <t>312.705.1736</t>
  </si>
  <si>
    <t>janet.manzella@rubinbrown.com</t>
  </si>
  <si>
    <t>Collective Operations Architecture, Inc.</t>
  </si>
  <si>
    <t>2106 Union St</t>
  </si>
  <si>
    <t>San Francisco, CA 94123</t>
  </si>
  <si>
    <t>Weijia Song</t>
  </si>
  <si>
    <t>628.294.4262</t>
  </si>
  <si>
    <t>wsong@co-operations.org</t>
  </si>
  <si>
    <t>Francis/Lily LLC</t>
  </si>
  <si>
    <t>Raymond Saviss</t>
  </si>
  <si>
    <t>Manager</t>
  </si>
  <si>
    <t>1762 Westwood Blvd, Suite 350, Los Angeles, CA 90024</t>
  </si>
  <si>
    <t>Secured by Leasehold Interest</t>
  </si>
  <si>
    <t>Multi-Family Residential</t>
  </si>
  <si>
    <t>R4-2; 467 units/acre per previous approval of 290 units</t>
  </si>
  <si>
    <t>No required parking ratio per CA Gov. Code 65915(p)(3)</t>
  </si>
  <si>
    <t>Affordability restrictions due to Executive Directive 1 (ED 1) and State Density Bonus Law</t>
  </si>
  <si>
    <t>Safehold, Inc.</t>
  </si>
  <si>
    <t>WinnResidential California LP</t>
  </si>
  <si>
    <t>2499 W. Shaw Avenue, Suite 103</t>
  </si>
  <si>
    <t>Fresno, CA 93711</t>
  </si>
  <si>
    <t>Oke Johnson</t>
  </si>
  <si>
    <t>559.489.9930</t>
  </si>
  <si>
    <t>okejohnson@winnco.com</t>
  </si>
  <si>
    <t>Anthony Stubbs</t>
  </si>
  <si>
    <t>astubbs@cmfa-ca.com</t>
  </si>
  <si>
    <t>760.930.1333</t>
  </si>
  <si>
    <t>California Municipal Finance Authority</t>
  </si>
  <si>
    <t>2111 Palomar Airport Rd, Suite 320</t>
  </si>
  <si>
    <t>Carlsbad, CA 92011</t>
  </si>
  <si>
    <t>TBD</t>
  </si>
  <si>
    <t>BBG, Inc.</t>
  </si>
  <si>
    <t>8343 Douglas Avenue, Suite 700</t>
  </si>
  <si>
    <t>Dallas, TX 75225</t>
  </si>
  <si>
    <t>John Cole</t>
  </si>
  <si>
    <t>512-591-0055</t>
  </si>
  <si>
    <t>johncole@bbgres.com</t>
  </si>
  <si>
    <t>Lindsay Janke</t>
  </si>
  <si>
    <t>949-400-3956</t>
  </si>
  <si>
    <t>ljanke@mrkpartners.com</t>
  </si>
  <si>
    <t>Project Manager</t>
  </si>
  <si>
    <t xml:space="preserve">MRK Partners, Inc. </t>
  </si>
  <si>
    <t>Damages, Late, Utility Reimbursements</t>
  </si>
  <si>
    <t>Fire Life &amp; Safety Systems</t>
  </si>
  <si>
    <t>Payroll Taxes &amp; Benefits</t>
  </si>
  <si>
    <t>Office Supplies &amp; Equipment Leases</t>
  </si>
  <si>
    <t>Admin. Licenses/Fees</t>
  </si>
  <si>
    <t>5230 Pacific Concourse Drive, Suite 350</t>
  </si>
  <si>
    <t>424.999.4581</t>
  </si>
  <si>
    <t>Los Angeles, CA 90045</t>
  </si>
  <si>
    <t>Albert Group</t>
  </si>
  <si>
    <t>Santa Monica, CA 90404</t>
  </si>
  <si>
    <t>Citibank-Conduit (Tax-Exempt New)</t>
  </si>
  <si>
    <t>Variable</t>
  </si>
  <si>
    <t>Citibank-Conduit (TE Recycled)</t>
  </si>
  <si>
    <t>R4 Capital - Tax Credit Equity</t>
  </si>
  <si>
    <t>GP Loan</t>
  </si>
  <si>
    <t>Lease Up Income</t>
  </si>
  <si>
    <t>Costs Deferred to Conversion</t>
  </si>
  <si>
    <t>Fixed</t>
  </si>
  <si>
    <t>325 E Hillcrest Dr, #160</t>
  </si>
  <si>
    <t>Thousand Oaks, CA 91360</t>
  </si>
  <si>
    <t>Michael Hemmens</t>
  </si>
  <si>
    <t>805-557-0933</t>
  </si>
  <si>
    <t>Tax Exempt bonds (new issue)</t>
  </si>
  <si>
    <t>SOFR</t>
  </si>
  <si>
    <t>Tax Exempt bonds (recycled)</t>
  </si>
  <si>
    <t>780 Third Avenue, 16th Floor</t>
  </si>
  <si>
    <t>New York, NY 10017</t>
  </si>
  <si>
    <t>Paul Connolly</t>
  </si>
  <si>
    <t>646-576-7660</t>
  </si>
  <si>
    <t>LIHTC Equity</t>
  </si>
  <si>
    <t>Manhattan Beach, CA 90266</t>
  </si>
  <si>
    <t>Lease Up Income after Completion</t>
  </si>
  <si>
    <t>Costs Deferral</t>
  </si>
  <si>
    <t>Citibank Tax-Exempt Permanent Loan</t>
  </si>
  <si>
    <t>Safehold</t>
  </si>
  <si>
    <t>Other: Transfer Tax</t>
  </si>
  <si>
    <t>Other: Owner Legal</t>
  </si>
  <si>
    <t>Other: Bond Underwriting, Trustee, Rating, Monitoring Fee, Cost of Issuance Contingency</t>
  </si>
  <si>
    <t>Recycled Bonds - CMFA</t>
  </si>
  <si>
    <t>Nonprofit MGP Fee</t>
  </si>
  <si>
    <t>Above residual receipts line for cash flow</t>
  </si>
  <si>
    <t>Adam Polk</t>
  </si>
  <si>
    <t>1745 Berkeley Street, Studio 4</t>
  </si>
  <si>
    <t>310.820.8863</t>
  </si>
  <si>
    <t>adam@albertgroup.la</t>
  </si>
  <si>
    <t>Novus Design Studio</t>
  </si>
  <si>
    <t>155 S Fair Oaks Ave</t>
  </si>
  <si>
    <t>Pasadena, CA 91105</t>
  </si>
  <si>
    <t>Varand Balasanian</t>
  </si>
  <si>
    <t>818.644.1309</t>
  </si>
  <si>
    <t>varand@novusdesignstudio.com</t>
  </si>
  <si>
    <t>8 stories/unlimited height</t>
  </si>
  <si>
    <t>1114 Avenue of the Americas</t>
  </si>
  <si>
    <t>New York</t>
  </si>
  <si>
    <t>Ethan Torbati</t>
  </si>
  <si>
    <t>Improvement Allowance</t>
  </si>
  <si>
    <t>Permanent Loan - Tax Exempt Bonds</t>
  </si>
  <si>
    <t>Provided</t>
  </si>
  <si>
    <t>Other: Real Estate Taxes During Construction &amp; Builder's Insurance</t>
  </si>
  <si>
    <t>Other: Construction Monitoring Fees</t>
  </si>
  <si>
    <t>Need to Provide</t>
  </si>
  <si>
    <t>Not Applicable</t>
  </si>
  <si>
    <t>GP Loan Repayment</t>
  </si>
  <si>
    <t>Manager Unit Reimbursement</t>
  </si>
  <si>
    <t>Other Operating Expenses (taxes, benefits, licenses, misc. fees):</t>
  </si>
  <si>
    <t>28th</t>
  </si>
  <si>
    <t>January</t>
  </si>
  <si>
    <t>Principal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</si>
</sst>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86">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17177">
    <xf numFmtId="0" fontId="0" fillId="0" borderId="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2" borderId="0" applyNumberFormat="0" applyBorder="0" applyAlignment="0" applyProtection="0"/>
    <xf numFmtId="0" fontId="85" fillId="12" borderId="0" applyNumberFormat="0" applyBorder="0" applyAlignment="0" applyProtection="0"/>
    <xf numFmtId="0" fontId="85" fillId="12" borderId="0" applyNumberFormat="0" applyBorder="0" applyAlignment="0" applyProtection="0"/>
    <xf numFmtId="0" fontId="85" fillId="12" borderId="0" applyNumberFormat="0" applyBorder="0" applyAlignment="0" applyProtection="0"/>
    <xf numFmtId="0" fontId="85" fillId="12" borderId="0" applyNumberFormat="0" applyBorder="0" applyAlignment="0" applyProtection="0"/>
    <xf numFmtId="0" fontId="85" fillId="12" borderId="0" applyNumberFormat="0" applyBorder="0" applyAlignment="0" applyProtection="0"/>
    <xf numFmtId="0" fontId="85" fillId="12" borderId="0" applyNumberFormat="0" applyBorder="0" applyAlignment="0" applyProtection="0"/>
    <xf numFmtId="0" fontId="85" fillId="12" borderId="0" applyNumberFormat="0" applyBorder="0" applyAlignment="0" applyProtection="0"/>
    <xf numFmtId="0" fontId="85" fillId="13" borderId="0" applyNumberFormat="0" applyBorder="0" applyAlignment="0" applyProtection="0"/>
    <xf numFmtId="0" fontId="85" fillId="13" borderId="0" applyNumberFormat="0" applyBorder="0" applyAlignment="0" applyProtection="0"/>
    <xf numFmtId="0" fontId="85" fillId="13" borderId="0" applyNumberFormat="0" applyBorder="0" applyAlignment="0" applyProtection="0"/>
    <xf numFmtId="0" fontId="85" fillId="13" borderId="0" applyNumberFormat="0" applyBorder="0" applyAlignment="0" applyProtection="0"/>
    <xf numFmtId="0" fontId="85" fillId="13" borderId="0" applyNumberFormat="0" applyBorder="0" applyAlignment="0" applyProtection="0"/>
    <xf numFmtId="0" fontId="85" fillId="13" borderId="0" applyNumberFormat="0" applyBorder="0" applyAlignment="0" applyProtection="0"/>
    <xf numFmtId="0" fontId="85" fillId="13" borderId="0" applyNumberFormat="0" applyBorder="0" applyAlignment="0" applyProtection="0"/>
    <xf numFmtId="0" fontId="85" fillId="13"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4"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7" borderId="0" applyNumberFormat="0" applyBorder="0" applyAlignment="0" applyProtection="0"/>
    <xf numFmtId="0" fontId="86" fillId="28" borderId="0" applyNumberFormat="0" applyBorder="0" applyAlignment="0" applyProtection="0"/>
    <xf numFmtId="0" fontId="86" fillId="28" borderId="0" applyNumberFormat="0" applyBorder="0" applyAlignment="0" applyProtection="0"/>
    <xf numFmtId="0" fontId="86" fillId="29" borderId="0" applyNumberFormat="0" applyBorder="0" applyAlignment="0" applyProtection="0"/>
    <xf numFmtId="0" fontId="86" fillId="29" borderId="0" applyNumberFormat="0" applyBorder="0" applyAlignment="0" applyProtection="0"/>
    <xf numFmtId="0" fontId="86" fillId="30" borderId="0" applyNumberFormat="0" applyBorder="0" applyAlignment="0" applyProtection="0"/>
    <xf numFmtId="0" fontId="86" fillId="30" borderId="0" applyNumberFormat="0" applyBorder="0" applyAlignment="0" applyProtection="0"/>
    <xf numFmtId="0" fontId="86" fillId="31" borderId="0" applyNumberFormat="0" applyBorder="0" applyAlignment="0" applyProtection="0"/>
    <xf numFmtId="0" fontId="86" fillId="31" borderId="0" applyNumberFormat="0" applyBorder="0" applyAlignment="0" applyProtection="0"/>
    <xf numFmtId="0" fontId="86" fillId="32" borderId="0" applyNumberFormat="0" applyBorder="0" applyAlignment="0" applyProtection="0"/>
    <xf numFmtId="0" fontId="86" fillId="32" borderId="0" applyNumberFormat="0" applyBorder="0" applyAlignment="0" applyProtection="0"/>
    <xf numFmtId="0" fontId="86" fillId="33" borderId="0" applyNumberFormat="0" applyBorder="0" applyAlignment="0" applyProtection="0"/>
    <xf numFmtId="0" fontId="86" fillId="34" borderId="0" applyNumberFormat="0" applyBorder="0" applyAlignment="0" applyProtection="0"/>
    <xf numFmtId="0" fontId="87" fillId="35" borderId="0" applyNumberFormat="0" applyBorder="0" applyAlignment="0" applyProtection="0"/>
    <xf numFmtId="0" fontId="87" fillId="35" borderId="0" applyNumberFormat="0" applyBorder="0" applyAlignment="0" applyProtection="0"/>
    <xf numFmtId="0" fontId="88" fillId="36" borderId="18" applyNumberFormat="0" applyAlignment="0" applyProtection="0"/>
    <xf numFmtId="0" fontId="88" fillId="36" borderId="18" applyNumberFormat="0" applyAlignment="0" applyProtection="0"/>
    <xf numFmtId="0" fontId="89" fillId="37" borderId="19" applyNumberFormat="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77"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61" fillId="0" borderId="0" applyFont="0" applyFill="0" applyBorder="0" applyAlignment="0" applyProtection="0"/>
    <xf numFmtId="43" fontId="26" fillId="0" borderId="0" applyFont="0" applyFill="0" applyBorder="0" applyAlignment="0" applyProtection="0"/>
    <xf numFmtId="43" fontId="61" fillId="0" borderId="0" applyFont="0" applyFill="0" applyBorder="0" applyAlignment="0" applyProtection="0"/>
    <xf numFmtId="44" fontId="78"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61" fillId="0" borderId="0" applyFont="0" applyFill="0" applyBorder="0" applyAlignment="0" applyProtection="0"/>
    <xf numFmtId="44" fontId="78" fillId="0" borderId="0" applyFont="0" applyFill="0" applyBorder="0" applyAlignment="0" applyProtection="0"/>
    <xf numFmtId="44" fontId="26" fillId="0" borderId="0" applyFont="0" applyFill="0" applyBorder="0" applyAlignment="0" applyProtection="0"/>
    <xf numFmtId="44" fontId="80" fillId="0" borderId="0" applyFont="0" applyFill="0" applyBorder="0" applyAlignment="0" applyProtection="0"/>
    <xf numFmtId="44" fontId="26" fillId="0" borderId="0" applyFont="0" applyFill="0" applyBorder="0" applyAlignment="0" applyProtection="0"/>
    <xf numFmtId="44" fontId="61" fillId="0" borderId="0" applyFont="0" applyFill="0" applyBorder="0" applyAlignment="0" applyProtection="0">
      <alignment vertical="top"/>
    </xf>
    <xf numFmtId="44" fontId="61" fillId="0" borderId="0" applyFont="0" applyFill="0" applyBorder="0" applyAlignment="0" applyProtection="0">
      <alignment vertical="top"/>
    </xf>
    <xf numFmtId="44" fontId="26" fillId="0" borderId="0" applyFont="0" applyFill="0" applyBorder="0" applyAlignment="0" applyProtection="0"/>
    <xf numFmtId="44" fontId="61" fillId="0" borderId="0" applyFont="0" applyFill="0" applyBorder="0" applyAlignment="0" applyProtection="0">
      <alignment vertical="top"/>
    </xf>
    <xf numFmtId="44" fontId="61" fillId="0" borderId="0" applyFont="0" applyFill="0" applyBorder="0" applyAlignment="0" applyProtection="0"/>
    <xf numFmtId="44" fontId="77"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61" fillId="0" borderId="0" applyFont="0" applyFill="0" applyBorder="0" applyAlignment="0" applyProtection="0"/>
    <xf numFmtId="44" fontId="70"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61" fillId="0" borderId="0" applyFont="0" applyFill="0" applyBorder="0" applyAlignment="0" applyProtection="0"/>
    <xf numFmtId="44" fontId="26" fillId="0" borderId="0" applyFont="0" applyFill="0" applyBorder="0" applyAlignment="0" applyProtection="0"/>
    <xf numFmtId="44" fontId="71" fillId="0" borderId="0" applyFont="0" applyFill="0" applyBorder="0" applyAlignment="0" applyProtection="0"/>
    <xf numFmtId="44" fontId="26" fillId="0" borderId="0" applyFont="0" applyFill="0" applyBorder="0" applyAlignment="0" applyProtection="0"/>
    <xf numFmtId="44" fontId="77"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26"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77"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26"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26" fillId="0" borderId="0" applyFont="0" applyFill="0" applyBorder="0" applyAlignment="0" applyProtection="0"/>
    <xf numFmtId="44" fontId="61" fillId="0" borderId="0" applyFont="0" applyFill="0" applyBorder="0" applyAlignment="0" applyProtection="0"/>
    <xf numFmtId="44" fontId="26" fillId="0" borderId="0" applyFont="0" applyFill="0" applyBorder="0" applyAlignment="0" applyProtection="0"/>
    <xf numFmtId="44" fontId="72"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76" fillId="0" borderId="0" applyFont="0" applyFill="0" applyBorder="0" applyAlignment="0" applyProtection="0"/>
    <xf numFmtId="44" fontId="26" fillId="0" borderId="0" applyFont="0" applyFill="0" applyBorder="0" applyAlignment="0" applyProtection="0"/>
    <xf numFmtId="0" fontId="90" fillId="0" borderId="0" applyNumberFormat="0" applyFill="0" applyBorder="0" applyAlignment="0" applyProtection="0"/>
    <xf numFmtId="0" fontId="91" fillId="38" borderId="0" applyNumberFormat="0" applyBorder="0" applyAlignment="0" applyProtection="0"/>
    <xf numFmtId="0" fontId="92" fillId="0" borderId="20" applyNumberFormat="0" applyFill="0" applyAlignment="0" applyProtection="0"/>
    <xf numFmtId="0" fontId="92" fillId="0" borderId="20" applyNumberFormat="0" applyFill="0" applyAlignment="0" applyProtection="0"/>
    <xf numFmtId="0" fontId="93" fillId="0" borderId="21" applyNumberFormat="0" applyFill="0" applyAlignment="0" applyProtection="0"/>
    <xf numFmtId="0" fontId="93" fillId="0" borderId="21" applyNumberFormat="0" applyFill="0" applyAlignment="0" applyProtection="0"/>
    <xf numFmtId="0" fontId="94" fillId="0" borderId="22" applyNumberFormat="0" applyFill="0" applyAlignment="0" applyProtection="0"/>
    <xf numFmtId="0" fontId="94" fillId="0" borderId="22" applyNumberFormat="0" applyFill="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82" fillId="0" borderId="0" applyNumberFormat="0" applyFill="0" applyBorder="0" applyAlignment="0" applyProtection="0">
      <alignment vertical="top"/>
      <protection locked="0"/>
    </xf>
    <xf numFmtId="0" fontId="95" fillId="39" borderId="18" applyNumberFormat="0" applyAlignment="0" applyProtection="0"/>
    <xf numFmtId="0" fontId="19" fillId="0" borderId="0" applyNumberFormat="0" applyBorder="0"/>
    <xf numFmtId="0" fontId="20" fillId="0" borderId="0" applyBorder="0" applyAlignment="0"/>
    <xf numFmtId="0" fontId="21" fillId="0" borderId="0" applyFill="0" applyBorder="0" applyAlignment="0"/>
    <xf numFmtId="0" fontId="96" fillId="0" borderId="23" applyNumberFormat="0" applyFill="0" applyAlignment="0" applyProtection="0"/>
    <xf numFmtId="0" fontId="97" fillId="40" borderId="0" applyNumberFormat="0" applyBorder="0" applyAlignment="0" applyProtection="0"/>
    <xf numFmtId="0" fontId="98" fillId="0" borderId="0"/>
    <xf numFmtId="0" fontId="61" fillId="0" borderId="0"/>
    <xf numFmtId="0" fontId="98" fillId="0" borderId="0"/>
    <xf numFmtId="0" fontId="61" fillId="0" borderId="0"/>
    <xf numFmtId="0" fontId="61" fillId="0" borderId="0"/>
    <xf numFmtId="0" fontId="26"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99" fillId="0" borderId="0"/>
    <xf numFmtId="0" fontId="61" fillId="0" borderId="0"/>
    <xf numFmtId="169" fontId="62" fillId="0" borderId="0"/>
    <xf numFmtId="0" fontId="85" fillId="0" borderId="0"/>
    <xf numFmtId="0" fontId="26" fillId="0" borderId="0"/>
    <xf numFmtId="0" fontId="26" fillId="0" borderId="0"/>
    <xf numFmtId="0" fontId="67" fillId="0" borderId="0"/>
    <xf numFmtId="0" fontId="61" fillId="0" borderId="0"/>
    <xf numFmtId="0" fontId="67" fillId="0" borderId="0"/>
    <xf numFmtId="0" fontId="61" fillId="0" borderId="0"/>
    <xf numFmtId="0" fontId="73" fillId="0" borderId="0"/>
    <xf numFmtId="0" fontId="61" fillId="0" borderId="0"/>
    <xf numFmtId="0" fontId="85" fillId="0" borderId="0"/>
    <xf numFmtId="0" fontId="61" fillId="0" borderId="0">
      <alignment vertical="top"/>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73" fillId="0" borderId="0"/>
    <xf numFmtId="0" fontId="85" fillId="0" borderId="0"/>
    <xf numFmtId="0" fontId="85" fillId="0" borderId="0"/>
    <xf numFmtId="0" fontId="85" fillId="0" borderId="0"/>
    <xf numFmtId="0" fontId="85" fillId="0" borderId="0"/>
    <xf numFmtId="0" fontId="61" fillId="0" borderId="0">
      <alignment vertical="top"/>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1" fillId="0" borderId="0"/>
    <xf numFmtId="0" fontId="85" fillId="0" borderId="0"/>
    <xf numFmtId="0" fontId="85" fillId="0" borderId="0"/>
    <xf numFmtId="0" fontId="85" fillId="0" borderId="0"/>
    <xf numFmtId="0" fontId="85" fillId="0" borderId="0"/>
    <xf numFmtId="0" fontId="73" fillId="0" borderId="0"/>
    <xf numFmtId="0" fontId="61" fillId="0" borderId="0">
      <alignment vertical="top"/>
    </xf>
    <xf numFmtId="0" fontId="85" fillId="0" borderId="0"/>
    <xf numFmtId="0" fontId="85" fillId="0" borderId="0"/>
    <xf numFmtId="0" fontId="85" fillId="0" borderId="0"/>
    <xf numFmtId="0" fontId="85" fillId="0" borderId="0"/>
    <xf numFmtId="0" fontId="73" fillId="0" borderId="0"/>
    <xf numFmtId="0" fontId="26" fillId="0" borderId="0"/>
    <xf numFmtId="0" fontId="85" fillId="0" borderId="0"/>
    <xf numFmtId="0" fontId="26" fillId="0" borderId="0"/>
    <xf numFmtId="0" fontId="85" fillId="0" borderId="0"/>
    <xf numFmtId="0" fontId="85" fillId="0" borderId="0"/>
    <xf numFmtId="0" fontId="85" fillId="0" borderId="0"/>
    <xf numFmtId="0" fontId="85" fillId="0" borderId="0"/>
    <xf numFmtId="0" fontId="67" fillId="0" borderId="0"/>
    <xf numFmtId="0" fontId="61" fillId="0" borderId="0">
      <alignment vertical="top"/>
    </xf>
    <xf numFmtId="0" fontId="67" fillId="0" borderId="0"/>
    <xf numFmtId="0" fontId="61" fillId="0" borderId="0">
      <alignment vertical="top"/>
    </xf>
    <xf numFmtId="0" fontId="61" fillId="0" borderId="0">
      <alignment vertical="top"/>
    </xf>
    <xf numFmtId="0" fontId="85" fillId="0" borderId="0"/>
    <xf numFmtId="0" fontId="67" fillId="0" borderId="0"/>
    <xf numFmtId="0" fontId="85" fillId="0" borderId="0"/>
    <xf numFmtId="0" fontId="61" fillId="0" borderId="0">
      <alignment vertical="top"/>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7"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26" fillId="0" borderId="0"/>
    <xf numFmtId="0" fontId="61" fillId="0" borderId="0">
      <alignment vertical="top"/>
    </xf>
    <xf numFmtId="0" fontId="85" fillId="0" borderId="0"/>
    <xf numFmtId="0" fontId="85" fillId="0" borderId="0"/>
    <xf numFmtId="0" fontId="85" fillId="0" borderId="0"/>
    <xf numFmtId="0" fontId="85" fillId="0" borderId="0"/>
    <xf numFmtId="0" fontId="26"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7"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26"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1" fillId="0" borderId="0"/>
    <xf numFmtId="0" fontId="61" fillId="0" borderId="0">
      <alignment vertical="top"/>
    </xf>
    <xf numFmtId="0" fontId="61" fillId="0" borderId="0">
      <alignment vertical="top"/>
    </xf>
    <xf numFmtId="0" fontId="61" fillId="0" borderId="0"/>
    <xf numFmtId="0" fontId="61" fillId="0" borderId="0">
      <alignment vertical="top"/>
    </xf>
    <xf numFmtId="0" fontId="61" fillId="0" borderId="0"/>
    <xf numFmtId="0" fontId="61"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26"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26" fillId="0" borderId="0"/>
    <xf numFmtId="0" fontId="85" fillId="0" borderId="0"/>
    <xf numFmtId="0" fontId="85" fillId="0" borderId="0"/>
    <xf numFmtId="0" fontId="85" fillId="0" borderId="0"/>
    <xf numFmtId="0" fontId="17" fillId="0" borderId="0" applyProtection="0">
      <protection locked="0"/>
    </xf>
    <xf numFmtId="0" fontId="26" fillId="0" borderId="0" applyProtection="0">
      <protection locked="0"/>
    </xf>
    <xf numFmtId="0" fontId="26" fillId="0" borderId="0" applyProtection="0">
      <protection locked="0"/>
    </xf>
    <xf numFmtId="0" fontId="62" fillId="0" borderId="0"/>
    <xf numFmtId="0" fontId="17" fillId="0" borderId="0"/>
    <xf numFmtId="0" fontId="77" fillId="41" borderId="24" applyNumberFormat="0" applyFont="0" applyAlignment="0" applyProtection="0"/>
    <xf numFmtId="0" fontId="85" fillId="41" borderId="24" applyNumberFormat="0" applyFont="0" applyAlignment="0" applyProtection="0"/>
    <xf numFmtId="0" fontId="85" fillId="41" borderId="24" applyNumberFormat="0" applyFont="0" applyAlignment="0" applyProtection="0"/>
    <xf numFmtId="0" fontId="85" fillId="41" borderId="24" applyNumberFormat="0" applyFont="0" applyAlignment="0" applyProtection="0"/>
    <xf numFmtId="0" fontId="85" fillId="41" borderId="24" applyNumberFormat="0" applyFont="0" applyAlignment="0" applyProtection="0"/>
    <xf numFmtId="0" fontId="85" fillId="41" borderId="24" applyNumberFormat="0" applyFont="0" applyAlignment="0" applyProtection="0"/>
    <xf numFmtId="0" fontId="85" fillId="41" borderId="24" applyNumberFormat="0" applyFont="0" applyAlignment="0" applyProtection="0"/>
    <xf numFmtId="0" fontId="85" fillId="41" borderId="24" applyNumberFormat="0" applyFont="0" applyAlignment="0" applyProtection="0"/>
    <xf numFmtId="0" fontId="85" fillId="41" borderId="24" applyNumberFormat="0" applyFont="0" applyAlignment="0" applyProtection="0"/>
    <xf numFmtId="0" fontId="77" fillId="41" borderId="24" applyNumberFormat="0" applyFont="0" applyAlignment="0" applyProtection="0"/>
    <xf numFmtId="0" fontId="85" fillId="41" borderId="24" applyNumberFormat="0" applyFont="0" applyAlignment="0" applyProtection="0"/>
    <xf numFmtId="0" fontId="85" fillId="41" borderId="24" applyNumberFormat="0" applyFont="0" applyAlignment="0" applyProtection="0"/>
    <xf numFmtId="0" fontId="85" fillId="41" borderId="24" applyNumberFormat="0" applyFont="0" applyAlignment="0" applyProtection="0"/>
    <xf numFmtId="0" fontId="85" fillId="41" borderId="24" applyNumberFormat="0" applyFont="0" applyAlignment="0" applyProtection="0"/>
    <xf numFmtId="0" fontId="85" fillId="41" borderId="24" applyNumberFormat="0" applyFont="0" applyAlignment="0" applyProtection="0"/>
    <xf numFmtId="0" fontId="85" fillId="41" borderId="24" applyNumberFormat="0" applyFont="0" applyAlignment="0" applyProtection="0"/>
    <xf numFmtId="0" fontId="85" fillId="41" borderId="24" applyNumberFormat="0" applyFont="0" applyAlignment="0" applyProtection="0"/>
    <xf numFmtId="0" fontId="85" fillId="41" borderId="24" applyNumberFormat="0" applyFont="0" applyAlignment="0" applyProtection="0"/>
    <xf numFmtId="0" fontId="100" fillId="36" borderId="25" applyNumberFormat="0" applyAlignment="0" applyProtection="0"/>
    <xf numFmtId="0" fontId="100" fillId="36" borderId="25" applyNumberFormat="0" applyAlignment="0" applyProtection="0"/>
    <xf numFmtId="0" fontId="22" fillId="0" borderId="0" applyNumberFormat="0" applyFill="0" applyBorder="0">
      <alignment horizontal="left"/>
    </xf>
    <xf numFmtId="0" fontId="101" fillId="0" borderId="0" applyNumberFormat="0" applyFill="0" applyBorder="0" applyAlignment="0" applyProtection="0"/>
    <xf numFmtId="0" fontId="102" fillId="0" borderId="26" applyNumberFormat="0" applyFill="0" applyAlignment="0" applyProtection="0"/>
    <xf numFmtId="0" fontId="102" fillId="0" borderId="26" applyNumberFormat="0" applyFill="0" applyAlignment="0" applyProtection="0"/>
    <xf numFmtId="0" fontId="103" fillId="0" borderId="0" applyNumberFormat="0" applyFill="0" applyBorder="0" applyAlignment="0" applyProtection="0"/>
    <xf numFmtId="0" fontId="17" fillId="0" borderId="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7"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7"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7" fillId="0" borderId="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7" fillId="0" borderId="0"/>
    <xf numFmtId="0" fontId="16" fillId="0" borderId="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7" fillId="0" borderId="0"/>
    <xf numFmtId="0" fontId="16" fillId="0" borderId="0"/>
    <xf numFmtId="0" fontId="16" fillId="0" borderId="0"/>
    <xf numFmtId="0" fontId="16" fillId="0" borderId="0"/>
    <xf numFmtId="0" fontId="16" fillId="0" borderId="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7" fillId="0" borderId="0"/>
    <xf numFmtId="0" fontId="16" fillId="0" borderId="0"/>
    <xf numFmtId="0" fontId="16" fillId="0" borderId="0"/>
    <xf numFmtId="0" fontId="16" fillId="0" borderId="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9" fontId="17" fillId="0" borderId="0" applyFont="0" applyFill="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08"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7"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4" fontId="110"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111" fillId="0" borderId="0" applyNumberForma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01" fillId="0" borderId="0" applyNumberFormat="0" applyFill="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44" fontId="17" fillId="0" borderId="0" applyFont="0" applyFill="0" applyBorder="0" applyAlignment="0" applyProtection="0"/>
    <xf numFmtId="9" fontId="120" fillId="0" borderId="0" applyFont="0" applyFill="0" applyBorder="0" applyAlignment="0" applyProtection="0"/>
    <xf numFmtId="0" fontId="120" fillId="0" borderId="0"/>
    <xf numFmtId="0" fontId="11" fillId="0" borderId="0"/>
    <xf numFmtId="0" fontId="17" fillId="0" borderId="0"/>
    <xf numFmtId="43" fontId="11" fillId="0" borderId="0" applyFont="0" applyFill="0" applyBorder="0" applyAlignment="0" applyProtection="0"/>
    <xf numFmtId="9" fontId="11" fillId="0" borderId="0" applyFont="0" applyFill="0" applyBorder="0" applyAlignment="0" applyProtection="0"/>
    <xf numFmtId="0" fontId="10" fillId="0" borderId="0"/>
    <xf numFmtId="44" fontId="10" fillId="0" borderId="0" applyFont="0" applyFill="0" applyBorder="0" applyAlignment="0" applyProtection="0"/>
    <xf numFmtId="9" fontId="10" fillId="0" borderId="0" applyFont="0" applyFill="0" applyBorder="0" applyAlignment="0" applyProtection="0"/>
    <xf numFmtId="43" fontId="148" fillId="0" borderId="0" applyFont="0" applyFill="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0" borderId="0"/>
    <xf numFmtId="44" fontId="8" fillId="0" borderId="0" applyFont="0" applyFill="0" applyBorder="0" applyAlignment="0" applyProtection="0"/>
    <xf numFmtId="9" fontId="8" fillId="0" borderId="0" applyFont="0" applyFill="0" applyBorder="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44" fontId="150"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4" fillId="0" borderId="0"/>
    <xf numFmtId="0" fontId="3" fillId="0" borderId="0"/>
    <xf numFmtId="0" fontId="17" fillId="0" borderId="0" applyBorder="0"/>
    <xf numFmtId="44"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7"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98">
    <xf numFmtId="0" fontId="0" fillId="0" borderId="0" xfId="0"/>
    <xf numFmtId="0" fontId="0" fillId="0" borderId="0" xfId="0" applyAlignment="1">
      <alignment horizontal="center"/>
    </xf>
    <xf numFmtId="0" fontId="24" fillId="0" borderId="0" xfId="0" applyFont="1"/>
    <xf numFmtId="0" fontId="17" fillId="0" borderId="0" xfId="0" applyFont="1"/>
    <xf numFmtId="0" fontId="26" fillId="0" borderId="0" xfId="0" applyFont="1"/>
    <xf numFmtId="0" fontId="0" fillId="0" borderId="4" xfId="0" applyBorder="1"/>
    <xf numFmtId="0" fontId="26" fillId="0" borderId="0" xfId="0" applyFont="1" applyAlignment="1">
      <alignment horizontal="center"/>
    </xf>
    <xf numFmtId="0" fontId="17"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4" fillId="0" borderId="4" xfId="0" applyFont="1" applyBorder="1"/>
    <xf numFmtId="164" fontId="0" fillId="0" borderId="0" xfId="0" applyNumberFormat="1" applyAlignment="1">
      <alignment horizontal="right"/>
    </xf>
    <xf numFmtId="0" fontId="24" fillId="0" borderId="0" xfId="0" applyFont="1" applyAlignment="1">
      <alignment horizontal="center"/>
    </xf>
    <xf numFmtId="0" fontId="17" fillId="0" borderId="0" xfId="543"/>
    <xf numFmtId="0" fontId="26" fillId="0" borderId="0" xfId="0" applyFont="1" applyAlignment="1">
      <alignment horizontal="left" vertical="top" wrapText="1"/>
    </xf>
    <xf numFmtId="0" fontId="32" fillId="0" borderId="0" xfId="0" applyFont="1"/>
    <xf numFmtId="0" fontId="25" fillId="0" borderId="0" xfId="0" applyFont="1" applyAlignment="1">
      <alignment vertical="top"/>
    </xf>
    <xf numFmtId="0" fontId="25" fillId="0" borderId="0" xfId="0" applyFont="1" applyAlignment="1">
      <alignment vertical="top" wrapText="1"/>
    </xf>
    <xf numFmtId="0" fontId="26" fillId="0" borderId="0" xfId="0" applyFont="1" applyAlignment="1">
      <alignment horizontal="left" indent="4"/>
    </xf>
    <xf numFmtId="0" fontId="25" fillId="0" borderId="0" xfId="0" applyFont="1" applyAlignment="1">
      <alignment horizontal="left" vertical="top"/>
    </xf>
    <xf numFmtId="0" fontId="25" fillId="0" borderId="0" xfId="0" applyFont="1" applyAlignment="1">
      <alignment horizontal="left"/>
    </xf>
    <xf numFmtId="0" fontId="25" fillId="0" borderId="0" xfId="0" applyFont="1"/>
    <xf numFmtId="0" fontId="37" fillId="0" borderId="0" xfId="543" applyFont="1"/>
    <xf numFmtId="1" fontId="25" fillId="0" borderId="0" xfId="0" applyNumberFormat="1" applyFont="1" applyAlignment="1">
      <alignment horizontal="left"/>
    </xf>
    <xf numFmtId="0" fontId="27" fillId="0" borderId="0" xfId="0" applyFont="1"/>
    <xf numFmtId="1" fontId="25" fillId="0" borderId="0" xfId="0" applyNumberFormat="1" applyFont="1" applyAlignment="1">
      <alignment horizontal="right"/>
    </xf>
    <xf numFmtId="0" fontId="0" fillId="0" borderId="0" xfId="0" applyAlignment="1">
      <alignment horizontal="right"/>
    </xf>
    <xf numFmtId="0" fontId="36" fillId="0" borderId="0" xfId="0" applyFont="1"/>
    <xf numFmtId="0" fontId="29" fillId="0" borderId="0" xfId="0" applyFont="1"/>
    <xf numFmtId="172" fontId="17" fillId="0" borderId="0" xfId="543" applyNumberFormat="1"/>
    <xf numFmtId="9" fontId="17" fillId="0" borderId="0" xfId="543" applyNumberFormat="1" applyAlignment="1">
      <alignment horizontal="left"/>
    </xf>
    <xf numFmtId="168" fontId="17" fillId="0" borderId="0" xfId="543" applyNumberFormat="1"/>
    <xf numFmtId="0" fontId="26" fillId="0" borderId="0" xfId="0" applyFont="1" applyAlignment="1">
      <alignment horizontal="right"/>
    </xf>
    <xf numFmtId="0" fontId="40" fillId="0" borderId="0" xfId="0" applyFont="1"/>
    <xf numFmtId="0" fontId="26" fillId="0" borderId="0" xfId="0" applyFont="1" applyAlignment="1">
      <alignment horizontal="left"/>
    </xf>
    <xf numFmtId="0" fontId="28" fillId="0" borderId="0" xfId="0" applyFont="1"/>
    <xf numFmtId="0" fontId="30" fillId="0" borderId="0" xfId="0" applyFont="1"/>
    <xf numFmtId="0" fontId="24"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4" fillId="0" borderId="1" xfId="0" applyFont="1" applyBorder="1" applyAlignment="1">
      <alignment horizontal="center" wrapText="1"/>
    </xf>
    <xf numFmtId="0" fontId="24"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4" fillId="0" borderId="4" xfId="0" applyFont="1" applyBorder="1" applyAlignment="1">
      <alignment horizontal="center"/>
    </xf>
    <xf numFmtId="0" fontId="33" fillId="0" borderId="3" xfId="0" applyFont="1" applyBorder="1" applyAlignment="1">
      <alignment horizontal="left"/>
    </xf>
    <xf numFmtId="0" fontId="33" fillId="0" borderId="9" xfId="0" applyFont="1" applyBorder="1" applyAlignment="1">
      <alignment horizontal="left"/>
    </xf>
    <xf numFmtId="0" fontId="24" fillId="0" borderId="4" xfId="0" applyFont="1" applyBorder="1" applyAlignment="1">
      <alignment horizontal="right"/>
    </xf>
    <xf numFmtId="0" fontId="24" fillId="0" borderId="5" xfId="0" applyFont="1" applyBorder="1" applyAlignment="1">
      <alignment horizontal="right"/>
    </xf>
    <xf numFmtId="0" fontId="33" fillId="0" borderId="0" xfId="0" applyFont="1" applyAlignment="1">
      <alignment horizontal="left"/>
    </xf>
    <xf numFmtId="0" fontId="24" fillId="0" borderId="0" xfId="0" applyFont="1" applyAlignment="1">
      <alignment horizontal="right"/>
    </xf>
    <xf numFmtId="0" fontId="24"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6" fillId="0" borderId="11" xfId="0" applyFont="1" applyBorder="1" applyAlignment="1">
      <alignment horizontal="left"/>
    </xf>
    <xf numFmtId="0" fontId="24" fillId="0" borderId="9" xfId="0" applyFont="1" applyBorder="1"/>
    <xf numFmtId="164" fontId="0" fillId="0" borderId="0" xfId="0" applyNumberFormat="1" applyAlignment="1">
      <alignment horizontal="center"/>
    </xf>
    <xf numFmtId="0" fontId="0" fillId="0" borderId="12" xfId="0" applyBorder="1"/>
    <xf numFmtId="0" fontId="26" fillId="0" borderId="3" xfId="0" applyFont="1" applyBorder="1"/>
    <xf numFmtId="0" fontId="26" fillId="0" borderId="0" xfId="543" applyFont="1"/>
    <xf numFmtId="0" fontId="42" fillId="0" borderId="0" xfId="543" applyFont="1"/>
    <xf numFmtId="49" fontId="17" fillId="0" borderId="0" xfId="543" applyNumberFormat="1"/>
    <xf numFmtId="0" fontId="40" fillId="0" borderId="0" xfId="543" applyFont="1"/>
    <xf numFmtId="168" fontId="37" fillId="0" borderId="6" xfId="543" applyNumberFormat="1" applyFont="1" applyBorder="1" applyAlignment="1">
      <alignment horizontal="left"/>
    </xf>
    <xf numFmtId="168" fontId="37" fillId="0" borderId="6" xfId="543" applyNumberFormat="1" applyFont="1" applyBorder="1" applyAlignment="1">
      <alignment horizontal="center"/>
    </xf>
    <xf numFmtId="0" fontId="17" fillId="0" borderId="8" xfId="543" applyBorder="1"/>
    <xf numFmtId="0" fontId="37" fillId="0" borderId="0" xfId="543" applyFont="1" applyAlignment="1">
      <alignment horizontal="center"/>
    </xf>
    <xf numFmtId="0" fontId="36" fillId="0" borderId="9" xfId="543" applyFont="1" applyBorder="1" applyAlignment="1">
      <alignment horizontal="left" vertical="top" wrapText="1"/>
    </xf>
    <xf numFmtId="0" fontId="36" fillId="0" borderId="6" xfId="543" applyFont="1" applyBorder="1" applyAlignment="1">
      <alignment horizontal="center" vertical="top" wrapText="1"/>
    </xf>
    <xf numFmtId="0" fontId="17" fillId="0" borderId="9" xfId="543" applyBorder="1"/>
    <xf numFmtId="0" fontId="17" fillId="0" borderId="10" xfId="543" applyBorder="1"/>
    <xf numFmtId="0" fontId="17" fillId="0" borderId="1" xfId="543" applyBorder="1"/>
    <xf numFmtId="0" fontId="37" fillId="0" borderId="2" xfId="543" applyFont="1" applyBorder="1" applyAlignment="1">
      <alignment horizontal="center"/>
    </xf>
    <xf numFmtId="0" fontId="39" fillId="0" borderId="8" xfId="543" applyFont="1" applyBorder="1" applyAlignment="1">
      <alignment horizontal="left" vertical="top" wrapText="1"/>
    </xf>
    <xf numFmtId="0" fontId="36" fillId="0" borderId="0" xfId="543" applyFont="1" applyAlignment="1">
      <alignment horizontal="center" vertical="top" wrapText="1"/>
    </xf>
    <xf numFmtId="0" fontId="17" fillId="0" borderId="12" xfId="543" applyBorder="1"/>
    <xf numFmtId="0" fontId="39" fillId="0" borderId="0" xfId="543" applyFont="1" applyAlignment="1">
      <alignment horizontal="center" vertical="top" wrapText="1"/>
    </xf>
    <xf numFmtId="0" fontId="39" fillId="0" borderId="9" xfId="543" applyFont="1" applyBorder="1" applyAlignment="1">
      <alignment horizontal="left" vertical="top" wrapText="1"/>
    </xf>
    <xf numFmtId="0" fontId="17" fillId="0" borderId="2" xfId="543" applyBorder="1"/>
    <xf numFmtId="0" fontId="17" fillId="0" borderId="7" xfId="543" applyBorder="1"/>
    <xf numFmtId="0" fontId="36" fillId="0" borderId="0" xfId="543" applyFont="1"/>
    <xf numFmtId="0" fontId="17" fillId="0" borderId="0" xfId="543" applyAlignment="1">
      <alignment horizontal="center"/>
    </xf>
    <xf numFmtId="0" fontId="25" fillId="0" borderId="6" xfId="543" applyFont="1" applyBorder="1" applyAlignment="1">
      <alignment vertical="top" wrapText="1"/>
    </xf>
    <xf numFmtId="0" fontId="26" fillId="0" borderId="0" xfId="0" applyFont="1" applyAlignment="1">
      <alignment horizontal="left" vertical="top"/>
    </xf>
    <xf numFmtId="0" fontId="0" fillId="2" borderId="2" xfId="0" applyFill="1" applyBorder="1"/>
    <xf numFmtId="0" fontId="0" fillId="2" borderId="7" xfId="0" applyFill="1" applyBorder="1"/>
    <xf numFmtId="0" fontId="24" fillId="0" borderId="6" xfId="0" applyFont="1" applyBorder="1" applyAlignment="1">
      <alignment horizontal="right"/>
    </xf>
    <xf numFmtId="0" fontId="23" fillId="0" borderId="0" xfId="0" applyFont="1" applyAlignment="1">
      <alignment horizontal="center" vertical="center"/>
    </xf>
    <xf numFmtId="0" fontId="24" fillId="0" borderId="0" xfId="0" applyFont="1" applyAlignment="1">
      <alignment vertical="top"/>
    </xf>
    <xf numFmtId="166" fontId="0" fillId="0" borderId="0" xfId="0" applyNumberFormat="1" applyAlignment="1">
      <alignment horizontal="right"/>
    </xf>
    <xf numFmtId="0" fontId="47" fillId="0" borderId="0" xfId="0" applyFont="1"/>
    <xf numFmtId="0" fontId="34" fillId="0" borderId="0" xfId="0" applyFont="1"/>
    <xf numFmtId="0" fontId="18" fillId="0" borderId="0" xfId="244" applyBorder="1" applyProtection="1"/>
    <xf numFmtId="0" fontId="18" fillId="0" borderId="0" xfId="244" applyFill="1" applyBorder="1" applyAlignment="1">
      <alignment horizontal="center" vertical="center"/>
    </xf>
    <xf numFmtId="0" fontId="17" fillId="0" borderId="3" xfId="543" applyBorder="1"/>
    <xf numFmtId="0" fontId="39" fillId="0" borderId="4" xfId="543" applyFont="1" applyBorder="1" applyAlignment="1">
      <alignment horizontal="right" vertical="top" wrapText="1"/>
    </xf>
    <xf numFmtId="0" fontId="26" fillId="0" borderId="6" xfId="0" applyFont="1" applyBorder="1"/>
    <xf numFmtId="0" fontId="26" fillId="0" borderId="2" xfId="0" applyFont="1" applyBorder="1"/>
    <xf numFmtId="0" fontId="26" fillId="0" borderId="7" xfId="0" applyFont="1" applyBorder="1"/>
    <xf numFmtId="0" fontId="26" fillId="0" borderId="12" xfId="0" applyFont="1" applyBorder="1"/>
    <xf numFmtId="0" fontId="26" fillId="0" borderId="9" xfId="0" applyFont="1" applyBorder="1"/>
    <xf numFmtId="0" fontId="26" fillId="0" borderId="10" xfId="0" applyFont="1" applyBorder="1"/>
    <xf numFmtId="0" fontId="31" fillId="0" borderId="6" xfId="0" applyFont="1" applyBorder="1" applyAlignment="1">
      <alignment vertical="top" wrapText="1"/>
    </xf>
    <xf numFmtId="0" fontId="31" fillId="0" borderId="5" xfId="0" applyFont="1" applyBorder="1" applyAlignment="1">
      <alignment vertical="top" wrapText="1"/>
    </xf>
    <xf numFmtId="0" fontId="31" fillId="0" borderId="4" xfId="0" applyFont="1" applyBorder="1" applyAlignment="1">
      <alignment vertical="top" wrapText="1"/>
    </xf>
    <xf numFmtId="0" fontId="31" fillId="2" borderId="6" xfId="0" applyFont="1" applyFill="1" applyBorder="1" applyAlignment="1">
      <alignment vertical="top" wrapText="1"/>
    </xf>
    <xf numFmtId="0" fontId="0" fillId="0" borderId="8" xfId="0" applyBorder="1"/>
    <xf numFmtId="0" fontId="24" fillId="0" borderId="2" xfId="0" applyFont="1" applyBorder="1"/>
    <xf numFmtId="0" fontId="26" fillId="0" borderId="0" xfId="0" applyFont="1" applyAlignment="1">
      <alignment vertical="top"/>
    </xf>
    <xf numFmtId="0" fontId="26" fillId="0" borderId="0" xfId="0" applyFont="1" applyAlignment="1">
      <alignment vertical="top" wrapText="1"/>
    </xf>
    <xf numFmtId="0" fontId="17" fillId="0" borderId="0" xfId="0" applyFont="1" applyAlignment="1">
      <alignment horizontal="left"/>
    </xf>
    <xf numFmtId="0" fontId="17" fillId="0" borderId="0" xfId="0" applyFont="1" applyAlignment="1">
      <alignment vertical="top"/>
    </xf>
    <xf numFmtId="0" fontId="46" fillId="0" borderId="0" xfId="0" applyFont="1"/>
    <xf numFmtId="0" fontId="17" fillId="0" borderId="3" xfId="0" applyFont="1" applyBorder="1"/>
    <xf numFmtId="0" fontId="17"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1" fillId="3" borderId="4" xfId="0" applyFont="1" applyFill="1" applyBorder="1" applyAlignment="1">
      <alignment vertical="top" wrapText="1"/>
    </xf>
    <xf numFmtId="0" fontId="31" fillId="3" borderId="5" xfId="0" applyFont="1" applyFill="1" applyBorder="1" applyAlignment="1">
      <alignment vertical="top" wrapText="1"/>
    </xf>
    <xf numFmtId="0" fontId="49" fillId="0" borderId="0" xfId="0" applyFont="1"/>
    <xf numFmtId="0" fontId="26" fillId="0" borderId="4" xfId="0" applyFont="1" applyBorder="1"/>
    <xf numFmtId="0" fontId="24" fillId="0" borderId="2" xfId="0" applyFont="1" applyBorder="1" applyAlignment="1">
      <alignment horizontal="center"/>
    </xf>
    <xf numFmtId="0" fontId="24" fillId="0" borderId="0" xfId="0" applyFont="1" applyAlignment="1">
      <alignment horizontal="center" vertical="center" wrapText="1"/>
    </xf>
    <xf numFmtId="0" fontId="24" fillId="0" borderId="7" xfId="543" applyFont="1" applyBorder="1" applyAlignment="1">
      <alignment horizontal="right"/>
    </xf>
    <xf numFmtId="0" fontId="25" fillId="0" borderId="9" xfId="543" applyFont="1" applyBorder="1"/>
    <xf numFmtId="0" fontId="26" fillId="0" borderId="6" xfId="543" applyFont="1" applyBorder="1"/>
    <xf numFmtId="0" fontId="25" fillId="0" borderId="6" xfId="543" applyFont="1" applyBorder="1" applyAlignment="1">
      <alignment horizontal="right"/>
    </xf>
    <xf numFmtId="0" fontId="24" fillId="0" borderId="0" xfId="0" applyFont="1" applyAlignment="1">
      <alignment horizontal="center" vertical="center"/>
    </xf>
    <xf numFmtId="0" fontId="26" fillId="0" borderId="0" xfId="0" applyFont="1" applyAlignment="1">
      <alignment horizontal="left" vertical="center"/>
    </xf>
    <xf numFmtId="0" fontId="54" fillId="0" borderId="3" xfId="0" applyFont="1" applyBorder="1" applyAlignment="1">
      <alignment horizontal="left" vertical="top"/>
    </xf>
    <xf numFmtId="0" fontId="54" fillId="0" borderId="13" xfId="0" applyFont="1" applyBorder="1" applyAlignment="1">
      <alignment horizontal="center" wrapText="1"/>
    </xf>
    <xf numFmtId="0" fontId="54" fillId="0" borderId="13" xfId="0" applyFont="1" applyBorder="1" applyAlignment="1">
      <alignment horizontal="center" vertical="top" wrapText="1"/>
    </xf>
    <xf numFmtId="0" fontId="54" fillId="2" borderId="13" xfId="0" applyFont="1" applyFill="1" applyBorder="1" applyAlignment="1">
      <alignment horizontal="center" wrapText="1"/>
    </xf>
    <xf numFmtId="0" fontId="55" fillId="2" borderId="11" xfId="0" applyFont="1" applyFill="1" applyBorder="1" applyAlignment="1">
      <alignment horizontal="left" vertical="top" wrapText="1"/>
    </xf>
    <xf numFmtId="0" fontId="56" fillId="4" borderId="11" xfId="0" applyFont="1" applyFill="1" applyBorder="1" applyAlignment="1">
      <alignment vertical="top" wrapText="1"/>
    </xf>
    <xf numFmtId="0" fontId="56" fillId="2" borderId="11" xfId="0" applyFont="1" applyFill="1" applyBorder="1" applyAlignment="1">
      <alignment vertical="top" wrapText="1"/>
    </xf>
    <xf numFmtId="0" fontId="56" fillId="0" borderId="11" xfId="0" applyFont="1" applyBorder="1" applyAlignment="1">
      <alignment vertical="top" wrapText="1"/>
    </xf>
    <xf numFmtId="0" fontId="56" fillId="0" borderId="11" xfId="0" applyFont="1" applyBorder="1" applyAlignment="1">
      <alignment horizontal="right" vertical="top" wrapText="1"/>
    </xf>
    <xf numFmtId="168" fontId="56" fillId="0" borderId="11" xfId="0" applyNumberFormat="1" applyFont="1" applyBorder="1" applyAlignment="1">
      <alignment vertical="top" wrapText="1"/>
    </xf>
    <xf numFmtId="168" fontId="56" fillId="5" borderId="11" xfId="0" applyNumberFormat="1" applyFont="1" applyFill="1" applyBorder="1" applyAlignment="1" applyProtection="1">
      <alignment vertical="top" wrapText="1"/>
      <protection locked="0"/>
    </xf>
    <xf numFmtId="168" fontId="56" fillId="6" borderId="11" xfId="0" applyNumberFormat="1" applyFont="1" applyFill="1" applyBorder="1" applyAlignment="1">
      <alignment horizontal="center" vertical="top" wrapText="1"/>
    </xf>
    <xf numFmtId="0" fontId="54" fillId="0" borderId="11" xfId="0" applyFont="1" applyBorder="1" applyAlignment="1">
      <alignment horizontal="right" vertical="top" wrapText="1"/>
    </xf>
    <xf numFmtId="168" fontId="54" fillId="0" borderId="11" xfId="0" applyNumberFormat="1" applyFont="1" applyBorder="1" applyAlignment="1">
      <alignment vertical="top" wrapText="1"/>
    </xf>
    <xf numFmtId="168" fontId="56" fillId="4" borderId="11" xfId="0" applyNumberFormat="1" applyFont="1" applyFill="1" applyBorder="1" applyAlignment="1">
      <alignment vertical="top" wrapText="1"/>
    </xf>
    <xf numFmtId="0" fontId="54" fillId="2" borderId="11" xfId="0" applyFont="1" applyFill="1" applyBorder="1" applyAlignment="1">
      <alignment vertical="top" wrapText="1"/>
    </xf>
    <xf numFmtId="0" fontId="54" fillId="0" borderId="11" xfId="0" applyFont="1" applyBorder="1" applyAlignment="1">
      <alignment vertical="top" wrapText="1"/>
    </xf>
    <xf numFmtId="0" fontId="20" fillId="0" borderId="11" xfId="0" applyFont="1" applyBorder="1" applyAlignment="1">
      <alignment horizontal="right" vertical="top" wrapText="1"/>
    </xf>
    <xf numFmtId="0" fontId="56" fillId="0" borderId="11" xfId="0" applyFont="1" applyBorder="1" applyAlignment="1" applyProtection="1">
      <alignment horizontal="right" vertical="top" wrapText="1"/>
      <protection locked="0"/>
    </xf>
    <xf numFmtId="0" fontId="54" fillId="0" borderId="0" xfId="0" applyFont="1" applyAlignment="1">
      <alignment horizontal="left" vertical="top"/>
    </xf>
    <xf numFmtId="0" fontId="56" fillId="0" borderId="0" xfId="0" applyFont="1" applyAlignment="1">
      <alignment horizontal="left" vertical="top"/>
    </xf>
    <xf numFmtId="0" fontId="56" fillId="0" borderId="0" xfId="0" applyFont="1" applyAlignment="1">
      <alignment vertical="top" wrapText="1"/>
    </xf>
    <xf numFmtId="0" fontId="56" fillId="0" borderId="0" xfId="0" applyFont="1" applyAlignment="1">
      <alignment vertical="top"/>
    </xf>
    <xf numFmtId="0" fontId="54" fillId="0" borderId="0" xfId="0" applyFont="1" applyAlignment="1">
      <alignment horizontal="right" vertical="top"/>
    </xf>
    <xf numFmtId="0" fontId="56" fillId="2" borderId="0" xfId="0" applyFont="1" applyFill="1" applyAlignment="1">
      <alignment vertical="top" wrapText="1"/>
    </xf>
    <xf numFmtId="0" fontId="54" fillId="0" borderId="0" xfId="0" applyFont="1" applyAlignment="1">
      <alignment vertical="top"/>
    </xf>
    <xf numFmtId="166" fontId="26" fillId="0" borderId="0" xfId="0" applyNumberFormat="1" applyFont="1" applyAlignment="1">
      <alignment horizontal="left"/>
    </xf>
    <xf numFmtId="0" fontId="57" fillId="0" borderId="0" xfId="0" applyFont="1"/>
    <xf numFmtId="0" fontId="17" fillId="0" borderId="0" xfId="244" applyFont="1" applyFill="1" applyBorder="1" applyAlignment="1" applyProtection="1">
      <alignment horizontal="left"/>
    </xf>
    <xf numFmtId="0" fontId="48" fillId="0" borderId="0" xfId="0" applyFont="1"/>
    <xf numFmtId="0" fontId="48" fillId="0" borderId="0" xfId="244" applyFont="1" applyFill="1" applyBorder="1" applyAlignment="1" applyProtection="1">
      <alignment horizontal="left"/>
    </xf>
    <xf numFmtId="0" fontId="23" fillId="3" borderId="11" xfId="0" applyFont="1" applyFill="1" applyBorder="1" applyAlignment="1">
      <alignment vertical="top"/>
    </xf>
    <xf numFmtId="0" fontId="0" fillId="7" borderId="0" xfId="0" applyFill="1"/>
    <xf numFmtId="0" fontId="37" fillId="0" borderId="0" xfId="0" applyFont="1"/>
    <xf numFmtId="0" fontId="59" fillId="0" borderId="0" xfId="0" applyFont="1"/>
    <xf numFmtId="0" fontId="35" fillId="0" borderId="0" xfId="0" applyFont="1" applyAlignment="1">
      <alignment horizontal="center"/>
    </xf>
    <xf numFmtId="0" fontId="35" fillId="0" borderId="0" xfId="0" applyFont="1" applyAlignment="1">
      <alignment horizontal="left"/>
    </xf>
    <xf numFmtId="49" fontId="24" fillId="0" borderId="0" xfId="0" applyNumberFormat="1" applyFont="1" applyAlignment="1">
      <alignment horizontal="center"/>
    </xf>
    <xf numFmtId="0" fontId="51" fillId="0" borderId="0" xfId="0" applyFont="1" applyAlignment="1">
      <alignment horizontal="center"/>
    </xf>
    <xf numFmtId="168" fontId="26" fillId="0" borderId="0" xfId="0" applyNumberFormat="1" applyFont="1" applyAlignment="1">
      <alignment horizontal="center"/>
    </xf>
    <xf numFmtId="168" fontId="36" fillId="0" borderId="0" xfId="0" applyNumberFormat="1" applyFont="1" applyAlignment="1">
      <alignment horizontal="left" vertical="top" wrapText="1"/>
    </xf>
    <xf numFmtId="0" fontId="53" fillId="0" borderId="3" xfId="0" applyFont="1" applyBorder="1"/>
    <xf numFmtId="168" fontId="0" fillId="0" borderId="0" xfId="0" applyNumberFormat="1" applyAlignment="1">
      <alignment horizontal="center"/>
    </xf>
    <xf numFmtId="0" fontId="37" fillId="0" borderId="0" xfId="0" applyFont="1" applyAlignment="1">
      <alignment vertical="top" wrapText="1"/>
    </xf>
    <xf numFmtId="0" fontId="54" fillId="0" borderId="4" xfId="0" applyFont="1" applyBorder="1" applyAlignment="1">
      <alignment horizontal="right"/>
    </xf>
    <xf numFmtId="0" fontId="61" fillId="0" borderId="0" xfId="0" applyFont="1"/>
    <xf numFmtId="3" fontId="26" fillId="0" borderId="0" xfId="0" applyNumberFormat="1" applyFont="1" applyAlignment="1">
      <alignment horizontal="center"/>
    </xf>
    <xf numFmtId="168" fontId="17" fillId="0" borderId="0" xfId="0" applyNumberFormat="1" applyFont="1" applyAlignment="1">
      <alignment horizontal="left" vertical="top"/>
    </xf>
    <xf numFmtId="168" fontId="26" fillId="0" borderId="0" xfId="0" applyNumberFormat="1" applyFont="1" applyAlignment="1">
      <alignment horizontal="left" vertical="top"/>
    </xf>
    <xf numFmtId="0" fontId="56" fillId="0" borderId="11" xfId="0" applyFont="1" applyBorder="1" applyAlignment="1">
      <alignment horizontal="right" vertical="top"/>
    </xf>
    <xf numFmtId="0" fontId="56" fillId="0" borderId="0" xfId="0" applyFont="1" applyAlignment="1">
      <alignment horizontal="right" vertical="top" wrapText="1"/>
    </xf>
    <xf numFmtId="0" fontId="56" fillId="2" borderId="12" xfId="0" applyFont="1" applyFill="1" applyBorder="1" applyAlignment="1">
      <alignment vertical="top" wrapText="1"/>
    </xf>
    <xf numFmtId="0" fontId="56" fillId="0" borderId="14" xfId="0" applyFont="1" applyBorder="1" applyAlignment="1">
      <alignment vertical="top" wrapText="1"/>
    </xf>
    <xf numFmtId="168" fontId="56" fillId="5" borderId="11" xfId="0" applyNumberFormat="1" applyFont="1" applyFill="1" applyBorder="1" applyAlignment="1" applyProtection="1">
      <alignment vertical="top"/>
      <protection locked="0"/>
    </xf>
    <xf numFmtId="0" fontId="56" fillId="2" borderId="11" xfId="0" applyFont="1" applyFill="1" applyBorder="1" applyAlignment="1" applyProtection="1">
      <alignment vertical="top"/>
      <protection locked="0"/>
    </xf>
    <xf numFmtId="0" fontId="56" fillId="0" borderId="11" xfId="0" applyFont="1" applyBorder="1" applyAlignment="1" applyProtection="1">
      <alignment vertical="top"/>
      <protection locked="0"/>
    </xf>
    <xf numFmtId="168" fontId="56" fillId="0" borderId="11" xfId="0" applyNumberFormat="1" applyFont="1" applyBorder="1" applyAlignment="1">
      <alignment vertical="top"/>
    </xf>
    <xf numFmtId="168" fontId="56" fillId="6" borderId="11" xfId="0" applyNumberFormat="1" applyFont="1" applyFill="1" applyBorder="1" applyAlignment="1">
      <alignment horizontal="center" vertical="top"/>
    </xf>
    <xf numFmtId="0" fontId="24" fillId="0" borderId="0" xfId="542" applyFont="1" applyProtection="1">
      <protection locked="0"/>
    </xf>
    <xf numFmtId="0" fontId="17" fillId="0" borderId="0" xfId="539" applyProtection="1"/>
    <xf numFmtId="0" fontId="37" fillId="8" borderId="0" xfId="539" applyFont="1" applyFill="1" applyAlignment="1" applyProtection="1">
      <alignment horizontal="centerContinuous"/>
    </xf>
    <xf numFmtId="0" fontId="24" fillId="0" borderId="0" xfId="543" applyFont="1"/>
    <xf numFmtId="0" fontId="26" fillId="0" borderId="0" xfId="543" applyFont="1" applyAlignment="1">
      <alignment horizontal="left"/>
    </xf>
    <xf numFmtId="0" fontId="26" fillId="0" borderId="15" xfId="0" applyFont="1" applyBorder="1"/>
    <xf numFmtId="0" fontId="26" fillId="0" borderId="11" xfId="0" applyFont="1" applyBorder="1"/>
    <xf numFmtId="2" fontId="40" fillId="0" borderId="11" xfId="0" applyNumberFormat="1" applyFont="1" applyBorder="1"/>
    <xf numFmtId="0" fontId="17" fillId="0" borderId="0" xfId="0" applyFont="1" applyProtection="1">
      <protection locked="0"/>
    </xf>
    <xf numFmtId="0" fontId="64" fillId="0" borderId="0" xfId="0" applyFont="1" applyAlignment="1">
      <alignment horizontal="center"/>
    </xf>
    <xf numFmtId="0" fontId="26" fillId="0" borderId="0" xfId="271"/>
    <xf numFmtId="0" fontId="24" fillId="0" borderId="0" xfId="271" applyFont="1"/>
    <xf numFmtId="0" fontId="26" fillId="0" borderId="0" xfId="271" applyAlignment="1">
      <alignment horizontal="left"/>
    </xf>
    <xf numFmtId="168" fontId="24" fillId="0" borderId="2" xfId="543" applyNumberFormat="1" applyFont="1" applyBorder="1" applyAlignment="1">
      <alignment horizontal="center" vertical="center"/>
    </xf>
    <xf numFmtId="0" fontId="39" fillId="0" borderId="0" xfId="543" applyFont="1" applyAlignment="1">
      <alignment horizontal="right" vertical="top" wrapText="1"/>
    </xf>
    <xf numFmtId="0" fontId="37" fillId="0" borderId="2" xfId="543" applyFont="1" applyBorder="1" applyAlignment="1">
      <alignment horizontal="right" vertical="top" wrapText="1"/>
    </xf>
    <xf numFmtId="0" fontId="22" fillId="0" borderId="0" xfId="0" applyFont="1"/>
    <xf numFmtId="0" fontId="66" fillId="0" borderId="0" xfId="0" applyFont="1"/>
    <xf numFmtId="0" fontId="64" fillId="0" borderId="0" xfId="0" applyFont="1"/>
    <xf numFmtId="0" fontId="37"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4" fillId="0" borderId="0" xfId="0" applyNumberFormat="1" applyFont="1" applyAlignment="1">
      <alignment horizontal="center"/>
    </xf>
    <xf numFmtId="3" fontId="26" fillId="0" borderId="0" xfId="0" applyNumberFormat="1" applyFont="1"/>
    <xf numFmtId="0" fontId="65" fillId="0" borderId="0" xfId="0" applyFont="1"/>
    <xf numFmtId="168" fontId="22" fillId="0" borderId="0" xfId="0" applyNumberFormat="1" applyFont="1"/>
    <xf numFmtId="10" fontId="22" fillId="0" borderId="0" xfId="0" applyNumberFormat="1" applyFont="1" applyAlignment="1">
      <alignment horizontal="center"/>
    </xf>
    <xf numFmtId="3" fontId="68" fillId="0" borderId="0" xfId="0" applyNumberFormat="1" applyFont="1"/>
    <xf numFmtId="3" fontId="22" fillId="0" borderId="0" xfId="0" applyNumberFormat="1" applyFont="1"/>
    <xf numFmtId="168" fontId="65" fillId="0" borderId="0" xfId="0" applyNumberFormat="1" applyFont="1"/>
    <xf numFmtId="168" fontId="65" fillId="0" borderId="0" xfId="0" applyNumberFormat="1" applyFont="1" applyAlignment="1">
      <alignment horizontal="center"/>
    </xf>
    <xf numFmtId="0" fontId="22" fillId="5" borderId="0" xfId="0" applyFont="1" applyFill="1" applyAlignment="1">
      <alignment horizontal="left"/>
    </xf>
    <xf numFmtId="0" fontId="22" fillId="5" borderId="0" xfId="0" applyFont="1" applyFill="1"/>
    <xf numFmtId="10" fontId="22" fillId="0" borderId="0" xfId="0" applyNumberFormat="1" applyFont="1"/>
    <xf numFmtId="172" fontId="22" fillId="0" borderId="0" xfId="0" applyNumberFormat="1" applyFont="1"/>
    <xf numFmtId="172" fontId="22" fillId="0" borderId="0" xfId="0" applyNumberFormat="1" applyFont="1" applyAlignment="1">
      <alignment horizontal="center"/>
    </xf>
    <xf numFmtId="0" fontId="22" fillId="0" borderId="6" xfId="0" applyFont="1" applyBorder="1"/>
    <xf numFmtId="10" fontId="22" fillId="0" borderId="6" xfId="0" applyNumberFormat="1" applyFont="1" applyBorder="1" applyAlignment="1">
      <alignment horizontal="center"/>
    </xf>
    <xf numFmtId="3" fontId="22" fillId="0" borderId="6" xfId="0" applyNumberFormat="1" applyFont="1" applyBorder="1"/>
    <xf numFmtId="10" fontId="26" fillId="0" borderId="0" xfId="0" applyNumberFormat="1" applyFont="1" applyAlignment="1">
      <alignment horizontal="center"/>
    </xf>
    <xf numFmtId="3" fontId="26" fillId="0" borderId="0" xfId="0" applyNumberFormat="1" applyFont="1" applyAlignment="1">
      <alignment vertical="top"/>
    </xf>
    <xf numFmtId="10" fontId="24" fillId="0" borderId="0" xfId="0" applyNumberFormat="1" applyFont="1" applyAlignment="1">
      <alignment horizontal="center"/>
    </xf>
    <xf numFmtId="0" fontId="64" fillId="0" borderId="6" xfId="0" applyFont="1" applyBorder="1" applyAlignment="1">
      <alignment horizontal="center"/>
    </xf>
    <xf numFmtId="172" fontId="26" fillId="0" borderId="0" xfId="0" applyNumberFormat="1" applyFont="1" applyAlignment="1">
      <alignment horizontal="center"/>
    </xf>
    <xf numFmtId="10" fontId="69" fillId="0" borderId="0" xfId="0" applyNumberFormat="1" applyFont="1" applyAlignment="1">
      <alignment horizontal="center"/>
    </xf>
    <xf numFmtId="0" fontId="26" fillId="9" borderId="6" xfId="0" applyFont="1" applyFill="1" applyBorder="1"/>
    <xf numFmtId="0" fontId="26" fillId="0" borderId="4" xfId="271" applyBorder="1"/>
    <xf numFmtId="0" fontId="26" fillId="0" borderId="6" xfId="271" applyBorder="1"/>
    <xf numFmtId="0" fontId="26" fillId="0" borderId="1" xfId="0" applyFont="1" applyBorder="1"/>
    <xf numFmtId="168" fontId="26" fillId="0" borderId="3" xfId="0" applyNumberFormat="1" applyFont="1" applyBorder="1" applyAlignment="1">
      <alignment vertical="top"/>
    </xf>
    <xf numFmtId="168" fontId="26" fillId="0" borderId="4" xfId="0" applyNumberFormat="1" applyFont="1" applyBorder="1" applyAlignment="1">
      <alignment vertical="top"/>
    </xf>
    <xf numFmtId="168" fontId="26" fillId="0" borderId="5" xfId="0" applyNumberFormat="1" applyFont="1" applyBorder="1" applyAlignment="1">
      <alignment vertical="top"/>
    </xf>
    <xf numFmtId="168" fontId="26" fillId="0" borderId="8" xfId="0" applyNumberFormat="1" applyFont="1" applyBorder="1" applyAlignment="1">
      <alignment vertical="top"/>
    </xf>
    <xf numFmtId="168" fontId="26" fillId="0" borderId="0" xfId="0" applyNumberFormat="1" applyFont="1" applyAlignment="1">
      <alignment vertical="top"/>
    </xf>
    <xf numFmtId="0" fontId="26" fillId="0" borderId="0" xfId="0" applyFont="1" applyAlignment="1">
      <alignment horizontal="right" vertical="top"/>
    </xf>
    <xf numFmtId="0" fontId="26"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6" fillId="5" borderId="4" xfId="0" applyFont="1" applyFill="1" applyBorder="1" applyAlignment="1" applyProtection="1">
      <alignment horizontal="left" vertical="top"/>
      <protection locked="0"/>
    </xf>
    <xf numFmtId="0" fontId="26" fillId="5" borderId="5" xfId="0" applyFont="1" applyFill="1" applyBorder="1" applyAlignment="1" applyProtection="1">
      <alignment horizontal="left" vertical="top"/>
      <protection locked="0"/>
    </xf>
    <xf numFmtId="4" fontId="51" fillId="0" borderId="0" xfId="0" applyNumberFormat="1" applyFont="1" applyAlignment="1">
      <alignment horizontal="center"/>
    </xf>
    <xf numFmtId="0" fontId="36" fillId="0" borderId="1" xfId="543" applyFont="1" applyBorder="1" applyAlignment="1">
      <alignment horizontal="left" vertical="top" wrapText="1"/>
    </xf>
    <xf numFmtId="0" fontId="36" fillId="0" borderId="12" xfId="543" applyFont="1" applyBorder="1" applyAlignment="1">
      <alignment horizontal="center" vertical="top" wrapText="1"/>
    </xf>
    <xf numFmtId="0" fontId="36" fillId="0" borderId="8" xfId="543" applyFont="1" applyBorder="1" applyAlignment="1">
      <alignment horizontal="left" vertical="top" wrapText="1"/>
    </xf>
    <xf numFmtId="0" fontId="31" fillId="3" borderId="4" xfId="271" applyFont="1" applyFill="1" applyBorder="1" applyAlignment="1">
      <alignment vertical="top" wrapText="1"/>
    </xf>
    <xf numFmtId="0" fontId="23" fillId="3" borderId="11" xfId="271" applyFont="1" applyFill="1" applyBorder="1" applyAlignment="1">
      <alignment vertical="top"/>
    </xf>
    <xf numFmtId="0" fontId="24" fillId="0" borderId="9" xfId="271" applyFont="1" applyBorder="1" applyAlignment="1">
      <alignment horizontal="center" wrapText="1"/>
    </xf>
    <xf numFmtId="0" fontId="31" fillId="3" borderId="4" xfId="271" applyFont="1" applyFill="1" applyBorder="1" applyAlignment="1" applyProtection="1">
      <alignment vertical="top" wrapText="1"/>
      <protection locked="0"/>
    </xf>
    <xf numFmtId="0" fontId="31" fillId="3" borderId="5" xfId="271" applyFont="1" applyFill="1" applyBorder="1" applyAlignment="1" applyProtection="1">
      <alignment vertical="top" wrapText="1"/>
      <protection locked="0"/>
    </xf>
    <xf numFmtId="0" fontId="24" fillId="0" borderId="13" xfId="271" applyFont="1" applyBorder="1" applyAlignment="1">
      <alignment horizontal="center" wrapText="1"/>
    </xf>
    <xf numFmtId="0" fontId="49" fillId="2" borderId="11" xfId="271" applyFont="1" applyFill="1" applyBorder="1" applyAlignment="1">
      <alignment horizontal="left" vertical="top" wrapText="1"/>
    </xf>
    <xf numFmtId="0" fontId="26" fillId="0" borderId="11" xfId="271" applyBorder="1" applyAlignment="1" applyProtection="1">
      <alignment vertical="top" wrapText="1"/>
      <protection locked="0"/>
    </xf>
    <xf numFmtId="168" fontId="26" fillId="5" borderId="11" xfId="271" applyNumberFormat="1" applyFill="1" applyBorder="1" applyAlignment="1" applyProtection="1">
      <alignment vertical="top" wrapText="1"/>
      <protection locked="0"/>
    </xf>
    <xf numFmtId="0" fontId="26" fillId="5" borderId="3" xfId="271" applyFill="1" applyBorder="1" applyAlignment="1" applyProtection="1">
      <alignment vertical="top" wrapText="1"/>
      <protection locked="0"/>
    </xf>
    <xf numFmtId="0" fontId="26" fillId="5" borderId="11" xfId="271" applyFill="1" applyBorder="1" applyAlignment="1" applyProtection="1">
      <alignment vertical="top" wrapText="1"/>
      <protection locked="0"/>
    </xf>
    <xf numFmtId="0" fontId="26" fillId="0" borderId="11" xfId="271" applyBorder="1" applyAlignment="1">
      <alignment horizontal="right" vertical="top" wrapText="1"/>
    </xf>
    <xf numFmtId="168" fontId="26" fillId="0" borderId="11" xfId="271" applyNumberFormat="1" applyBorder="1" applyAlignment="1">
      <alignment vertical="top" wrapText="1"/>
    </xf>
    <xf numFmtId="0" fontId="24" fillId="0" borderId="11" xfId="271" applyFont="1" applyBorder="1" applyAlignment="1">
      <alignment horizontal="right" vertical="top" wrapText="1"/>
    </xf>
    <xf numFmtId="0" fontId="26" fillId="5" borderId="11" xfId="271" applyFill="1" applyBorder="1" applyAlignment="1" applyProtection="1">
      <alignment horizontal="right" vertical="top" wrapText="1"/>
      <protection locked="0"/>
    </xf>
    <xf numFmtId="168" fontId="24" fillId="0" borderId="11" xfId="271" applyNumberFormat="1" applyFont="1" applyBorder="1" applyAlignment="1">
      <alignment vertical="top" wrapText="1"/>
    </xf>
    <xf numFmtId="0" fontId="34" fillId="0" borderId="11" xfId="271" applyFont="1" applyBorder="1" applyAlignment="1">
      <alignment horizontal="right" vertical="top" wrapText="1"/>
    </xf>
    <xf numFmtId="0" fontId="31" fillId="0" borderId="0" xfId="271" applyFont="1" applyAlignment="1" applyProtection="1">
      <alignment vertical="top" wrapText="1"/>
      <protection locked="0"/>
    </xf>
    <xf numFmtId="0" fontId="26" fillId="0" borderId="5" xfId="271" applyBorder="1" applyAlignment="1" applyProtection="1">
      <alignment vertical="top" wrapText="1"/>
      <protection locked="0"/>
    </xf>
    <xf numFmtId="0" fontId="24" fillId="0" borderId="3" xfId="271" applyFont="1" applyBorder="1" applyAlignment="1">
      <alignment horizontal="left" vertical="top"/>
    </xf>
    <xf numFmtId="0" fontId="26" fillId="0" borderId="4" xfId="271" applyBorder="1" applyAlignment="1" applyProtection="1">
      <alignment horizontal="left" vertical="top"/>
      <protection locked="0"/>
    </xf>
    <xf numFmtId="0" fontId="26" fillId="0" borderId="4" xfId="271" applyBorder="1" applyAlignment="1" applyProtection="1">
      <alignment vertical="top" wrapText="1"/>
      <protection locked="0"/>
    </xf>
    <xf numFmtId="0" fontId="31" fillId="0" borderId="0" xfId="271" applyFont="1" applyAlignment="1">
      <alignment vertical="top" wrapText="1"/>
    </xf>
    <xf numFmtId="0" fontId="26" fillId="0" borderId="4" xfId="271" applyBorder="1" applyAlignment="1">
      <alignment vertical="top" wrapText="1"/>
    </xf>
    <xf numFmtId="0" fontId="49" fillId="2" borderId="11" xfId="271" applyFont="1" applyFill="1" applyBorder="1" applyAlignment="1" applyProtection="1">
      <alignment horizontal="left" vertical="top" wrapText="1"/>
      <protection locked="0"/>
    </xf>
    <xf numFmtId="0" fontId="53" fillId="0" borderId="11" xfId="0" applyFont="1" applyBorder="1" applyAlignment="1">
      <alignment horizontal="right" vertical="top" wrapText="1"/>
    </xf>
    <xf numFmtId="0" fontId="26" fillId="8" borderId="0" xfId="542" quotePrefix="1" applyFont="1" applyFill="1" applyAlignment="1">
      <alignment horizontal="left"/>
    </xf>
    <xf numFmtId="0" fontId="26" fillId="8" borderId="0" xfId="542" applyFont="1" applyFill="1"/>
    <xf numFmtId="0" fontId="34" fillId="8" borderId="0" xfId="542" applyFont="1" applyFill="1"/>
    <xf numFmtId="0" fontId="53" fillId="0" borderId="11" xfId="271" applyFont="1" applyBorder="1" applyAlignment="1">
      <alignment horizontal="right" vertical="top"/>
    </xf>
    <xf numFmtId="0" fontId="53" fillId="0" borderId="11" xfId="271" applyFont="1" applyBorder="1" applyAlignment="1">
      <alignment horizontal="right" vertical="top" wrapText="1"/>
    </xf>
    <xf numFmtId="0" fontId="26" fillId="0" borderId="0" xfId="271" applyAlignment="1">
      <alignment horizontal="left" vertical="top"/>
    </xf>
    <xf numFmtId="0" fontId="24" fillId="0" borderId="0" xfId="271" applyFont="1" applyAlignment="1">
      <alignment horizontal="right"/>
    </xf>
    <xf numFmtId="0" fontId="25" fillId="0" borderId="0" xfId="271" applyFont="1" applyAlignment="1">
      <alignment horizontal="center"/>
    </xf>
    <xf numFmtId="5" fontId="26" fillId="0" borderId="0" xfId="542" applyNumberFormat="1" applyFont="1"/>
    <xf numFmtId="1" fontId="26" fillId="0" borderId="15" xfId="271" applyNumberFormat="1" applyBorder="1"/>
    <xf numFmtId="1" fontId="26" fillId="0" borderId="14" xfId="271" applyNumberFormat="1" applyBorder="1"/>
    <xf numFmtId="0" fontId="25" fillId="0" borderId="6" xfId="271" applyFont="1" applyBorder="1" applyAlignment="1">
      <alignment horizontal="left"/>
    </xf>
    <xf numFmtId="0" fontId="25" fillId="0" borderId="6" xfId="271" applyFont="1" applyBorder="1" applyAlignment="1">
      <alignment horizontal="right"/>
    </xf>
    <xf numFmtId="165" fontId="26" fillId="0" borderId="0" xfId="271" applyNumberFormat="1"/>
    <xf numFmtId="170" fontId="26" fillId="0" borderId="14" xfId="271" applyNumberFormat="1" applyBorder="1"/>
    <xf numFmtId="1" fontId="24" fillId="0" borderId="11" xfId="271" applyNumberFormat="1" applyFont="1" applyBorder="1"/>
    <xf numFmtId="165" fontId="24" fillId="0" borderId="11" xfId="271" applyNumberFormat="1" applyFont="1" applyBorder="1"/>
    <xf numFmtId="3" fontId="56" fillId="0" borderId="11" xfId="0" applyNumberFormat="1" applyFont="1" applyBorder="1" applyAlignment="1">
      <alignment vertical="top" wrapText="1"/>
    </xf>
    <xf numFmtId="166" fontId="26" fillId="0" borderId="0" xfId="0" applyNumberFormat="1" applyFont="1"/>
    <xf numFmtId="0" fontId="0" fillId="0" borderId="0" xfId="0" applyProtection="1">
      <protection locked="0"/>
    </xf>
    <xf numFmtId="0" fontId="22" fillId="0" borderId="0" xfId="0" applyFont="1" applyProtection="1">
      <protection locked="0"/>
    </xf>
    <xf numFmtId="0" fontId="22" fillId="0" borderId="0" xfId="271" applyFont="1" applyProtection="1">
      <protection locked="0"/>
    </xf>
    <xf numFmtId="168" fontId="22" fillId="0" borderId="0" xfId="271" applyNumberFormat="1" applyFont="1" applyProtection="1">
      <protection locked="0"/>
    </xf>
    <xf numFmtId="0" fontId="30" fillId="0" borderId="1" xfId="0" applyFont="1" applyBorder="1"/>
    <xf numFmtId="0" fontId="17" fillId="0" borderId="2" xfId="0" applyFont="1" applyBorder="1" applyAlignment="1">
      <alignment horizontal="left"/>
    </xf>
    <xf numFmtId="0" fontId="17" fillId="0" borderId="2" xfId="0" applyFont="1" applyBorder="1"/>
    <xf numFmtId="0" fontId="30" fillId="0" borderId="8" xfId="0" applyFont="1" applyBorder="1"/>
    <xf numFmtId="0" fontId="30" fillId="0" borderId="9" xfId="0" applyFont="1" applyBorder="1"/>
    <xf numFmtId="0" fontId="24" fillId="0" borderId="0" xfId="0" applyFont="1" applyAlignment="1">
      <alignment horizontal="left" vertical="top"/>
    </xf>
    <xf numFmtId="0" fontId="74" fillId="0" borderId="0" xfId="0" applyFont="1" applyAlignment="1">
      <alignment vertical="center" wrapText="1"/>
    </xf>
    <xf numFmtId="0" fontId="74" fillId="0" borderId="0" xfId="0" applyFont="1" applyAlignment="1">
      <alignment vertical="center"/>
    </xf>
    <xf numFmtId="0" fontId="74" fillId="0" borderId="0" xfId="0" applyFont="1" applyAlignment="1">
      <alignment horizontal="left" vertical="center" indent="1"/>
    </xf>
    <xf numFmtId="172" fontId="26" fillId="5" borderId="0" xfId="0" applyNumberFormat="1" applyFont="1" applyFill="1" applyAlignment="1">
      <alignment horizontal="center"/>
    </xf>
    <xf numFmtId="0" fontId="75" fillId="0" borderId="0" xfId="0" applyFont="1" applyAlignment="1">
      <alignment horizontal="left" vertical="center"/>
    </xf>
    <xf numFmtId="0" fontId="36" fillId="0" borderId="2" xfId="543" applyFont="1" applyBorder="1" applyAlignment="1">
      <alignment horizontal="center" vertical="top" wrapText="1"/>
    </xf>
    <xf numFmtId="49" fontId="47" fillId="0" borderId="0" xfId="0" applyNumberFormat="1" applyFont="1" applyAlignment="1">
      <alignment horizontal="center"/>
    </xf>
    <xf numFmtId="0" fontId="53" fillId="0" borderId="0" xfId="0" applyFont="1"/>
    <xf numFmtId="5" fontId="79" fillId="0" borderId="11" xfId="541" applyNumberFormat="1" applyFont="1" applyBorder="1" applyAlignment="1" applyProtection="1">
      <alignment horizontal="center"/>
    </xf>
    <xf numFmtId="5" fontId="79" fillId="42" borderId="11" xfId="541" applyNumberFormat="1" applyFont="1" applyFill="1" applyBorder="1" applyAlignment="1" applyProtection="1">
      <alignment horizontal="center"/>
    </xf>
    <xf numFmtId="5" fontId="79" fillId="2" borderId="11" xfId="541" applyNumberFormat="1" applyFont="1" applyFill="1" applyBorder="1" applyAlignment="1" applyProtection="1">
      <alignment horizontal="center"/>
    </xf>
    <xf numFmtId="0" fontId="53" fillId="0" borderId="0" xfId="0" applyFont="1" applyAlignment="1">
      <alignment vertical="top" wrapText="1"/>
    </xf>
    <xf numFmtId="0" fontId="53" fillId="0" borderId="0" xfId="0" applyFont="1" applyAlignment="1">
      <alignment vertical="top"/>
    </xf>
    <xf numFmtId="0" fontId="53" fillId="2" borderId="0" xfId="0" applyFont="1" applyFill="1" applyAlignment="1">
      <alignment vertical="top" wrapText="1"/>
    </xf>
    <xf numFmtId="0" fontId="81" fillId="0" borderId="13" xfId="0" applyFont="1" applyBorder="1" applyAlignment="1">
      <alignment vertical="top" wrapText="1"/>
    </xf>
    <xf numFmtId="0" fontId="31" fillId="0" borderId="0" xfId="0" applyFont="1" applyAlignment="1">
      <alignment vertical="top" wrapText="1"/>
    </xf>
    <xf numFmtId="0" fontId="81" fillId="2" borderId="13" xfId="0" applyFont="1" applyFill="1" applyBorder="1" applyAlignment="1">
      <alignment vertical="top" wrapText="1"/>
    </xf>
    <xf numFmtId="0" fontId="81" fillId="0" borderId="0" xfId="0" applyFont="1" applyAlignment="1">
      <alignment vertical="top" wrapText="1"/>
    </xf>
    <xf numFmtId="0" fontId="81" fillId="2" borderId="0" xfId="0" applyFont="1" applyFill="1" applyAlignment="1">
      <alignment vertical="top" wrapText="1"/>
    </xf>
    <xf numFmtId="0" fontId="53" fillId="0" borderId="0" xfId="0" applyFont="1" applyAlignment="1">
      <alignment horizontal="right" vertical="top" wrapText="1"/>
    </xf>
    <xf numFmtId="168" fontId="53" fillId="5" borderId="6" xfId="0" applyNumberFormat="1" applyFont="1" applyFill="1" applyBorder="1" applyAlignment="1" applyProtection="1">
      <alignment horizontal="right" vertical="top" wrapText="1"/>
      <protection locked="0"/>
    </xf>
    <xf numFmtId="168" fontId="53" fillId="0" borderId="6" xfId="0" applyNumberFormat="1" applyFont="1" applyBorder="1" applyAlignment="1">
      <alignment horizontal="right" vertical="top" wrapText="1"/>
    </xf>
    <xf numFmtId="0" fontId="24" fillId="0" borderId="0" xfId="0" applyFont="1" applyAlignment="1">
      <alignment horizontal="left" vertical="top" wrapText="1"/>
    </xf>
    <xf numFmtId="0" fontId="26" fillId="0" borderId="0" xfId="0" applyFont="1" applyAlignment="1">
      <alignment horizontal="right" vertical="top" wrapText="1"/>
    </xf>
    <xf numFmtId="10" fontId="26" fillId="5" borderId="6" xfId="0" applyNumberFormat="1" applyFont="1" applyFill="1" applyBorder="1" applyAlignment="1" applyProtection="1">
      <alignment horizontal="center" vertical="top" wrapText="1"/>
      <protection locked="0"/>
    </xf>
    <xf numFmtId="0" fontId="64" fillId="0" borderId="0" xfId="0" applyFont="1" applyAlignment="1">
      <alignment horizontal="left" vertical="center"/>
    </xf>
    <xf numFmtId="0" fontId="24" fillId="0" borderId="2" xfId="543" applyFont="1" applyBorder="1" applyAlignment="1">
      <alignment horizontal="center"/>
    </xf>
    <xf numFmtId="0" fontId="0" fillId="0" borderId="0" xfId="543" applyFont="1"/>
    <xf numFmtId="0" fontId="18" fillId="0" borderId="0" xfId="244" quotePrefix="1" applyAlignment="1" applyProtection="1">
      <alignment horizontal="left"/>
    </xf>
    <xf numFmtId="168" fontId="53" fillId="0" borderId="11" xfId="0" applyNumberFormat="1" applyFont="1" applyBorder="1" applyAlignment="1">
      <alignment vertical="top" wrapText="1"/>
    </xf>
    <xf numFmtId="168" fontId="53" fillId="4" borderId="11" xfId="0" applyNumberFormat="1" applyFont="1" applyFill="1" applyBorder="1" applyAlignment="1">
      <alignment vertical="top" wrapText="1"/>
    </xf>
    <xf numFmtId="0" fontId="105" fillId="0" borderId="0" xfId="0" applyFont="1" applyAlignment="1">
      <alignment horizontal="left" vertical="top"/>
    </xf>
    <xf numFmtId="0" fontId="106" fillId="0" borderId="0" xfId="0" applyFont="1" applyAlignment="1">
      <alignment horizontal="left" vertical="top"/>
    </xf>
    <xf numFmtId="0" fontId="74" fillId="0" borderId="0" xfId="0" applyFont="1"/>
    <xf numFmtId="0" fontId="24" fillId="8" borderId="11" xfId="542" applyFont="1" applyFill="1" applyBorder="1" applyAlignment="1">
      <alignment horizontal="left"/>
    </xf>
    <xf numFmtId="0" fontId="24" fillId="8" borderId="11" xfId="542" applyFont="1" applyFill="1" applyBorder="1" applyAlignment="1">
      <alignment horizontal="center"/>
    </xf>
    <xf numFmtId="0" fontId="63" fillId="8" borderId="11" xfId="542" applyFont="1" applyFill="1" applyBorder="1" applyAlignment="1">
      <alignment horizontal="left"/>
    </xf>
    <xf numFmtId="0" fontId="63" fillId="0" borderId="11" xfId="542" applyFont="1" applyBorder="1" applyAlignment="1">
      <alignment horizontal="left"/>
    </xf>
    <xf numFmtId="0" fontId="24" fillId="0" borderId="0" xfId="271" applyFont="1" applyAlignment="1" applyProtection="1">
      <alignment horizontal="center" wrapText="1"/>
      <protection locked="0"/>
    </xf>
    <xf numFmtId="0" fontId="26" fillId="0" borderId="0" xfId="271" applyAlignment="1" applyProtection="1">
      <alignment vertical="top" wrapText="1"/>
      <protection locked="0"/>
    </xf>
    <xf numFmtId="0" fontId="24" fillId="0" borderId="0" xfId="271" applyFont="1" applyAlignment="1" applyProtection="1">
      <alignment vertical="top" wrapText="1"/>
      <protection locked="0"/>
    </xf>
    <xf numFmtId="0" fontId="17" fillId="0" borderId="0" xfId="0" applyFont="1" applyAlignment="1">
      <alignment horizontal="center"/>
    </xf>
    <xf numFmtId="0" fontId="31" fillId="0" borderId="8" xfId="569" applyFont="1" applyBorder="1" applyAlignment="1">
      <alignment vertical="top" wrapText="1"/>
    </xf>
    <xf numFmtId="0" fontId="31" fillId="0" borderId="0" xfId="569" applyFont="1" applyAlignment="1">
      <alignment vertical="top" wrapText="1"/>
    </xf>
    <xf numFmtId="0" fontId="55" fillId="2" borderId="11" xfId="569" applyFont="1" applyFill="1" applyBorder="1" applyAlignment="1">
      <alignment horizontal="left" vertical="top" wrapText="1"/>
    </xf>
    <xf numFmtId="6" fontId="53" fillId="4" borderId="11" xfId="569" applyNumberFormat="1" applyFont="1" applyFill="1" applyBorder="1" applyAlignment="1">
      <alignment vertical="top" wrapText="1"/>
    </xf>
    <xf numFmtId="0" fontId="53" fillId="0" borderId="8" xfId="569" applyFont="1" applyBorder="1" applyAlignment="1">
      <alignment vertical="top" wrapText="1"/>
    </xf>
    <xf numFmtId="0" fontId="53" fillId="0" borderId="0" xfId="569" applyFont="1" applyAlignment="1">
      <alignment vertical="top" wrapText="1"/>
    </xf>
    <xf numFmtId="6" fontId="53" fillId="0" borderId="11" xfId="569" applyNumberFormat="1" applyFont="1" applyBorder="1" applyAlignment="1">
      <alignment vertical="top" wrapText="1"/>
    </xf>
    <xf numFmtId="6" fontId="53" fillId="5" borderId="11" xfId="569" applyNumberFormat="1" applyFont="1" applyFill="1" applyBorder="1" applyAlignment="1" applyProtection="1">
      <alignment vertical="top" wrapText="1"/>
      <protection locked="0"/>
    </xf>
    <xf numFmtId="6" fontId="53" fillId="6" borderId="11" xfId="569" applyNumberFormat="1" applyFont="1" applyFill="1" applyBorder="1" applyAlignment="1">
      <alignment horizontal="center" vertical="top" wrapText="1"/>
    </xf>
    <xf numFmtId="0" fontId="53" fillId="0" borderId="11" xfId="569" applyFont="1" applyBorder="1" applyAlignment="1">
      <alignment horizontal="right" vertical="top" wrapText="1"/>
    </xf>
    <xf numFmtId="0" fontId="54" fillId="0" borderId="11" xfId="569" applyFont="1" applyBorder="1" applyAlignment="1">
      <alignment horizontal="right" vertical="top" wrapText="1"/>
    </xf>
    <xf numFmtId="0" fontId="53" fillId="0" borderId="11" xfId="569" applyFont="1" applyBorder="1" applyAlignment="1">
      <alignment horizontal="right" vertical="top"/>
    </xf>
    <xf numFmtId="6" fontId="54" fillId="0" borderId="11" xfId="569" applyNumberFormat="1" applyFont="1" applyBorder="1" applyAlignment="1">
      <alignment vertical="top" wrapText="1"/>
    </xf>
    <xf numFmtId="0" fontId="54" fillId="0" borderId="8" xfId="569" applyFont="1" applyBorder="1" applyAlignment="1">
      <alignment vertical="top" wrapText="1"/>
    </xf>
    <xf numFmtId="0" fontId="54" fillId="0" borderId="0" xfId="569" applyFont="1" applyAlignment="1">
      <alignment vertical="top" wrapText="1"/>
    </xf>
    <xf numFmtId="0" fontId="20" fillId="0" borderId="11" xfId="569" applyFont="1" applyBorder="1" applyAlignment="1">
      <alignment horizontal="right" vertical="top" wrapText="1"/>
    </xf>
    <xf numFmtId="0" fontId="54" fillId="0" borderId="0" xfId="569" applyFont="1" applyAlignment="1">
      <alignment horizontal="left" vertical="top"/>
    </xf>
    <xf numFmtId="6" fontId="53" fillId="0" borderId="0" xfId="569" applyNumberFormat="1" applyFont="1" applyAlignment="1">
      <alignment horizontal="left" vertical="top"/>
    </xf>
    <xf numFmtId="0" fontId="106" fillId="0" borderId="0" xfId="569" applyFont="1" applyAlignment="1">
      <alignment horizontal="left" vertical="top"/>
    </xf>
    <xf numFmtId="6" fontId="53" fillId="0" borderId="0" xfId="569" applyNumberFormat="1" applyFont="1" applyAlignment="1">
      <alignment vertical="top" wrapText="1"/>
    </xf>
    <xf numFmtId="0" fontId="53" fillId="0" borderId="0" xfId="569" applyFont="1" applyAlignment="1">
      <alignment horizontal="left" vertical="top"/>
    </xf>
    <xf numFmtId="0" fontId="53" fillId="0" borderId="12" xfId="569" applyFont="1" applyBorder="1" applyAlignment="1">
      <alignment vertical="top" wrapText="1"/>
    </xf>
    <xf numFmtId="0" fontId="24" fillId="0" borderId="0" xfId="569" applyFont="1" applyAlignment="1">
      <alignment horizontal="left" vertical="top"/>
    </xf>
    <xf numFmtId="0" fontId="109" fillId="0" borderId="0" xfId="569" applyFont="1" applyAlignment="1">
      <alignment horizontal="left" vertical="top"/>
    </xf>
    <xf numFmtId="0" fontId="64" fillId="0" borderId="0" xfId="569" applyFont="1" applyAlignment="1">
      <alignment horizontal="left" vertical="center"/>
    </xf>
    <xf numFmtId="0" fontId="32" fillId="0" borderId="0" xfId="569" applyFont="1" applyAlignment="1">
      <alignment vertical="top" wrapText="1"/>
    </xf>
    <xf numFmtId="0" fontId="32" fillId="0" borderId="12" xfId="569" applyFont="1" applyBorder="1" applyAlignment="1">
      <alignment vertical="top" wrapText="1"/>
    </xf>
    <xf numFmtId="0" fontId="32" fillId="0" borderId="8" xfId="569" applyFont="1" applyBorder="1" applyAlignment="1">
      <alignment vertical="top" wrapText="1"/>
    </xf>
    <xf numFmtId="0" fontId="53" fillId="0" borderId="0" xfId="569" applyFont="1" applyAlignment="1">
      <alignment vertical="top"/>
    </xf>
    <xf numFmtId="168" fontId="53" fillId="0" borderId="0" xfId="569" applyNumberFormat="1" applyFont="1" applyAlignment="1" applyProtection="1">
      <alignment horizontal="right" vertical="top" wrapText="1"/>
      <protection locked="0"/>
    </xf>
    <xf numFmtId="0" fontId="17" fillId="0" borderId="0" xfId="569" applyAlignment="1">
      <alignment vertical="top" wrapText="1"/>
    </xf>
    <xf numFmtId="0" fontId="17" fillId="0" borderId="0" xfId="569" applyAlignment="1">
      <alignment vertical="top"/>
    </xf>
    <xf numFmtId="0" fontId="53" fillId="0" borderId="0" xfId="569" applyFont="1" applyAlignment="1">
      <alignment horizontal="right" vertical="top" wrapText="1"/>
    </xf>
    <xf numFmtId="0" fontId="24" fillId="0" borderId="0" xfId="569" applyFont="1" applyAlignment="1">
      <alignment horizontal="left" vertical="top" wrapText="1"/>
    </xf>
    <xf numFmtId="168" fontId="53" fillId="0" borderId="0" xfId="569" applyNumberFormat="1" applyFont="1" applyAlignment="1">
      <alignment horizontal="right" vertical="top" wrapText="1"/>
    </xf>
    <xf numFmtId="0" fontId="17" fillId="0" borderId="0" xfId="569" applyAlignment="1" applyProtection="1">
      <alignment horizontal="left" vertical="top" wrapText="1"/>
      <protection locked="0"/>
    </xf>
    <xf numFmtId="0" fontId="17" fillId="0" borderId="0" xfId="569" applyAlignment="1">
      <alignment horizontal="right" vertical="top" wrapText="1"/>
    </xf>
    <xf numFmtId="0" fontId="17" fillId="0" borderId="0" xfId="569" applyAlignment="1">
      <alignment horizontal="left" vertical="top"/>
    </xf>
    <xf numFmtId="0" fontId="81" fillId="0" borderId="0" xfId="569" applyFont="1" applyAlignment="1">
      <alignment vertical="top" wrapText="1"/>
    </xf>
    <xf numFmtId="0" fontId="81" fillId="0" borderId="12" xfId="569" applyFont="1" applyBorder="1" applyAlignment="1">
      <alignment vertical="top" wrapText="1"/>
    </xf>
    <xf numFmtId="0" fontId="81" fillId="0" borderId="8" xfId="569" applyFont="1" applyBorder="1" applyAlignment="1">
      <alignment vertical="top" wrapText="1"/>
    </xf>
    <xf numFmtId="0" fontId="31" fillId="0" borderId="0" xfId="569" applyFont="1" applyAlignment="1">
      <alignment horizontal="right" vertical="top" wrapText="1"/>
    </xf>
    <xf numFmtId="0" fontId="81" fillId="0" borderId="0" xfId="569" applyFont="1" applyAlignment="1">
      <alignment horizontal="right" vertical="top" wrapText="1"/>
    </xf>
    <xf numFmtId="0" fontId="54" fillId="0" borderId="3" xfId="569" applyFont="1" applyBorder="1" applyAlignment="1">
      <alignment horizontal="left"/>
    </xf>
    <xf numFmtId="0" fontId="54" fillId="0" borderId="13" xfId="569" applyFont="1" applyBorder="1" applyAlignment="1">
      <alignment horizontal="center" wrapText="1"/>
    </xf>
    <xf numFmtId="0" fontId="54" fillId="0" borderId="8" xfId="569" applyFont="1" applyBorder="1" applyAlignment="1">
      <alignment horizontal="center" wrapText="1"/>
    </xf>
    <xf numFmtId="0" fontId="54" fillId="0" borderId="0" xfId="569" applyFont="1" applyAlignment="1">
      <alignment horizontal="center" wrapText="1"/>
    </xf>
    <xf numFmtId="0" fontId="17" fillId="0" borderId="0" xfId="569"/>
    <xf numFmtId="0" fontId="23" fillId="0" borderId="0" xfId="569" applyFont="1" applyAlignment="1">
      <alignment horizontal="center" vertical="center"/>
    </xf>
    <xf numFmtId="0" fontId="24" fillId="0" borderId="0" xfId="569" applyFont="1"/>
    <xf numFmtId="0" fontId="17" fillId="0" borderId="1" xfId="569" applyBorder="1"/>
    <xf numFmtId="0" fontId="17" fillId="0" borderId="2" xfId="569" applyBorder="1"/>
    <xf numFmtId="0" fontId="17" fillId="0" borderId="8" xfId="569" applyBorder="1"/>
    <xf numFmtId="0" fontId="17" fillId="0" borderId="9" xfId="569" applyBorder="1"/>
    <xf numFmtId="0" fontId="17" fillId="0" borderId="6" xfId="569" applyBorder="1"/>
    <xf numFmtId="0" fontId="25" fillId="0" borderId="0" xfId="569" applyFont="1"/>
    <xf numFmtId="0" fontId="17" fillId="0" borderId="7" xfId="569" applyBorder="1"/>
    <xf numFmtId="0" fontId="17" fillId="0" borderId="12" xfId="569" applyBorder="1"/>
    <xf numFmtId="0" fontId="17" fillId="0" borderId="10" xfId="569" applyBorder="1"/>
    <xf numFmtId="0" fontId="25" fillId="0" borderId="0" xfId="569" applyFont="1" applyAlignment="1">
      <alignment vertical="top" wrapText="1"/>
    </xf>
    <xf numFmtId="0" fontId="17" fillId="0" borderId="0" xfId="569" applyAlignment="1">
      <alignment horizontal="right"/>
    </xf>
    <xf numFmtId="0" fontId="17" fillId="0" borderId="0" xfId="569" applyAlignment="1">
      <alignment wrapText="1"/>
    </xf>
    <xf numFmtId="0" fontId="17" fillId="0" borderId="0" xfId="569" applyAlignment="1">
      <alignment vertical="center"/>
    </xf>
    <xf numFmtId="0" fontId="41" fillId="0" borderId="0" xfId="569" applyFont="1" applyAlignment="1">
      <alignment vertical="center" wrapText="1"/>
    </xf>
    <xf numFmtId="0" fontId="35" fillId="0" borderId="0" xfId="569" applyFont="1" applyAlignment="1">
      <alignment vertical="top" wrapText="1"/>
    </xf>
    <xf numFmtId="0" fontId="24" fillId="0" borderId="0" xfId="569" applyFont="1" applyAlignment="1">
      <alignment vertical="top" wrapText="1"/>
    </xf>
    <xf numFmtId="0" fontId="25" fillId="0" borderId="0" xfId="569" applyFont="1" applyAlignment="1">
      <alignment horizontal="left" vertical="top" wrapText="1"/>
    </xf>
    <xf numFmtId="164" fontId="17" fillId="0" borderId="0" xfId="569" applyNumberFormat="1" applyAlignment="1">
      <alignment horizontal="right"/>
    </xf>
    <xf numFmtId="168" fontId="17" fillId="0" borderId="0" xfId="569" applyNumberFormat="1" applyAlignment="1">
      <alignment horizontal="right"/>
    </xf>
    <xf numFmtId="0" fontId="107" fillId="0" borderId="0" xfId="569" applyFont="1" applyAlignment="1">
      <alignment horizontal="left" vertical="top" wrapText="1"/>
    </xf>
    <xf numFmtId="168" fontId="17" fillId="0" borderId="0" xfId="569" applyNumberFormat="1" applyAlignment="1">
      <alignment wrapText="1"/>
    </xf>
    <xf numFmtId="0" fontId="22" fillId="0" borderId="11" xfId="253" applyFont="1" applyBorder="1" applyAlignment="1">
      <alignment horizontal="center" wrapText="1"/>
    </xf>
    <xf numFmtId="0" fontId="22" fillId="0" borderId="0" xfId="253" applyFont="1" applyAlignment="1">
      <alignment horizontal="center" wrapText="1"/>
    </xf>
    <xf numFmtId="3" fontId="22" fillId="0" borderId="11" xfId="271" applyNumberFormat="1" applyFont="1" applyBorder="1"/>
    <xf numFmtId="3" fontId="22" fillId="0" borderId="0" xfId="271" applyNumberFormat="1" applyFont="1"/>
    <xf numFmtId="0" fontId="65" fillId="0" borderId="0" xfId="271" applyFont="1" applyAlignment="1">
      <alignment horizontal="left"/>
    </xf>
    <xf numFmtId="0" fontId="65" fillId="0" borderId="0" xfId="271" applyFont="1" applyAlignment="1">
      <alignment horizontal="right"/>
    </xf>
    <xf numFmtId="168" fontId="22" fillId="0" borderId="11" xfId="271" applyNumberFormat="1" applyFont="1" applyBorder="1"/>
    <xf numFmtId="168" fontId="22" fillId="0" borderId="0" xfId="271" applyNumberFormat="1" applyFont="1"/>
    <xf numFmtId="0" fontId="53" fillId="0" borderId="0" xfId="569" applyFont="1" applyAlignment="1">
      <alignment horizontal="left"/>
    </xf>
    <xf numFmtId="0" fontId="17" fillId="0" borderId="3" xfId="569" applyBorder="1"/>
    <xf numFmtId="0" fontId="108" fillId="0" borderId="0" xfId="1834"/>
    <xf numFmtId="0" fontId="0" fillId="0" borderId="0" xfId="0" applyAlignment="1">
      <alignment horizontal="left" vertical="top"/>
    </xf>
    <xf numFmtId="0" fontId="107" fillId="0" borderId="0" xfId="0" applyFont="1" applyAlignment="1">
      <alignment vertical="top" wrapText="1"/>
    </xf>
    <xf numFmtId="0" fontId="53" fillId="0" borderId="0" xfId="271" applyFont="1" applyAlignment="1">
      <alignment vertical="top" wrapText="1"/>
    </xf>
    <xf numFmtId="4" fontId="17" fillId="0" borderId="0" xfId="1192" applyNumberFormat="1" applyAlignment="1">
      <alignment horizontal="left" vertical="top" wrapText="1"/>
    </xf>
    <xf numFmtId="0" fontId="17" fillId="0" borderId="0" xfId="0" applyFont="1" applyAlignment="1">
      <alignment horizontal="left" vertical="top" wrapText="1"/>
    </xf>
    <xf numFmtId="0" fontId="24" fillId="0" borderId="12" xfId="543" applyFont="1" applyBorder="1" applyAlignment="1">
      <alignment horizontal="right"/>
    </xf>
    <xf numFmtId="0" fontId="36" fillId="0" borderId="0" xfId="543" applyFont="1" applyAlignment="1">
      <alignment horizontal="center"/>
    </xf>
    <xf numFmtId="4" fontId="17" fillId="0" borderId="0" xfId="569" applyNumberFormat="1" applyAlignment="1">
      <alignment horizontal="left"/>
    </xf>
    <xf numFmtId="0" fontId="17" fillId="0" borderId="0" xfId="569" applyAlignment="1">
      <alignment horizontal="left" vertical="top" wrapText="1"/>
    </xf>
    <xf numFmtId="0" fontId="17" fillId="0" borderId="0" xfId="569" applyAlignment="1">
      <alignment horizontal="left"/>
    </xf>
    <xf numFmtId="0" fontId="17" fillId="0" borderId="0" xfId="1192" applyAlignment="1">
      <alignment horizontal="left"/>
    </xf>
    <xf numFmtId="0" fontId="24" fillId="0" borderId="0" xfId="569" applyFont="1" applyAlignment="1">
      <alignment horizontal="left"/>
    </xf>
    <xf numFmtId="0" fontId="46" fillId="0" borderId="0" xfId="1192" applyFont="1"/>
    <xf numFmtId="0" fontId="53" fillId="0" borderId="11" xfId="0" applyFont="1" applyBorder="1" applyAlignment="1">
      <alignment horizontal="right" vertical="center"/>
    </xf>
    <xf numFmtId="0" fontId="17" fillId="0" borderId="0" xfId="1192" applyAlignment="1">
      <alignment horizontal="left" vertical="top" wrapText="1"/>
    </xf>
    <xf numFmtId="0" fontId="46" fillId="0" borderId="0" xfId="0" applyFont="1" applyAlignment="1">
      <alignment vertical="top" wrapText="1"/>
    </xf>
    <xf numFmtId="0" fontId="46" fillId="0" borderId="0" xfId="0" applyFont="1" applyAlignment="1">
      <alignment horizontal="left" vertical="top" wrapText="1"/>
    </xf>
    <xf numFmtId="6" fontId="54" fillId="0" borderId="0" xfId="569" applyNumberFormat="1" applyFont="1" applyAlignment="1">
      <alignment horizontal="right" vertical="top"/>
    </xf>
    <xf numFmtId="0" fontId="17" fillId="0" borderId="0" xfId="0" applyFont="1" applyAlignment="1">
      <alignment vertical="top" wrapText="1"/>
    </xf>
    <xf numFmtId="168" fontId="26" fillId="0" borderId="0" xfId="0" applyNumberFormat="1" applyFont="1" applyAlignment="1">
      <alignment horizontal="right"/>
    </xf>
    <xf numFmtId="168" fontId="26" fillId="0" borderId="28" xfId="540" applyNumberFormat="1" applyBorder="1" applyAlignment="1" applyProtection="1">
      <alignment horizontal="center"/>
    </xf>
    <xf numFmtId="168" fontId="26" fillId="0" borderId="29" xfId="540" applyNumberFormat="1" applyBorder="1" applyAlignment="1" applyProtection="1">
      <alignment horizontal="center"/>
    </xf>
    <xf numFmtId="168" fontId="26" fillId="0" borderId="30" xfId="540" applyNumberFormat="1" applyBorder="1" applyAlignment="1" applyProtection="1">
      <alignment horizontal="center"/>
    </xf>
    <xf numFmtId="168" fontId="26" fillId="0" borderId="31" xfId="540" applyNumberFormat="1" applyBorder="1" applyAlignment="1" applyProtection="1">
      <alignment horizontal="center"/>
    </xf>
    <xf numFmtId="168" fontId="26" fillId="0" borderId="32" xfId="540" applyNumberFormat="1" applyBorder="1" applyAlignment="1" applyProtection="1">
      <alignment horizontal="center"/>
    </xf>
    <xf numFmtId="168" fontId="26" fillId="0" borderId="33" xfId="540" applyNumberFormat="1" applyBorder="1" applyAlignment="1" applyProtection="1">
      <alignment horizontal="center"/>
    </xf>
    <xf numFmtId="168" fontId="26" fillId="0" borderId="34" xfId="540" applyNumberFormat="1" applyBorder="1" applyAlignment="1" applyProtection="1">
      <alignment horizontal="center"/>
    </xf>
    <xf numFmtId="168" fontId="26" fillId="0" borderId="35" xfId="540" applyNumberFormat="1" applyBorder="1" applyAlignment="1" applyProtection="1">
      <alignment horizontal="center"/>
    </xf>
    <xf numFmtId="168" fontId="26" fillId="0" borderId="36" xfId="540" applyNumberFormat="1" applyBorder="1" applyAlignment="1" applyProtection="1">
      <alignment horizontal="center"/>
    </xf>
    <xf numFmtId="168" fontId="26" fillId="0" borderId="37" xfId="540" applyNumberFormat="1" applyBorder="1" applyAlignment="1" applyProtection="1">
      <alignment horizontal="center"/>
    </xf>
    <xf numFmtId="168" fontId="26" fillId="0" borderId="38" xfId="540" applyNumberFormat="1" applyBorder="1" applyAlignment="1" applyProtection="1">
      <alignment horizontal="center"/>
    </xf>
    <xf numFmtId="168" fontId="26" fillId="0" borderId="39" xfId="540" applyNumberFormat="1" applyBorder="1" applyAlignment="1" applyProtection="1">
      <alignment horizontal="center"/>
    </xf>
    <xf numFmtId="168" fontId="26" fillId="0" borderId="40" xfId="540" applyNumberFormat="1" applyBorder="1" applyAlignment="1" applyProtection="1">
      <alignment horizontal="center"/>
    </xf>
    <xf numFmtId="168" fontId="26" fillId="0" borderId="0" xfId="540" applyNumberFormat="1" applyAlignment="1" applyProtection="1">
      <alignment horizontal="center"/>
    </xf>
    <xf numFmtId="168" fontId="26" fillId="0" borderId="14" xfId="540" applyNumberFormat="1" applyBorder="1" applyAlignment="1" applyProtection="1">
      <alignment horizontal="center"/>
    </xf>
    <xf numFmtId="168" fontId="26" fillId="0" borderId="41" xfId="540" applyNumberFormat="1" applyBorder="1" applyAlignment="1" applyProtection="1">
      <alignment horizontal="center"/>
    </xf>
    <xf numFmtId="168" fontId="26" fillId="0" borderId="42" xfId="540" applyNumberFormat="1" applyBorder="1" applyAlignment="1" applyProtection="1">
      <alignment horizontal="center"/>
    </xf>
    <xf numFmtId="168" fontId="26" fillId="0" borderId="43" xfId="540" applyNumberFormat="1" applyBorder="1" applyAlignment="1" applyProtection="1">
      <alignment horizontal="center"/>
    </xf>
    <xf numFmtId="168" fontId="26" fillId="0" borderId="44" xfId="540" applyNumberFormat="1" applyBorder="1" applyAlignment="1" applyProtection="1">
      <alignment horizontal="center"/>
    </xf>
    <xf numFmtId="0" fontId="17" fillId="0" borderId="0" xfId="1192"/>
    <xf numFmtId="0" fontId="17" fillId="0" borderId="0" xfId="0" applyFont="1" applyAlignment="1">
      <alignment wrapText="1"/>
    </xf>
    <xf numFmtId="0" fontId="46" fillId="0" borderId="0" xfId="0" applyFont="1" applyAlignment="1">
      <alignment horizontal="left" vertical="top"/>
    </xf>
    <xf numFmtId="0" fontId="46" fillId="0" borderId="0" xfId="0" applyFont="1" applyAlignment="1">
      <alignment vertical="top"/>
    </xf>
    <xf numFmtId="0" fontId="17" fillId="0" borderId="0" xfId="569" applyAlignment="1">
      <alignment horizontal="center"/>
    </xf>
    <xf numFmtId="0" fontId="35" fillId="0" borderId="0" xfId="569" applyFont="1" applyAlignment="1">
      <alignment horizontal="left"/>
    </xf>
    <xf numFmtId="0" fontId="35" fillId="0" borderId="0" xfId="569" applyFont="1" applyAlignment="1">
      <alignment horizontal="center"/>
    </xf>
    <xf numFmtId="49" fontId="24" fillId="0" borderId="0" xfId="569" applyNumberFormat="1" applyFont="1" applyAlignment="1">
      <alignment horizontal="center"/>
    </xf>
    <xf numFmtId="0" fontId="51" fillId="0" borderId="0" xfId="569" applyFont="1" applyAlignment="1">
      <alignment horizontal="center"/>
    </xf>
    <xf numFmtId="0" fontId="17" fillId="5" borderId="6" xfId="569" applyFill="1" applyBorder="1" applyProtection="1">
      <protection locked="0"/>
    </xf>
    <xf numFmtId="0" fontId="18" fillId="0" borderId="0" xfId="244" applyAlignment="1" applyProtection="1">
      <alignment horizontal="center"/>
    </xf>
    <xf numFmtId="49" fontId="17" fillId="0" borderId="0" xfId="569" applyNumberFormat="1" applyAlignment="1">
      <alignment horizontal="center"/>
    </xf>
    <xf numFmtId="0" fontId="17" fillId="0" borderId="0" xfId="569" applyAlignment="1">
      <alignment horizontal="center" vertical="center"/>
    </xf>
    <xf numFmtId="0" fontId="17" fillId="0" borderId="0" xfId="1192" applyAlignment="1">
      <alignment horizontal="center"/>
    </xf>
    <xf numFmtId="0" fontId="24" fillId="0" borderId="0" xfId="569" applyFont="1" applyAlignment="1">
      <alignment horizontal="center"/>
    </xf>
    <xf numFmtId="0" fontId="17" fillId="0" borderId="0" xfId="569" applyAlignment="1">
      <alignment horizontal="left" indent="4"/>
    </xf>
    <xf numFmtId="0" fontId="17" fillId="0" borderId="0" xfId="569" quotePrefix="1" applyAlignment="1">
      <alignment horizontal="left"/>
    </xf>
    <xf numFmtId="0" fontId="35" fillId="0" borderId="0" xfId="569" applyFont="1"/>
    <xf numFmtId="0" fontId="17" fillId="0" borderId="0" xfId="1192" applyAlignment="1" applyProtection="1">
      <alignment horizontal="left"/>
      <protection locked="0"/>
    </xf>
    <xf numFmtId="0" fontId="17" fillId="0" borderId="0" xfId="569" applyAlignment="1" applyProtection="1">
      <alignment horizontal="left"/>
      <protection locked="0"/>
    </xf>
    <xf numFmtId="49" fontId="17" fillId="0" borderId="0" xfId="1192" applyNumberFormat="1" applyAlignment="1">
      <alignment horizontal="center"/>
    </xf>
    <xf numFmtId="0" fontId="51" fillId="0" borderId="0" xfId="1192" applyFont="1" applyAlignment="1">
      <alignment horizontal="center"/>
    </xf>
    <xf numFmtId="0" fontId="24" fillId="0" borderId="0" xfId="1192" applyFont="1" applyAlignment="1">
      <alignment horizontal="left"/>
    </xf>
    <xf numFmtId="4" fontId="17" fillId="0" borderId="0" xfId="1192" applyNumberFormat="1" applyAlignment="1">
      <alignment horizontal="left"/>
    </xf>
    <xf numFmtId="0" fontId="24" fillId="0" borderId="0" xfId="569" quotePrefix="1" applyFont="1" applyAlignment="1">
      <alignment horizontal="center"/>
    </xf>
    <xf numFmtId="49" fontId="17" fillId="0" borderId="0" xfId="569" applyNumberFormat="1"/>
    <xf numFmtId="0" fontId="49" fillId="0" borderId="0" xfId="569" applyFont="1" applyAlignment="1">
      <alignment horizontal="left"/>
    </xf>
    <xf numFmtId="4" fontId="51" fillId="0" borderId="0" xfId="569" applyNumberFormat="1" applyFont="1" applyAlignment="1">
      <alignment horizontal="center"/>
    </xf>
    <xf numFmtId="4" fontId="17" fillId="0" borderId="0" xfId="569" applyNumberFormat="1" applyAlignment="1">
      <alignment horizontal="center"/>
    </xf>
    <xf numFmtId="4" fontId="17" fillId="0" borderId="0" xfId="569" applyNumberFormat="1"/>
    <xf numFmtId="0" fontId="47" fillId="0" borderId="0" xfId="569" applyFont="1" applyAlignment="1">
      <alignment horizontal="left"/>
    </xf>
    <xf numFmtId="0" fontId="18" fillId="0" borderId="0" xfId="244" applyNumberFormat="1" applyFill="1" applyAlignment="1" applyProtection="1">
      <alignment horizontal="left"/>
      <protection locked="0"/>
    </xf>
    <xf numFmtId="0" fontId="53" fillId="0" borderId="11" xfId="0" applyFont="1" applyBorder="1" applyAlignment="1" applyProtection="1">
      <alignment horizontal="right" vertical="top" wrapText="1"/>
      <protection locked="0"/>
    </xf>
    <xf numFmtId="168" fontId="56" fillId="44" borderId="11" xfId="0" applyNumberFormat="1" applyFont="1" applyFill="1" applyBorder="1" applyAlignment="1">
      <alignment vertical="top" wrapText="1"/>
    </xf>
    <xf numFmtId="0" fontId="17" fillId="0" borderId="11" xfId="271" applyFont="1" applyBorder="1" applyAlignment="1">
      <alignment horizontal="right" vertical="top" wrapText="1"/>
    </xf>
    <xf numFmtId="0" fontId="25" fillId="0" borderId="0" xfId="569" applyFont="1" applyAlignment="1">
      <alignment horizontal="left"/>
    </xf>
    <xf numFmtId="0" fontId="105" fillId="0" borderId="0" xfId="0" applyFont="1"/>
    <xf numFmtId="0" fontId="116" fillId="0" borderId="0" xfId="0" applyFont="1" applyAlignment="1">
      <alignment horizontal="left" vertical="top"/>
    </xf>
    <xf numFmtId="0" fontId="117" fillId="0" borderId="0" xfId="0" applyFont="1" applyAlignment="1">
      <alignment horizontal="left" vertical="top"/>
    </xf>
    <xf numFmtId="168" fontId="25" fillId="0" borderId="0" xfId="0" applyNumberFormat="1" applyFont="1" applyAlignment="1">
      <alignment horizontal="left" vertical="top" wrapText="1"/>
    </xf>
    <xf numFmtId="168" fontId="53" fillId="5" borderId="11" xfId="0" applyNumberFormat="1" applyFont="1" applyFill="1" applyBorder="1" applyAlignment="1">
      <alignment vertical="top" wrapText="1"/>
    </xf>
    <xf numFmtId="0" fontId="17" fillId="0" borderId="0" xfId="271" applyFont="1" applyAlignment="1">
      <alignment horizontal="left" vertical="top"/>
    </xf>
    <xf numFmtId="0" fontId="53" fillId="0" borderId="0" xfId="569" applyFont="1"/>
    <xf numFmtId="0" fontId="17" fillId="0" borderId="0" xfId="0" applyFont="1" applyAlignment="1">
      <alignment horizontal="left" vertical="top"/>
    </xf>
    <xf numFmtId="4" fontId="17" fillId="0" borderId="0" xfId="1192" applyNumberFormat="1" applyAlignment="1">
      <alignment vertical="top" wrapText="1"/>
    </xf>
    <xf numFmtId="0" fontId="24" fillId="0" borderId="16" xfId="271" applyFont="1" applyBorder="1"/>
    <xf numFmtId="0" fontId="60" fillId="0" borderId="0" xfId="569" applyFont="1"/>
    <xf numFmtId="0" fontId="41" fillId="0" borderId="0" xfId="569" applyFont="1"/>
    <xf numFmtId="0" fontId="17" fillId="0" borderId="0" xfId="1192" applyAlignment="1">
      <alignment vertical="top" wrapText="1"/>
    </xf>
    <xf numFmtId="49" fontId="17" fillId="0" borderId="0" xfId="1192" applyNumberFormat="1" applyAlignment="1">
      <alignment vertical="top" wrapText="1"/>
    </xf>
    <xf numFmtId="0" fontId="55" fillId="0" borderId="9" xfId="543" applyFont="1" applyBorder="1" applyAlignment="1">
      <alignment vertical="top"/>
    </xf>
    <xf numFmtId="0" fontId="17" fillId="0" borderId="0" xfId="0" applyFont="1" applyAlignment="1">
      <alignment vertical="center"/>
    </xf>
    <xf numFmtId="0" fontId="118" fillId="0" borderId="0" xfId="0" applyFont="1"/>
    <xf numFmtId="3" fontId="105" fillId="0" borderId="0" xfId="0" applyNumberFormat="1" applyFont="1"/>
    <xf numFmtId="0" fontId="105" fillId="0" borderId="0" xfId="0" applyFont="1" applyAlignment="1">
      <alignment horizontal="left"/>
    </xf>
    <xf numFmtId="168" fontId="119" fillId="0" borderId="0" xfId="0" applyNumberFormat="1" applyFont="1" applyAlignment="1">
      <alignment horizontal="left" vertical="top"/>
    </xf>
    <xf numFmtId="0" fontId="105" fillId="0" borderId="0" xfId="0" applyFont="1" applyAlignment="1">
      <alignment horizontal="left" vertical="center"/>
    </xf>
    <xf numFmtId="0" fontId="121" fillId="0" borderId="0" xfId="0" applyFont="1"/>
    <xf numFmtId="172" fontId="17" fillId="0" borderId="8" xfId="543" applyNumberFormat="1" applyBorder="1"/>
    <xf numFmtId="0" fontId="17" fillId="0" borderId="8" xfId="4495" applyFont="1" applyBorder="1"/>
    <xf numFmtId="0" fontId="17" fillId="0" borderId="0" xfId="4495" applyFont="1"/>
    <xf numFmtId="0" fontId="23" fillId="0" borderId="0" xfId="4495" applyFont="1" applyAlignment="1">
      <alignment horizontal="center" vertical="center"/>
    </xf>
    <xf numFmtId="0" fontId="24" fillId="0" borderId="0" xfId="4495" applyFont="1" applyAlignment="1">
      <alignment horizontal="left"/>
    </xf>
    <xf numFmtId="0" fontId="24" fillId="0" borderId="0" xfId="4495" applyFont="1"/>
    <xf numFmtId="0" fontId="27" fillId="0" borderId="0" xfId="4495" applyFont="1" applyAlignment="1">
      <alignment horizontal="center" vertical="center"/>
    </xf>
    <xf numFmtId="0" fontId="27" fillId="0" borderId="27" xfId="4495" applyFont="1" applyBorder="1" applyAlignment="1">
      <alignment horizontal="center" vertical="center"/>
    </xf>
    <xf numFmtId="0" fontId="27" fillId="0" borderId="46" xfId="4495" applyFont="1" applyBorder="1" applyAlignment="1">
      <alignment horizontal="center" vertical="center"/>
    </xf>
    <xf numFmtId="0" fontId="24" fillId="0" borderId="0" xfId="4495" applyFont="1" applyAlignment="1">
      <alignment horizontal="right"/>
    </xf>
    <xf numFmtId="0" fontId="35" fillId="0" borderId="0" xfId="4495" applyFont="1" applyAlignment="1">
      <alignment horizontal="left" vertical="center"/>
    </xf>
    <xf numFmtId="0" fontId="17" fillId="0" borderId="0" xfId="1192" quotePrefix="1" applyAlignment="1">
      <alignment horizontal="center"/>
    </xf>
    <xf numFmtId="0" fontId="47" fillId="0" borderId="0" xfId="4495" applyFont="1" applyAlignment="1">
      <alignment horizontal="left" vertical="center"/>
    </xf>
    <xf numFmtId="49" fontId="25" fillId="0" borderId="0" xfId="4495" applyNumberFormat="1" applyFont="1" applyAlignment="1">
      <alignment horizontal="left" vertical="top"/>
    </xf>
    <xf numFmtId="0" fontId="17" fillId="0" borderId="47" xfId="4495" applyFont="1" applyBorder="1" applyAlignment="1">
      <alignment horizontal="left" vertical="center"/>
    </xf>
    <xf numFmtId="0" fontId="27" fillId="0" borderId="48" xfId="4495" applyFont="1" applyBorder="1" applyAlignment="1">
      <alignment horizontal="center" vertical="center"/>
    </xf>
    <xf numFmtId="0" fontId="25" fillId="0" borderId="0" xfId="4495" applyFont="1"/>
    <xf numFmtId="0" fontId="25" fillId="0" borderId="0" xfId="4495" applyFont="1" applyAlignment="1">
      <alignment horizontal="left" vertical="top"/>
    </xf>
    <xf numFmtId="0" fontId="123" fillId="0" borderId="53" xfId="4496" applyFont="1" applyBorder="1" applyAlignment="1">
      <alignment horizontal="left" vertical="top"/>
    </xf>
    <xf numFmtId="0" fontId="122" fillId="0" borderId="0" xfId="4496" applyFont="1" applyAlignment="1">
      <alignment horizontal="left" vertical="top" wrapText="1"/>
    </xf>
    <xf numFmtId="0" fontId="122" fillId="0" borderId="54" xfId="4496" applyFont="1" applyBorder="1" applyAlignment="1">
      <alignment horizontal="left" vertical="top" wrapText="1"/>
    </xf>
    <xf numFmtId="0" fontId="17" fillId="0" borderId="0" xfId="4495" applyFont="1" applyAlignment="1">
      <alignment horizontal="left" vertical="center"/>
    </xf>
    <xf numFmtId="0" fontId="124" fillId="0" borderId="0" xfId="4496" applyFont="1" applyAlignment="1">
      <alignment vertical="center"/>
    </xf>
    <xf numFmtId="0" fontId="122" fillId="0" borderId="0" xfId="4496" applyFont="1"/>
    <xf numFmtId="0" fontId="122" fillId="0" borderId="0" xfId="4496" applyFont="1" applyAlignment="1">
      <alignment vertical="center"/>
    </xf>
    <xf numFmtId="0" fontId="125" fillId="0" borderId="0" xfId="4496" applyFont="1" applyAlignment="1">
      <alignment vertical="center"/>
    </xf>
    <xf numFmtId="0" fontId="17" fillId="0" borderId="0" xfId="4496" applyFont="1" applyAlignment="1">
      <alignment vertical="center"/>
    </xf>
    <xf numFmtId="0" fontId="25" fillId="0" borderId="3" xfId="4495" applyFont="1" applyBorder="1" applyAlignment="1">
      <alignment vertical="top" wrapText="1"/>
    </xf>
    <xf numFmtId="0" fontId="25" fillId="0" borderId="4" xfId="4495" applyFont="1" applyBorder="1" applyAlignment="1">
      <alignment vertical="top" wrapText="1"/>
    </xf>
    <xf numFmtId="164" fontId="120" fillId="0" borderId="4" xfId="4495" applyNumberFormat="1" applyBorder="1" applyAlignment="1">
      <alignment horizontal="right"/>
    </xf>
    <xf numFmtId="0" fontId="25" fillId="0" borderId="4" xfId="4495" applyFont="1" applyBorder="1"/>
    <xf numFmtId="0" fontId="24" fillId="0" borderId="5" xfId="4495" applyFont="1" applyBorder="1" applyAlignment="1">
      <alignment horizontal="right"/>
    </xf>
    <xf numFmtId="0" fontId="17" fillId="0" borderId="16" xfId="4495" applyFont="1" applyBorder="1"/>
    <xf numFmtId="0" fontId="17" fillId="0" borderId="16" xfId="4495" applyFont="1" applyBorder="1" applyAlignment="1">
      <alignment horizontal="left" vertical="top"/>
    </xf>
    <xf numFmtId="0" fontId="25" fillId="0" borderId="16" xfId="4495" applyFont="1" applyBorder="1" applyAlignment="1">
      <alignment horizontal="left" vertical="top" wrapText="1"/>
    </xf>
    <xf numFmtId="0" fontId="25" fillId="0" borderId="45" xfId="4495" applyFont="1" applyBorder="1" applyAlignment="1">
      <alignment horizontal="left" vertical="top" wrapText="1"/>
    </xf>
    <xf numFmtId="0" fontId="120" fillId="0" borderId="0" xfId="4495"/>
    <xf numFmtId="0" fontId="18" fillId="0" borderId="0" xfId="244" applyFill="1" applyBorder="1" applyAlignment="1" applyProtection="1">
      <alignment horizontal="left" vertical="top"/>
    </xf>
    <xf numFmtId="0" fontId="18" fillId="0" borderId="0" xfId="244" applyFill="1" applyBorder="1" applyAlignment="1" applyProtection="1">
      <alignment horizontal="left" vertical="top" wrapText="1"/>
    </xf>
    <xf numFmtId="0" fontId="25" fillId="0" borderId="0" xfId="4495" applyFont="1" applyAlignment="1">
      <alignment horizontal="left" vertical="top" wrapText="1"/>
    </xf>
    <xf numFmtId="0" fontId="25" fillId="0" borderId="0" xfId="4495" applyFont="1" applyAlignment="1">
      <alignment horizontal="right" vertical="top"/>
    </xf>
    <xf numFmtId="0" fontId="17" fillId="0" borderId="0" xfId="4495" applyFont="1" applyAlignment="1">
      <alignment vertical="center" wrapText="1"/>
    </xf>
    <xf numFmtId="0" fontId="122" fillId="0" borderId="53" xfId="4496" applyFont="1" applyBorder="1" applyAlignment="1">
      <alignment vertical="top" wrapText="1"/>
    </xf>
    <xf numFmtId="0" fontId="122" fillId="0" borderId="0" xfId="4496" applyFont="1" applyAlignment="1">
      <alignment vertical="top" wrapText="1"/>
    </xf>
    <xf numFmtId="10" fontId="122" fillId="0" borderId="0" xfId="4496" applyNumberFormat="1" applyFont="1" applyAlignment="1">
      <alignment vertical="top" wrapText="1"/>
    </xf>
    <xf numFmtId="0" fontId="122" fillId="0" borderId="54" xfId="4496" applyFont="1" applyBorder="1" applyAlignment="1">
      <alignment vertical="top" wrapText="1"/>
    </xf>
    <xf numFmtId="0" fontId="122" fillId="0" borderId="0" xfId="4496" applyFont="1" applyAlignment="1">
      <alignment vertical="top"/>
    </xf>
    <xf numFmtId="165" fontId="122" fillId="0" borderId="0" xfId="4496" applyNumberFormat="1" applyFont="1" applyAlignment="1">
      <alignment vertical="top" wrapText="1"/>
    </xf>
    <xf numFmtId="0" fontId="24" fillId="0" borderId="57" xfId="4495" applyFont="1" applyBorder="1"/>
    <xf numFmtId="0" fontId="24" fillId="0" borderId="58" xfId="4495" applyFont="1" applyBorder="1"/>
    <xf numFmtId="0" fontId="24" fillId="0" borderId="58" xfId="4495" applyFont="1" applyBorder="1" applyAlignment="1">
      <alignment horizontal="right"/>
    </xf>
    <xf numFmtId="0" fontId="24" fillId="0" borderId="59" xfId="4495" applyFont="1" applyBorder="1" applyAlignment="1">
      <alignment horizontal="right"/>
    </xf>
    <xf numFmtId="0" fontId="122" fillId="0" borderId="53" xfId="4496" applyFont="1" applyBorder="1" applyAlignment="1">
      <alignment horizontal="left" vertical="top" wrapText="1"/>
    </xf>
    <xf numFmtId="0" fontId="122" fillId="0" borderId="0" xfId="4496" applyFont="1" applyAlignment="1">
      <alignment horizontal="left" vertical="top"/>
    </xf>
    <xf numFmtId="0" fontId="27" fillId="0" borderId="57" xfId="4495" applyFont="1" applyBorder="1" applyAlignment="1">
      <alignment horizontal="center" vertical="center"/>
    </xf>
    <xf numFmtId="0" fontId="27" fillId="0" borderId="58" xfId="4495" applyFont="1" applyBorder="1" applyAlignment="1">
      <alignment horizontal="center" vertical="center"/>
    </xf>
    <xf numFmtId="0" fontId="27" fillId="0" borderId="59" xfId="4495" applyFont="1" applyBorder="1" applyAlignment="1">
      <alignment horizontal="center" vertical="center"/>
    </xf>
    <xf numFmtId="0" fontId="24" fillId="0" borderId="0" xfId="4495" applyFont="1" applyAlignment="1">
      <alignment horizontal="center"/>
    </xf>
    <xf numFmtId="0" fontId="24" fillId="0" borderId="8" xfId="4495" applyFont="1" applyBorder="1"/>
    <xf numFmtId="0" fontId="25" fillId="0" borderId="0" xfId="4495" applyFont="1" applyAlignment="1">
      <alignment horizontal="left"/>
    </xf>
    <xf numFmtId="0" fontId="24" fillId="0" borderId="0" xfId="4495" applyFont="1" applyAlignment="1">
      <alignment horizontal="center" vertical="top"/>
    </xf>
    <xf numFmtId="0" fontId="17" fillId="0" borderId="0" xfId="4495" applyFont="1" applyAlignment="1">
      <alignment horizontal="center"/>
    </xf>
    <xf numFmtId="0" fontId="33" fillId="0" borderId="0" xfId="4495" applyFont="1"/>
    <xf numFmtId="0" fontId="25" fillId="0" borderId="8" xfId="4495" applyFont="1" applyBorder="1"/>
    <xf numFmtId="0" fontId="53" fillId="0" borderId="8" xfId="4495" applyFont="1" applyBorder="1"/>
    <xf numFmtId="1" fontId="17" fillId="0" borderId="0" xfId="1192" applyNumberFormat="1"/>
    <xf numFmtId="0" fontId="17" fillId="0" borderId="3" xfId="4495" applyFont="1" applyBorder="1"/>
    <xf numFmtId="0" fontId="17" fillId="0" borderId="4" xfId="4495" applyFont="1" applyBorder="1"/>
    <xf numFmtId="0" fontId="17" fillId="0" borderId="0" xfId="1192" applyAlignment="1">
      <alignment wrapText="1"/>
    </xf>
    <xf numFmtId="0" fontId="25" fillId="0" borderId="0" xfId="4495" applyFont="1" applyAlignment="1">
      <alignment vertical="top" wrapText="1"/>
    </xf>
    <xf numFmtId="0" fontId="25" fillId="0" borderId="0" xfId="1192" applyFont="1"/>
    <xf numFmtId="0" fontId="17" fillId="0" borderId="0" xfId="4495" applyFont="1" applyAlignment="1">
      <alignment horizontal="left"/>
    </xf>
    <xf numFmtId="0" fontId="25" fillId="0" borderId="3" xfId="4495" applyFont="1" applyBorder="1"/>
    <xf numFmtId="0" fontId="17" fillId="0" borderId="4" xfId="4495" applyFont="1" applyBorder="1" applyAlignment="1">
      <alignment horizontal="right"/>
    </xf>
    <xf numFmtId="1" fontId="17" fillId="0" borderId="0" xfId="4495" applyNumberFormat="1" applyFont="1" applyAlignment="1">
      <alignment horizontal="center"/>
    </xf>
    <xf numFmtId="0" fontId="53" fillId="0" borderId="0" xfId="4495" applyFont="1"/>
    <xf numFmtId="0" fontId="17" fillId="0" borderId="0" xfId="4495" applyFont="1" applyAlignment="1">
      <alignment horizontal="right"/>
    </xf>
    <xf numFmtId="0" fontId="25" fillId="0" borderId="0" xfId="4495" applyFont="1" applyAlignment="1">
      <alignment vertical="top"/>
    </xf>
    <xf numFmtId="0" fontId="25" fillId="0" borderId="27" xfId="4495" applyFont="1" applyBorder="1"/>
    <xf numFmtId="0" fontId="24" fillId="0" borderId="0" xfId="4495" applyFont="1" applyAlignment="1">
      <alignment vertical="top"/>
    </xf>
    <xf numFmtId="0" fontId="35" fillId="0" borderId="0" xfId="4495" applyFont="1" applyAlignment="1">
      <alignment vertical="top" wrapText="1"/>
    </xf>
    <xf numFmtId="0" fontId="24" fillId="0" borderId="0" xfId="4495" applyFont="1" applyAlignment="1">
      <alignment horizontal="left" vertical="top" wrapText="1"/>
    </xf>
    <xf numFmtId="0" fontId="17" fillId="0" borderId="0" xfId="4495" applyFont="1" applyAlignment="1">
      <alignment horizontal="left" vertical="top"/>
    </xf>
    <xf numFmtId="0" fontId="35" fillId="0" borderId="0" xfId="4495" applyFont="1" applyAlignment="1">
      <alignment vertical="top"/>
    </xf>
    <xf numFmtId="0" fontId="17" fillId="0" borderId="10" xfId="4495" applyFont="1" applyBorder="1" applyAlignment="1">
      <alignment horizontal="center"/>
    </xf>
    <xf numFmtId="0" fontId="17" fillId="0" borderId="16" xfId="4495" applyFont="1" applyBorder="1" applyAlignment="1">
      <alignment horizontal="center"/>
    </xf>
    <xf numFmtId="0" fontId="33" fillId="0" borderId="16" xfId="4495" applyFont="1" applyBorder="1"/>
    <xf numFmtId="0" fontId="25" fillId="0" borderId="16" xfId="4495" applyFont="1" applyBorder="1"/>
    <xf numFmtId="0" fontId="17" fillId="0" borderId="0" xfId="4496" applyFont="1" applyAlignment="1">
      <alignment vertical="top" wrapText="1"/>
    </xf>
    <xf numFmtId="0" fontId="24" fillId="0" borderId="0" xfId="1192" applyFont="1" applyAlignment="1">
      <alignment horizontal="right"/>
    </xf>
    <xf numFmtId="0" fontId="17" fillId="0" borderId="0" xfId="4496" applyFont="1"/>
    <xf numFmtId="0" fontId="17" fillId="0" borderId="0" xfId="4496" applyFont="1" applyAlignment="1">
      <alignment horizontal="left"/>
    </xf>
    <xf numFmtId="0" fontId="17" fillId="0" borderId="0" xfId="4496" applyFont="1" applyAlignment="1">
      <alignment horizontal="right"/>
    </xf>
    <xf numFmtId="0" fontId="25" fillId="0" borderId="0" xfId="4496" applyFont="1" applyAlignment="1">
      <alignment vertical="top" wrapText="1"/>
    </xf>
    <xf numFmtId="0" fontId="17" fillId="0" borderId="4" xfId="4496" applyFont="1" applyBorder="1"/>
    <xf numFmtId="0" fontId="24" fillId="0" borderId="4" xfId="4496" applyFont="1" applyBorder="1" applyAlignment="1">
      <alignment horizontal="right"/>
    </xf>
    <xf numFmtId="0" fontId="25" fillId="0" borderId="27" xfId="4495" applyFont="1" applyBorder="1" applyAlignment="1">
      <alignment horizontal="left" vertical="top"/>
    </xf>
    <xf numFmtId="0" fontId="17" fillId="0" borderId="27" xfId="4495" applyFont="1" applyBorder="1" applyAlignment="1">
      <alignment horizontal="left" vertical="top"/>
    </xf>
    <xf numFmtId="0" fontId="24" fillId="0" borderId="27" xfId="4495" applyFont="1" applyBorder="1" applyAlignment="1">
      <alignment horizontal="right"/>
    </xf>
    <xf numFmtId="0" fontId="17" fillId="0" borderId="27" xfId="4495" applyFont="1" applyBorder="1" applyAlignment="1">
      <alignment horizontal="center"/>
    </xf>
    <xf numFmtId="0" fontId="17" fillId="0" borderId="46" xfId="4495" applyFont="1" applyBorder="1" applyAlignment="1">
      <alignment horizontal="center"/>
    </xf>
    <xf numFmtId="164" fontId="25" fillId="0" borderId="0" xfId="4495" applyNumberFormat="1" applyFont="1" applyAlignment="1">
      <alignment horizontal="left" vertical="top" wrapText="1"/>
    </xf>
    <xf numFmtId="0" fontId="28" fillId="0" borderId="0" xfId="4495" applyFont="1"/>
    <xf numFmtId="0" fontId="25" fillId="0" borderId="0" xfId="4495" applyFont="1" applyAlignment="1">
      <alignment horizontal="right"/>
    </xf>
    <xf numFmtId="0" fontId="17" fillId="0" borderId="27" xfId="543" applyBorder="1"/>
    <xf numFmtId="0" fontId="17" fillId="0" borderId="46" xfId="543" applyBorder="1"/>
    <xf numFmtId="0" fontId="24" fillId="0" borderId="0" xfId="4495" applyFont="1" applyAlignment="1">
      <alignment horizontal="left" vertical="top"/>
    </xf>
    <xf numFmtId="1" fontId="120" fillId="0" borderId="0" xfId="4495" applyNumberFormat="1"/>
    <xf numFmtId="0" fontId="17" fillId="0" borderId="0" xfId="4495" applyFont="1" applyAlignment="1">
      <alignment vertical="top" wrapText="1"/>
    </xf>
    <xf numFmtId="0" fontId="17" fillId="0" borderId="0" xfId="4495" applyFont="1" applyAlignment="1">
      <alignment horizontal="left" vertical="top" wrapText="1"/>
    </xf>
    <xf numFmtId="0" fontId="17" fillId="0" borderId="50" xfId="4495" applyFont="1" applyBorder="1" applyAlignment="1">
      <alignment vertical="top"/>
    </xf>
    <xf numFmtId="0" fontId="17" fillId="0" borderId="51" xfId="4495" applyFont="1" applyBorder="1" applyAlignment="1">
      <alignment vertical="top"/>
    </xf>
    <xf numFmtId="0" fontId="17" fillId="0" borderId="52" xfId="4495" applyFont="1" applyBorder="1" applyAlignment="1">
      <alignment vertical="top"/>
    </xf>
    <xf numFmtId="1" fontId="25" fillId="0" borderId="8" xfId="4495" applyNumberFormat="1" applyFont="1" applyBorder="1"/>
    <xf numFmtId="0" fontId="17" fillId="0" borderId="0" xfId="543" applyAlignment="1">
      <alignment vertical="top"/>
    </xf>
    <xf numFmtId="0" fontId="25" fillId="0" borderId="51" xfId="4495" applyFont="1" applyBorder="1" applyAlignment="1">
      <alignment horizontal="left" vertical="top"/>
    </xf>
    <xf numFmtId="0" fontId="25" fillId="0" borderId="52" xfId="4495" applyFont="1" applyBorder="1" applyAlignment="1">
      <alignment horizontal="left" vertical="top"/>
    </xf>
    <xf numFmtId="0" fontId="120" fillId="0" borderId="0" xfId="4495" applyAlignment="1" applyProtection="1">
      <alignment horizontal="center"/>
      <protection locked="0"/>
    </xf>
    <xf numFmtId="0" fontId="17" fillId="0" borderId="53" xfId="4495" applyFont="1" applyBorder="1" applyAlignment="1">
      <alignment vertical="top"/>
    </xf>
    <xf numFmtId="0" fontId="17" fillId="0" borderId="54" xfId="4495" applyFont="1" applyBorder="1" applyAlignment="1">
      <alignment vertical="top" wrapText="1"/>
    </xf>
    <xf numFmtId="0" fontId="61" fillId="0" borderId="53" xfId="4495" applyFont="1" applyBorder="1"/>
    <xf numFmtId="0" fontId="25" fillId="0" borderId="54" xfId="4495" applyFont="1" applyBorder="1" applyAlignment="1">
      <alignment horizontal="left" vertical="top"/>
    </xf>
    <xf numFmtId="0" fontId="17" fillId="0" borderId="53" xfId="4495" applyFont="1" applyBorder="1" applyAlignment="1">
      <alignment vertical="center" wrapText="1"/>
    </xf>
    <xf numFmtId="0" fontId="61" fillId="0" borderId="57" xfId="4495" applyFont="1" applyBorder="1"/>
    <xf numFmtId="0" fontId="25" fillId="0" borderId="58" xfId="4495" applyFont="1" applyBorder="1" applyAlignment="1">
      <alignment horizontal="left" vertical="top"/>
    </xf>
    <xf numFmtId="0" fontId="25" fillId="0" borderId="12" xfId="4495" applyFont="1" applyBorder="1"/>
    <xf numFmtId="0" fontId="17" fillId="0" borderId="57" xfId="4495" applyFont="1" applyBorder="1" applyAlignment="1">
      <alignment vertical="center"/>
    </xf>
    <xf numFmtId="0" fontId="17" fillId="0" borderId="58" xfId="4495" applyFont="1" applyBorder="1" applyAlignment="1">
      <alignment vertical="top"/>
    </xf>
    <xf numFmtId="0" fontId="17" fillId="0" borderId="59" xfId="4495" applyFont="1" applyBorder="1" applyAlignment="1">
      <alignment vertical="top"/>
    </xf>
    <xf numFmtId="0" fontId="17" fillId="0" borderId="0" xfId="4495" applyFont="1" applyAlignment="1">
      <alignment vertical="top"/>
    </xf>
    <xf numFmtId="0" fontId="25" fillId="0" borderId="4" xfId="4495" applyFont="1" applyBorder="1" applyAlignment="1">
      <alignment horizontal="left" vertical="top"/>
    </xf>
    <xf numFmtId="0" fontId="17" fillId="0" borderId="4" xfId="4495" applyFont="1" applyBorder="1" applyAlignment="1">
      <alignment horizontal="left" vertical="top"/>
    </xf>
    <xf numFmtId="0" fontId="17" fillId="0" borderId="2" xfId="4495" applyFont="1" applyBorder="1"/>
    <xf numFmtId="0" fontId="25" fillId="0" borderId="2" xfId="4495" applyFont="1" applyBorder="1"/>
    <xf numFmtId="0" fontId="17" fillId="0" borderId="2" xfId="4495" applyFont="1" applyBorder="1" applyAlignment="1">
      <alignment horizontal="center"/>
    </xf>
    <xf numFmtId="0" fontId="25" fillId="0" borderId="7" xfId="4495" applyFont="1" applyBorder="1"/>
    <xf numFmtId="0" fontId="33" fillId="0" borderId="0" xfId="4495" applyFont="1" applyAlignment="1">
      <alignment horizontal="right"/>
    </xf>
    <xf numFmtId="0" fontId="126" fillId="0" borderId="0" xfId="4495" applyFont="1" applyAlignment="1">
      <alignment horizontal="left" vertical="top" wrapText="1"/>
    </xf>
    <xf numFmtId="0" fontId="33" fillId="0" borderId="0" xfId="4495" applyFont="1" applyAlignment="1">
      <alignment horizontal="left" vertical="top"/>
    </xf>
    <xf numFmtId="0" fontId="25" fillId="0" borderId="0" xfId="4495" quotePrefix="1" applyFont="1" applyAlignment="1">
      <alignment horizontal="right"/>
    </xf>
    <xf numFmtId="0" fontId="17" fillId="0" borderId="0" xfId="4497"/>
    <xf numFmtId="0" fontId="25" fillId="0" borderId="0" xfId="4495" applyFont="1" applyAlignment="1">
      <alignment horizontal="left" vertical="top" wrapText="1" shrinkToFit="1"/>
    </xf>
    <xf numFmtId="0" fontId="120" fillId="0" borderId="0" xfId="4495" applyAlignment="1">
      <alignment vertical="top" wrapText="1"/>
    </xf>
    <xf numFmtId="0" fontId="25" fillId="0" borderId="4" xfId="4495" applyFont="1" applyBorder="1" applyAlignment="1">
      <alignment horizontal="left" vertical="top" wrapText="1" shrinkToFit="1"/>
    </xf>
    <xf numFmtId="0" fontId="33" fillId="0" borderId="8" xfId="4495" applyFont="1" applyBorder="1"/>
    <xf numFmtId="0" fontId="25" fillId="0" borderId="0" xfId="4495" applyFont="1" applyAlignment="1">
      <alignment horizontal="center"/>
    </xf>
    <xf numFmtId="0" fontId="25" fillId="0" borderId="0" xfId="4495" quotePrefix="1" applyFont="1"/>
    <xf numFmtId="0" fontId="25" fillId="0" borderId="0" xfId="4495" applyFont="1" applyAlignment="1">
      <alignment horizontal="left" vertical="top" shrinkToFit="1"/>
    </xf>
    <xf numFmtId="0" fontId="47" fillId="0" borderId="0" xfId="4495" applyFont="1"/>
    <xf numFmtId="0" fontId="25" fillId="0" borderId="3" xfId="4495" applyFont="1" applyBorder="1" applyAlignment="1">
      <alignment horizontal="center"/>
    </xf>
    <xf numFmtId="0" fontId="120" fillId="0" borderId="8" xfId="4495" applyBorder="1"/>
    <xf numFmtId="0" fontId="24" fillId="0" borderId="8" xfId="4495" applyFont="1" applyBorder="1" applyAlignment="1">
      <alignment vertical="top"/>
    </xf>
    <xf numFmtId="0" fontId="120" fillId="0" borderId="0" xfId="4495" applyAlignment="1">
      <alignment vertical="top"/>
    </xf>
    <xf numFmtId="0" fontId="24" fillId="0" borderId="4" xfId="4495" applyFont="1" applyBorder="1" applyAlignment="1">
      <alignment horizontal="center" vertical="top"/>
    </xf>
    <xf numFmtId="0" fontId="126" fillId="0" borderId="0" xfId="4495" applyFont="1" applyAlignment="1">
      <alignment horizontal="left" vertical="top"/>
    </xf>
    <xf numFmtId="0" fontId="126" fillId="0" borderId="4" xfId="4495" applyFont="1" applyBorder="1" applyAlignment="1">
      <alignment horizontal="left" vertical="top"/>
    </xf>
    <xf numFmtId="168" fontId="17" fillId="0" borderId="0" xfId="4497" applyNumberFormat="1"/>
    <xf numFmtId="1" fontId="25" fillId="0" borderId="0" xfId="4495" applyNumberFormat="1" applyFont="1" applyAlignment="1">
      <alignment horizontal="center" vertical="top"/>
    </xf>
    <xf numFmtId="0" fontId="130" fillId="0" borderId="0" xfId="4495" applyFont="1" applyAlignment="1">
      <alignment vertical="top" wrapText="1"/>
    </xf>
    <xf numFmtId="0" fontId="130" fillId="0" borderId="0" xfId="4495" applyFont="1" applyAlignment="1">
      <alignment horizontal="left" vertical="top" wrapText="1"/>
    </xf>
    <xf numFmtId="0" fontId="25" fillId="0" borderId="6" xfId="4495" applyFont="1" applyBorder="1"/>
    <xf numFmtId="1" fontId="25" fillId="0" borderId="8" xfId="4495" applyNumberFormat="1" applyFont="1" applyBorder="1" applyAlignment="1">
      <alignment horizontal="center" vertical="top"/>
    </xf>
    <xf numFmtId="0" fontId="120" fillId="0" borderId="12" xfId="4495" applyBorder="1"/>
    <xf numFmtId="0" fontId="25" fillId="0" borderId="9" xfId="4495" applyFont="1" applyBorder="1"/>
    <xf numFmtId="0" fontId="120" fillId="0" borderId="10" xfId="4495" applyBorder="1"/>
    <xf numFmtId="0" fontId="33" fillId="0" borderId="3" xfId="4495" applyFont="1" applyBorder="1"/>
    <xf numFmtId="0" fontId="24" fillId="0" borderId="4" xfId="4495" applyFont="1" applyBorder="1"/>
    <xf numFmtId="0" fontId="120" fillId="0" borderId="12" xfId="4495" applyBorder="1" applyAlignment="1">
      <alignment vertical="top"/>
    </xf>
    <xf numFmtId="0" fontId="33" fillId="0" borderId="1" xfId="4495" applyFont="1" applyBorder="1"/>
    <xf numFmtId="0" fontId="130" fillId="0" borderId="2" xfId="4495" applyFont="1" applyBorder="1" applyAlignment="1">
      <alignment horizontal="left" wrapText="1"/>
    </xf>
    <xf numFmtId="0" fontId="130" fillId="0" borderId="2" xfId="4495" applyFont="1" applyBorder="1" applyAlignment="1">
      <alignment horizontal="left"/>
    </xf>
    <xf numFmtId="0" fontId="130" fillId="0" borderId="7" xfId="4495" applyFont="1" applyBorder="1" applyAlignment="1">
      <alignment horizontal="left" wrapText="1"/>
    </xf>
    <xf numFmtId="0" fontId="130" fillId="0" borderId="0" xfId="4495" applyFont="1" applyAlignment="1">
      <alignment horizontal="left" wrapText="1"/>
    </xf>
    <xf numFmtId="0" fontId="33" fillId="0" borderId="9" xfId="4495" applyFont="1" applyBorder="1"/>
    <xf numFmtId="0" fontId="25" fillId="0" borderId="10" xfId="4495" applyFont="1" applyBorder="1"/>
    <xf numFmtId="0" fontId="130" fillId="0" borderId="0" xfId="4495" applyFont="1" applyAlignment="1">
      <alignment wrapText="1"/>
    </xf>
    <xf numFmtId="0" fontId="33" fillId="0" borderId="9" xfId="4495" applyFont="1" applyBorder="1" applyAlignment="1">
      <alignment horizontal="center"/>
    </xf>
    <xf numFmtId="0" fontId="24" fillId="0" borderId="10" xfId="4495" applyFont="1" applyBorder="1"/>
    <xf numFmtId="0" fontId="35" fillId="0" borderId="0" xfId="4495" applyFont="1"/>
    <xf numFmtId="0" fontId="25" fillId="0" borderId="50" xfId="4495" applyFont="1" applyBorder="1"/>
    <xf numFmtId="0" fontId="25" fillId="0" borderId="51" xfId="4495" applyFont="1" applyBorder="1"/>
    <xf numFmtId="1" fontId="25" fillId="0" borderId="51" xfId="4495" quotePrefix="1" applyNumberFormat="1" applyFont="1" applyBorder="1" applyAlignment="1">
      <alignment horizontal="center" vertical="top"/>
    </xf>
    <xf numFmtId="0" fontId="24" fillId="0" borderId="51" xfId="4495" applyFont="1" applyBorder="1"/>
    <xf numFmtId="0" fontId="24" fillId="0" borderId="52" xfId="4495" applyFont="1" applyBorder="1" applyAlignment="1">
      <alignment horizontal="center"/>
    </xf>
    <xf numFmtId="0" fontId="17" fillId="0" borderId="53" xfId="4495" applyFont="1" applyBorder="1"/>
    <xf numFmtId="1" fontId="25" fillId="0" borderId="0" xfId="4495" quotePrefix="1" applyNumberFormat="1" applyFont="1" applyAlignment="1">
      <alignment horizontal="center" vertical="top"/>
    </xf>
    <xf numFmtId="0" fontId="24" fillId="0" borderId="54" xfId="4495" applyFont="1" applyBorder="1" applyAlignment="1">
      <alignment horizontal="center"/>
    </xf>
    <xf numFmtId="0" fontId="33" fillId="0" borderId="0" xfId="4495" applyFont="1" applyAlignment="1">
      <alignment vertical="top"/>
    </xf>
    <xf numFmtId="0" fontId="25" fillId="0" borderId="61" xfId="4495" applyFont="1" applyBorder="1"/>
    <xf numFmtId="0" fontId="120" fillId="0" borderId="58" xfId="4495" applyBorder="1" applyAlignment="1">
      <alignment horizontal="center"/>
    </xf>
    <xf numFmtId="1" fontId="25" fillId="0" borderId="58" xfId="4495" quotePrefix="1" applyNumberFormat="1" applyFont="1" applyBorder="1" applyAlignment="1">
      <alignment horizontal="center" vertical="top"/>
    </xf>
    <xf numFmtId="0" fontId="33" fillId="0" borderId="58" xfId="4495" applyFont="1" applyBorder="1" applyAlignment="1">
      <alignment vertical="top"/>
    </xf>
    <xf numFmtId="0" fontId="25" fillId="0" borderId="58" xfId="4495" applyFont="1" applyBorder="1" applyAlignment="1">
      <alignment vertical="top" wrapText="1"/>
    </xf>
    <xf numFmtId="0" fontId="25" fillId="0" borderId="58" xfId="4495" applyFont="1" applyBorder="1"/>
    <xf numFmtId="0" fontId="24" fillId="0" borderId="58" xfId="4495" applyFont="1" applyBorder="1" applyAlignment="1">
      <alignment horizontal="center"/>
    </xf>
    <xf numFmtId="0" fontId="120" fillId="0" borderId="61" xfId="4495" applyBorder="1"/>
    <xf numFmtId="0" fontId="120" fillId="0" borderId="0" xfId="4495" applyAlignment="1">
      <alignment horizontal="center"/>
    </xf>
    <xf numFmtId="0" fontId="17" fillId="0" borderId="53" xfId="543" applyBorder="1"/>
    <xf numFmtId="0" fontId="25" fillId="0" borderId="54" xfId="4495" applyFont="1" applyBorder="1"/>
    <xf numFmtId="0" fontId="17" fillId="0" borderId="58" xfId="543" applyBorder="1"/>
    <xf numFmtId="1" fontId="25" fillId="0" borderId="58" xfId="4495" applyNumberFormat="1" applyFont="1" applyBorder="1" applyAlignment="1">
      <alignment horizontal="center" vertical="top"/>
    </xf>
    <xf numFmtId="0" fontId="33" fillId="0" borderId="58" xfId="4495" applyFont="1" applyBorder="1" applyAlignment="1">
      <alignment vertical="center"/>
    </xf>
    <xf numFmtId="0" fontId="120" fillId="0" borderId="58" xfId="4495" applyBorder="1" applyAlignment="1">
      <alignment vertical="top" wrapText="1"/>
    </xf>
    <xf numFmtId="0" fontId="17" fillId="0" borderId="58" xfId="4495" applyFont="1" applyBorder="1"/>
    <xf numFmtId="0" fontId="33" fillId="0" borderId="0" xfId="4495" applyFont="1" applyAlignment="1">
      <alignment vertical="center"/>
    </xf>
    <xf numFmtId="0" fontId="25" fillId="0" borderId="53" xfId="4495" applyFont="1" applyBorder="1"/>
    <xf numFmtId="0" fontId="17" fillId="0" borderId="57" xfId="543" applyBorder="1"/>
    <xf numFmtId="0" fontId="25" fillId="0" borderId="58" xfId="4495" applyFont="1" applyBorder="1" applyAlignment="1">
      <alignment vertical="top"/>
    </xf>
    <xf numFmtId="0" fontId="25" fillId="0" borderId="59" xfId="4495" applyFont="1" applyBorder="1"/>
    <xf numFmtId="0" fontId="25" fillId="0" borderId="57" xfId="4495" applyFont="1" applyBorder="1"/>
    <xf numFmtId="0" fontId="17" fillId="0" borderId="51" xfId="4495" applyFont="1" applyBorder="1"/>
    <xf numFmtId="0" fontId="25" fillId="0" borderId="52" xfId="4495" applyFont="1" applyBorder="1"/>
    <xf numFmtId="0" fontId="17" fillId="0" borderId="50" xfId="543" applyBorder="1"/>
    <xf numFmtId="0" fontId="17" fillId="0" borderId="51" xfId="543" applyBorder="1"/>
    <xf numFmtId="0" fontId="17" fillId="0" borderId="52" xfId="543" applyBorder="1"/>
    <xf numFmtId="0" fontId="25" fillId="0" borderId="0" xfId="4495" applyFont="1" applyAlignment="1">
      <alignment wrapText="1"/>
    </xf>
    <xf numFmtId="0" fontId="24" fillId="0" borderId="54" xfId="4495" applyFont="1" applyBorder="1" applyAlignment="1">
      <alignment horizontal="center" vertical="top"/>
    </xf>
    <xf numFmtId="0" fontId="120" fillId="0" borderId="53" xfId="4495" applyBorder="1" applyAlignment="1">
      <alignment horizontal="center"/>
    </xf>
    <xf numFmtId="2" fontId="25" fillId="0" borderId="0" xfId="4495" applyNumberFormat="1" applyFont="1" applyAlignment="1">
      <alignment horizontal="right"/>
    </xf>
    <xf numFmtId="2" fontId="25" fillId="0" borderId="8" xfId="4495" applyNumberFormat="1" applyFont="1" applyBorder="1" applyAlignment="1">
      <alignment horizontal="left"/>
    </xf>
    <xf numFmtId="0" fontId="25" fillId="0" borderId="8" xfId="4495" applyFont="1" applyBorder="1" applyAlignment="1">
      <alignment horizontal="right"/>
    </xf>
    <xf numFmtId="0" fontId="129" fillId="0" borderId="0" xfId="4495" applyFont="1"/>
    <xf numFmtId="0" fontId="120" fillId="0" borderId="57" xfId="4495" applyBorder="1" applyAlignment="1">
      <alignment horizontal="center"/>
    </xf>
    <xf numFmtId="0" fontId="24" fillId="0" borderId="59" xfId="4495" applyFont="1" applyBorder="1" applyAlignment="1">
      <alignment horizontal="center"/>
    </xf>
    <xf numFmtId="9" fontId="25" fillId="0" borderId="0" xfId="4495" applyNumberFormat="1" applyFont="1" applyAlignment="1">
      <alignment horizontal="left"/>
    </xf>
    <xf numFmtId="0" fontId="17" fillId="0" borderId="17" xfId="543" applyBorder="1"/>
    <xf numFmtId="0" fontId="17" fillId="0" borderId="16" xfId="543" applyBorder="1"/>
    <xf numFmtId="0" fontId="17" fillId="0" borderId="51" xfId="4495" quotePrefix="1" applyFont="1" applyBorder="1" applyAlignment="1">
      <alignment horizontal="center" vertical="top"/>
    </xf>
    <xf numFmtId="0" fontId="25" fillId="0" borderId="53" xfId="4495" applyFont="1" applyBorder="1" applyAlignment="1">
      <alignment horizontal="left" vertical="top"/>
    </xf>
    <xf numFmtId="0" fontId="25" fillId="0" borderId="0" xfId="4495" applyFont="1" applyAlignment="1">
      <alignment horizontal="center" vertical="top"/>
    </xf>
    <xf numFmtId="0" fontId="25" fillId="0" borderId="57" xfId="4495" applyFont="1" applyBorder="1" applyAlignment="1">
      <alignment horizontal="left" vertical="top"/>
    </xf>
    <xf numFmtId="0" fontId="25" fillId="0" borderId="58" xfId="4495" applyFont="1" applyBorder="1" applyAlignment="1">
      <alignment horizontal="center" vertical="top"/>
    </xf>
    <xf numFmtId="0" fontId="120" fillId="0" borderId="58" xfId="4495" applyBorder="1"/>
    <xf numFmtId="0" fontId="24" fillId="0" borderId="58" xfId="4495" applyFont="1" applyBorder="1" applyAlignment="1">
      <alignment vertical="top"/>
    </xf>
    <xf numFmtId="0" fontId="24" fillId="0" borderId="58" xfId="4495" applyFont="1" applyBorder="1" applyAlignment="1">
      <alignment horizontal="left" vertical="top"/>
    </xf>
    <xf numFmtId="0" fontId="24" fillId="0" borderId="51" xfId="4495" applyFont="1" applyBorder="1" applyAlignment="1">
      <alignment horizontal="left" vertical="top"/>
    </xf>
    <xf numFmtId="0" fontId="24" fillId="0" borderId="53" xfId="4495" applyFont="1" applyBorder="1" applyAlignment="1">
      <alignment horizontal="left" vertical="top"/>
    </xf>
    <xf numFmtId="0" fontId="53" fillId="0" borderId="0" xfId="4495" applyFont="1" applyAlignment="1">
      <alignment horizontal="left" vertical="top"/>
    </xf>
    <xf numFmtId="0" fontId="25" fillId="0" borderId="0" xfId="4495" quotePrefix="1" applyFont="1" applyAlignment="1">
      <alignment horizontal="center" vertical="top"/>
    </xf>
    <xf numFmtId="0" fontId="54" fillId="0" borderId="0" xfId="4495" applyFont="1" applyAlignment="1">
      <alignment horizontal="center"/>
    </xf>
    <xf numFmtId="0" fontId="54" fillId="0" borderId="0" xfId="4495" applyFont="1" applyAlignment="1">
      <alignment vertical="top"/>
    </xf>
    <xf numFmtId="0" fontId="107" fillId="0" borderId="0" xfId="4495" applyFont="1"/>
    <xf numFmtId="0" fontId="53" fillId="0" borderId="0" xfId="4495" applyFont="1" applyAlignment="1">
      <alignment vertical="top"/>
    </xf>
    <xf numFmtId="0" fontId="33" fillId="0" borderId="53" xfId="4495" applyFont="1" applyBorder="1"/>
    <xf numFmtId="2" fontId="25" fillId="0" borderId="8" xfId="4495" applyNumberFormat="1" applyFont="1" applyBorder="1" applyAlignment="1">
      <alignment horizontal="right"/>
    </xf>
    <xf numFmtId="0" fontId="24" fillId="0" borderId="50" xfId="4495" applyFont="1" applyBorder="1" applyAlignment="1">
      <alignment horizontal="left" vertical="top"/>
    </xf>
    <xf numFmtId="0" fontId="53" fillId="0" borderId="51" xfId="4495" applyFont="1" applyBorder="1" applyAlignment="1">
      <alignment horizontal="left" vertical="top"/>
    </xf>
    <xf numFmtId="0" fontId="120" fillId="0" borderId="53" xfId="4495" applyBorder="1"/>
    <xf numFmtId="0" fontId="107" fillId="0" borderId="0" xfId="4495" applyFont="1" applyAlignment="1">
      <alignment horizontal="left" vertical="top"/>
    </xf>
    <xf numFmtId="1" fontId="24" fillId="0" borderId="58" xfId="4495" applyNumberFormat="1" applyFont="1" applyBorder="1" applyAlignment="1">
      <alignment vertical="top"/>
    </xf>
    <xf numFmtId="172" fontId="24" fillId="0" borderId="8" xfId="543" applyNumberFormat="1" applyFont="1" applyBorder="1"/>
    <xf numFmtId="172" fontId="24" fillId="0" borderId="0" xfId="543" applyNumberFormat="1" applyFont="1"/>
    <xf numFmtId="0" fontId="33" fillId="0" borderId="0" xfId="4495" applyFont="1" applyAlignment="1">
      <alignment wrapText="1"/>
    </xf>
    <xf numFmtId="0" fontId="33" fillId="0" borderId="0" xfId="4495" applyFont="1" applyAlignment="1">
      <alignment horizontal="center"/>
    </xf>
    <xf numFmtId="0" fontId="33" fillId="0" borderId="0" xfId="4495" applyFont="1" applyAlignment="1">
      <alignment vertical="center" wrapText="1"/>
    </xf>
    <xf numFmtId="180" fontId="25" fillId="0" borderId="0" xfId="4495" applyNumberFormat="1" applyFont="1" applyAlignment="1">
      <alignment horizontal="center"/>
    </xf>
    <xf numFmtId="1" fontId="25" fillId="0" borderId="0" xfId="4495" applyNumberFormat="1" applyFont="1" applyAlignment="1">
      <alignment horizontal="center"/>
    </xf>
    <xf numFmtId="0" fontId="24" fillId="0" borderId="51" xfId="4495" applyFont="1" applyBorder="1" applyAlignment="1">
      <alignment horizontal="center"/>
    </xf>
    <xf numFmtId="0" fontId="24" fillId="0" borderId="51" xfId="4495" applyFont="1" applyBorder="1" applyAlignment="1">
      <alignment vertical="top"/>
    </xf>
    <xf numFmtId="0" fontId="24" fillId="0" borderId="53" xfId="4495" applyFont="1" applyBorder="1"/>
    <xf numFmtId="0" fontId="17" fillId="0" borderId="54" xfId="543" applyBorder="1"/>
    <xf numFmtId="49" fontId="25" fillId="0" borderId="0" xfId="4495" applyNumberFormat="1" applyFont="1" applyAlignment="1">
      <alignment horizontal="left" vertical="center" wrapText="1"/>
    </xf>
    <xf numFmtId="0" fontId="17" fillId="0" borderId="57" xfId="4495" applyFont="1" applyBorder="1"/>
    <xf numFmtId="1" fontId="17" fillId="0" borderId="0" xfId="4495" applyNumberFormat="1" applyFont="1" applyAlignment="1">
      <alignment vertical="center"/>
    </xf>
    <xf numFmtId="0" fontId="35" fillId="0" borderId="50" xfId="4495" applyFont="1" applyBorder="1"/>
    <xf numFmtId="0" fontId="25" fillId="0" borderId="51" xfId="4495" applyFont="1" applyBorder="1" applyAlignment="1">
      <alignment horizontal="center" vertical="top"/>
    </xf>
    <xf numFmtId="0" fontId="25" fillId="0" borderId="51" xfId="4495" applyFont="1" applyBorder="1" applyAlignment="1">
      <alignment vertical="top" wrapText="1"/>
    </xf>
    <xf numFmtId="0" fontId="25" fillId="0" borderId="51" xfId="4495" applyFont="1" applyBorder="1" applyAlignment="1">
      <alignment horizontal="left" vertical="top" wrapText="1"/>
    </xf>
    <xf numFmtId="0" fontId="17" fillId="0" borderId="0" xfId="4495" quotePrefix="1" applyFont="1" applyAlignment="1">
      <alignment horizontal="center" vertical="top"/>
    </xf>
    <xf numFmtId="1" fontId="25" fillId="0" borderId="0" xfId="4495" quotePrefix="1" applyNumberFormat="1" applyFont="1" applyAlignment="1">
      <alignment wrapText="1"/>
    </xf>
    <xf numFmtId="0" fontId="25" fillId="0" borderId="6" xfId="4495" applyFont="1" applyBorder="1" applyAlignment="1">
      <alignment horizontal="right"/>
    </xf>
    <xf numFmtId="0" fontId="122" fillId="0" borderId="0" xfId="4496" applyFont="1" applyAlignment="1">
      <alignment wrapText="1"/>
    </xf>
    <xf numFmtId="0" fontId="17" fillId="0" borderId="0" xfId="4496" applyFont="1" applyAlignment="1">
      <alignment wrapText="1"/>
    </xf>
    <xf numFmtId="0" fontId="33" fillId="0" borderId="51" xfId="4495" applyFont="1" applyBorder="1" applyAlignment="1">
      <alignment vertical="top"/>
    </xf>
    <xf numFmtId="0" fontId="17" fillId="0" borderId="51" xfId="4496" applyFont="1" applyBorder="1" applyAlignment="1">
      <alignment wrapText="1"/>
    </xf>
    <xf numFmtId="0" fontId="24" fillId="0" borderId="51" xfId="4495" applyFont="1" applyBorder="1" applyAlignment="1">
      <alignment horizontal="right"/>
    </xf>
    <xf numFmtId="0" fontId="17" fillId="0" borderId="52" xfId="4495" applyFont="1" applyBorder="1" applyAlignment="1">
      <alignment horizontal="center"/>
    </xf>
    <xf numFmtId="0" fontId="17" fillId="0" borderId="53" xfId="4495" applyFont="1" applyBorder="1" applyAlignment="1">
      <alignment horizontal="left" vertical="top"/>
    </xf>
    <xf numFmtId="0" fontId="17" fillId="0" borderId="54" xfId="4495" applyFont="1" applyBorder="1" applyAlignment="1">
      <alignment horizontal="left" vertical="top"/>
    </xf>
    <xf numFmtId="0" fontId="17" fillId="0" borderId="54" xfId="4495" applyFont="1" applyBorder="1" applyAlignment="1">
      <alignment horizontal="center"/>
    </xf>
    <xf numFmtId="0" fontId="17" fillId="0" borderId="59" xfId="4495" applyFont="1" applyBorder="1" applyAlignment="1">
      <alignment horizontal="center"/>
    </xf>
    <xf numFmtId="9" fontId="17" fillId="0" borderId="0" xfId="4496" applyNumberFormat="1" applyFont="1" applyAlignment="1">
      <alignment horizontal="center"/>
    </xf>
    <xf numFmtId="1" fontId="17" fillId="0" borderId="0" xfId="543" applyNumberFormat="1"/>
    <xf numFmtId="0" fontId="25" fillId="0" borderId="1" xfId="4495" applyFont="1" applyBorder="1"/>
    <xf numFmtId="0" fontId="24" fillId="0" borderId="0" xfId="4495" applyFont="1" applyAlignment="1">
      <alignment horizontal="center" wrapText="1"/>
    </xf>
    <xf numFmtId="0" fontId="24" fillId="0" borderId="9" xfId="4495" applyFont="1" applyBorder="1" applyAlignment="1">
      <alignment horizontal="left"/>
    </xf>
    <xf numFmtId="0" fontId="24" fillId="0" borderId="3" xfId="4495" applyFont="1" applyBorder="1" applyAlignment="1">
      <alignment horizontal="left"/>
    </xf>
    <xf numFmtId="0" fontId="24" fillId="0" borderId="4" xfId="4495" applyFont="1" applyBorder="1" applyAlignment="1">
      <alignment horizontal="left"/>
    </xf>
    <xf numFmtId="0" fontId="17" fillId="0" borderId="2" xfId="4495" applyFont="1" applyBorder="1" applyAlignment="1">
      <alignment horizontal="left"/>
    </xf>
    <xf numFmtId="0" fontId="24" fillId="0" borderId="2" xfId="4495" applyFont="1" applyBorder="1" applyAlignment="1">
      <alignment horizontal="left"/>
    </xf>
    <xf numFmtId="0" fontId="24" fillId="0" borderId="5" xfId="4495" applyFont="1" applyBorder="1" applyAlignment="1">
      <alignment horizontal="left"/>
    </xf>
    <xf numFmtId="180" fontId="64" fillId="0" borderId="0" xfId="4495" applyNumberFormat="1" applyFont="1" applyAlignment="1">
      <alignment horizontal="center" vertical="center"/>
    </xf>
    <xf numFmtId="0" fontId="17" fillId="0" borderId="12" xfId="4495" applyFont="1" applyBorder="1" applyAlignment="1">
      <alignment vertical="top"/>
    </xf>
    <xf numFmtId="0" fontId="47" fillId="0" borderId="0" xfId="4495" applyFont="1" applyAlignment="1">
      <alignment vertical="top" wrapText="1"/>
    </xf>
    <xf numFmtId="0" fontId="17" fillId="0" borderId="51" xfId="4495" applyFont="1" applyBorder="1" applyAlignment="1">
      <alignment horizontal="left" vertical="top" wrapText="1"/>
    </xf>
    <xf numFmtId="0" fontId="17" fillId="0" borderId="51" xfId="4495" applyFont="1" applyBorder="1" applyAlignment="1">
      <alignment horizontal="right"/>
    </xf>
    <xf numFmtId="0" fontId="17" fillId="0" borderId="52" xfId="4495" applyFont="1" applyBorder="1" applyAlignment="1">
      <alignment horizontal="right"/>
    </xf>
    <xf numFmtId="0" fontId="17" fillId="0" borderId="54" xfId="4495" applyFont="1" applyBorder="1" applyAlignment="1">
      <alignment horizontal="right"/>
    </xf>
    <xf numFmtId="0" fontId="17" fillId="0" borderId="58" xfId="4495" applyFont="1" applyBorder="1" applyAlignment="1">
      <alignment horizontal="left" vertical="top" wrapText="1"/>
    </xf>
    <xf numFmtId="0" fontId="17" fillId="0" borderId="58" xfId="4495" applyFont="1" applyBorder="1" applyAlignment="1">
      <alignment horizontal="right"/>
    </xf>
    <xf numFmtId="0" fontId="17" fillId="0" borderId="59" xfId="4495" applyFont="1" applyBorder="1" applyAlignment="1">
      <alignment horizontal="right"/>
    </xf>
    <xf numFmtId="0" fontId="47" fillId="0" borderId="0" xfId="4495" applyFont="1" applyAlignment="1">
      <alignment horizontal="left" vertical="top" wrapText="1"/>
    </xf>
    <xf numFmtId="0" fontId="17" fillId="0" borderId="0" xfId="1192" applyAlignment="1">
      <alignment horizontal="left" vertical="top"/>
    </xf>
    <xf numFmtId="0" fontId="35" fillId="0" borderId="0" xfId="1192" applyFont="1" applyAlignment="1">
      <alignment horizontal="left" vertical="top"/>
    </xf>
    <xf numFmtId="0" fontId="17" fillId="0" borderId="0" xfId="1192" applyAlignment="1">
      <alignment vertical="top"/>
    </xf>
    <xf numFmtId="168" fontId="17" fillId="0" borderId="0" xfId="1192" applyNumberFormat="1"/>
    <xf numFmtId="165" fontId="17" fillId="0" borderId="0" xfId="1192" applyNumberFormat="1"/>
    <xf numFmtId="165" fontId="17" fillId="0" borderId="0" xfId="1192" applyNumberFormat="1" applyAlignment="1">
      <alignment horizontal="right"/>
    </xf>
    <xf numFmtId="2" fontId="17" fillId="0" borderId="0" xfId="1192" applyNumberFormat="1"/>
    <xf numFmtId="6" fontId="17" fillId="0" borderId="0" xfId="1192" applyNumberFormat="1"/>
    <xf numFmtId="0" fontId="24" fillId="0" borderId="0" xfId="1192" applyFont="1"/>
    <xf numFmtId="0" fontId="47" fillId="0" borderId="0" xfId="1192" applyFont="1"/>
    <xf numFmtId="168" fontId="17" fillId="0" borderId="0" xfId="4495" applyNumberFormat="1" applyFont="1"/>
    <xf numFmtId="0" fontId="24" fillId="0" borderId="0" xfId="1192" applyFont="1" applyAlignment="1">
      <alignment vertical="center"/>
    </xf>
    <xf numFmtId="0" fontId="118" fillId="0" borderId="0" xfId="1192" applyFont="1" applyAlignment="1">
      <alignment horizontal="left"/>
    </xf>
    <xf numFmtId="0" fontId="115" fillId="0" borderId="0" xfId="1192" applyFont="1" applyAlignment="1">
      <alignment horizontal="left"/>
    </xf>
    <xf numFmtId="0" fontId="115" fillId="0" borderId="0" xfId="1192" applyFont="1" applyAlignment="1">
      <alignment horizontal="center"/>
    </xf>
    <xf numFmtId="168" fontId="17" fillId="0" borderId="0" xfId="1192" applyNumberFormat="1" applyAlignment="1">
      <alignment horizontal="center"/>
    </xf>
    <xf numFmtId="9" fontId="17" fillId="0" borderId="0" xfId="1192" applyNumberFormat="1"/>
    <xf numFmtId="0" fontId="17" fillId="0" borderId="0" xfId="1192" applyAlignment="1">
      <alignment horizontal="right"/>
    </xf>
    <xf numFmtId="0" fontId="17" fillId="0" borderId="53" xfId="4495" applyFont="1" applyBorder="1" applyAlignment="1">
      <alignment horizontal="left"/>
    </xf>
    <xf numFmtId="6" fontId="24" fillId="0" borderId="0" xfId="1192" applyNumberFormat="1" applyFont="1" applyAlignment="1">
      <alignment horizontal="right"/>
    </xf>
    <xf numFmtId="165" fontId="17" fillId="0" borderId="0" xfId="4495" applyNumberFormat="1" applyFont="1"/>
    <xf numFmtId="0" fontId="54" fillId="0" borderId="4" xfId="4495" applyFont="1" applyBorder="1"/>
    <xf numFmtId="0" fontId="37" fillId="0" borderId="0" xfId="543" applyFont="1" applyAlignment="1">
      <alignment vertical="center" wrapText="1"/>
    </xf>
    <xf numFmtId="1" fontId="24" fillId="0" borderId="13" xfId="271" applyNumberFormat="1" applyFont="1" applyBorder="1"/>
    <xf numFmtId="1" fontId="26" fillId="0" borderId="13" xfId="271" applyNumberFormat="1" applyBorder="1"/>
    <xf numFmtId="0" fontId="17" fillId="0" borderId="11" xfId="0" applyFont="1" applyBorder="1"/>
    <xf numFmtId="9" fontId="17" fillId="0" borderId="0" xfId="4495" applyNumberFormat="1" applyFont="1"/>
    <xf numFmtId="165" fontId="122" fillId="0" borderId="0" xfId="4496" applyNumberFormat="1" applyFont="1" applyAlignment="1">
      <alignment horizontal="center" vertical="top" wrapText="1"/>
    </xf>
    <xf numFmtId="168" fontId="122" fillId="0" borderId="0" xfId="4496" applyNumberFormat="1" applyFont="1" applyAlignment="1">
      <alignment vertical="top" wrapText="1"/>
    </xf>
    <xf numFmtId="165" fontId="122" fillId="0" borderId="64" xfId="4496" applyNumberFormat="1" applyFont="1" applyBorder="1" applyAlignment="1">
      <alignment horizontal="center" vertical="top" wrapText="1"/>
    </xf>
    <xf numFmtId="165" fontId="122" fillId="0" borderId="53" xfId="4496" applyNumberFormat="1" applyFont="1" applyBorder="1" applyAlignment="1">
      <alignment horizontal="left" vertical="top"/>
    </xf>
    <xf numFmtId="165" fontId="122" fillId="0" borderId="53" xfId="4496" applyNumberFormat="1" applyFont="1" applyBorder="1" applyAlignment="1">
      <alignment horizontal="center" vertical="top" wrapText="1"/>
    </xf>
    <xf numFmtId="168" fontId="122" fillId="0" borderId="0" xfId="4496" applyNumberFormat="1" applyFont="1" applyAlignment="1">
      <alignment vertical="top"/>
    </xf>
    <xf numFmtId="1" fontId="122" fillId="0" borderId="0" xfId="4496" applyNumberFormat="1" applyFont="1" applyAlignment="1">
      <alignment vertical="top" wrapText="1"/>
    </xf>
    <xf numFmtId="164" fontId="25" fillId="0" borderId="0" xfId="4495" applyNumberFormat="1" applyFont="1"/>
    <xf numFmtId="0" fontId="24" fillId="0" borderId="8" xfId="0" applyFont="1" applyBorder="1" applyAlignment="1">
      <alignment horizontal="center" vertical="center" wrapText="1"/>
    </xf>
    <xf numFmtId="0" fontId="24"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1" fillId="0" borderId="50" xfId="1192" applyFont="1" applyBorder="1" applyAlignment="1">
      <alignment horizontal="left"/>
    </xf>
    <xf numFmtId="0" fontId="142" fillId="0" borderId="51" xfId="4495" applyFont="1" applyBorder="1" applyAlignment="1">
      <alignment vertical="top"/>
    </xf>
    <xf numFmtId="0" fontId="141" fillId="0" borderId="51" xfId="4495" applyFont="1" applyBorder="1" applyAlignment="1">
      <alignment vertical="top" wrapText="1"/>
    </xf>
    <xf numFmtId="0" fontId="142" fillId="0" borderId="51" xfId="4495" applyFont="1" applyBorder="1"/>
    <xf numFmtId="0" fontId="142" fillId="0" borderId="53" xfId="1192" applyFont="1" applyBorder="1" applyAlignment="1">
      <alignment horizontal="left"/>
    </xf>
    <xf numFmtId="0" fontId="142" fillId="0" borderId="0" xfId="4495" applyFont="1" applyAlignment="1">
      <alignment vertical="top"/>
    </xf>
    <xf numFmtId="0" fontId="141" fillId="0" borderId="0" xfId="4495" applyFont="1" applyAlignment="1">
      <alignment vertical="top" wrapText="1"/>
    </xf>
    <xf numFmtId="0" fontId="142" fillId="0" borderId="0" xfId="4495" applyFont="1"/>
    <xf numFmtId="0" fontId="141" fillId="0" borderId="53" xfId="1192" applyFont="1" applyBorder="1" applyAlignment="1">
      <alignment horizontal="left"/>
    </xf>
    <xf numFmtId="0" fontId="141" fillId="0" borderId="57" xfId="1192" applyFont="1" applyBorder="1" applyAlignment="1">
      <alignment horizontal="left"/>
    </xf>
    <xf numFmtId="0" fontId="142" fillId="0" borderId="58" xfId="4495" applyFont="1" applyBorder="1" applyAlignment="1">
      <alignment vertical="top"/>
    </xf>
    <xf numFmtId="0" fontId="141" fillId="0" borderId="58" xfId="4495" applyFont="1" applyBorder="1" applyAlignment="1">
      <alignment vertical="top" wrapText="1"/>
    </xf>
    <xf numFmtId="0" fontId="142" fillId="0" borderId="58" xfId="4495" applyFont="1" applyBorder="1"/>
    <xf numFmtId="0" fontId="26" fillId="0" borderId="3" xfId="0" applyFont="1" applyBorder="1" applyAlignment="1">
      <alignment horizontal="center"/>
    </xf>
    <xf numFmtId="0" fontId="26" fillId="0" borderId="4" xfId="0" applyFont="1" applyBorder="1" applyAlignment="1">
      <alignment horizontal="center"/>
    </xf>
    <xf numFmtId="0" fontId="26" fillId="0" borderId="5" xfId="0" applyFont="1" applyBorder="1" applyAlignment="1">
      <alignment horizontal="center"/>
    </xf>
    <xf numFmtId="0" fontId="24" fillId="0" borderId="7" xfId="0" applyFont="1" applyBorder="1" applyAlignment="1">
      <alignment horizontal="right"/>
    </xf>
    <xf numFmtId="0" fontId="0" fillId="0" borderId="0" xfId="0" applyAlignment="1" applyProtection="1">
      <alignment horizontal="left" vertical="top" wrapText="1"/>
      <protection locked="0"/>
    </xf>
    <xf numFmtId="0" fontId="17" fillId="0" borderId="9" xfId="0" applyFont="1" applyBorder="1" applyAlignment="1">
      <alignment horizontal="left"/>
    </xf>
    <xf numFmtId="0" fontId="17" fillId="0" borderId="6" xfId="0" applyFont="1" applyBorder="1"/>
    <xf numFmtId="0" fontId="17" fillId="0" borderId="9" xfId="0" applyFont="1" applyBorder="1"/>
    <xf numFmtId="0" fontId="50" fillId="0" borderId="0" xfId="0" applyFont="1" applyAlignment="1">
      <alignment horizontal="center"/>
    </xf>
    <xf numFmtId="0" fontId="23" fillId="0" borderId="0" xfId="0" applyFont="1" applyAlignment="1">
      <alignment horizontal="center" vertical="center" wrapText="1"/>
    </xf>
    <xf numFmtId="0" fontId="32" fillId="0" borderId="0" xfId="0" applyFont="1" applyAlignment="1">
      <alignment horizontal="center"/>
    </xf>
    <xf numFmtId="0" fontId="25" fillId="0" borderId="0" xfId="0" applyFont="1" applyAlignment="1">
      <alignment horizontal="center"/>
    </xf>
    <xf numFmtId="0" fontId="24" fillId="0" borderId="3" xfId="0" applyFont="1" applyBorder="1"/>
    <xf numFmtId="0" fontId="24" fillId="0" borderId="4" xfId="271" applyFont="1" applyBorder="1"/>
    <xf numFmtId="0" fontId="24" fillId="0" borderId="3" xfId="271" applyFont="1" applyBorder="1"/>
    <xf numFmtId="0" fontId="24" fillId="0" borderId="5" xfId="271" applyFont="1" applyBorder="1"/>
    <xf numFmtId="0" fontId="17" fillId="0" borderId="58" xfId="4495" applyFont="1" applyBorder="1" applyAlignment="1">
      <alignment vertical="center" wrapText="1"/>
    </xf>
    <xf numFmtId="0" fontId="17" fillId="0" borderId="59" xfId="4495" applyFont="1" applyBorder="1" applyAlignment="1">
      <alignment vertical="center" wrapText="1"/>
    </xf>
    <xf numFmtId="0" fontId="17" fillId="0" borderId="0" xfId="4495" applyFont="1" applyAlignment="1">
      <alignment horizontal="left" vertical="center" wrapText="1"/>
    </xf>
    <xf numFmtId="0" fontId="24" fillId="0" borderId="5" xfId="0" applyFont="1" applyBorder="1"/>
    <xf numFmtId="168" fontId="22" fillId="43" borderId="0" xfId="0" applyNumberFormat="1" applyFont="1" applyFill="1"/>
    <xf numFmtId="9" fontId="25" fillId="0" borderId="0" xfId="543" applyNumberFormat="1" applyFont="1" applyAlignment="1">
      <alignment horizontal="center"/>
    </xf>
    <xf numFmtId="171" fontId="17" fillId="0" borderId="0" xfId="543" applyNumberFormat="1"/>
    <xf numFmtId="171" fontId="17" fillId="0" borderId="11" xfId="543" applyNumberFormat="1" applyBorder="1"/>
    <xf numFmtId="1" fontId="17" fillId="0" borderId="11" xfId="543" applyNumberFormat="1" applyBorder="1" applyAlignment="1">
      <alignment horizontal="center"/>
    </xf>
    <xf numFmtId="0" fontId="43" fillId="0" borderId="8" xfId="543" applyFont="1" applyBorder="1" applyAlignment="1">
      <alignment vertical="center" wrapText="1"/>
    </xf>
    <xf numFmtId="0" fontId="43" fillId="0" borderId="0" xfId="543" applyFont="1" applyAlignment="1">
      <alignment vertical="center" wrapText="1"/>
    </xf>
    <xf numFmtId="0" fontId="43" fillId="0" borderId="12" xfId="543" applyFont="1" applyBorder="1" applyAlignment="1">
      <alignment vertical="center" wrapText="1"/>
    </xf>
    <xf numFmtId="0" fontId="43" fillId="0" borderId="9" xfId="543" applyFont="1" applyBorder="1" applyAlignment="1">
      <alignment vertical="center" wrapText="1"/>
    </xf>
    <xf numFmtId="0" fontId="43" fillId="0" borderId="6" xfId="543" applyFont="1" applyBorder="1" applyAlignment="1">
      <alignment vertical="center" wrapText="1"/>
    </xf>
    <xf numFmtId="0" fontId="43" fillId="0" borderId="10" xfId="543" applyFont="1" applyBorder="1" applyAlignment="1">
      <alignment vertical="center" wrapText="1"/>
    </xf>
    <xf numFmtId="0" fontId="44" fillId="0" borderId="8" xfId="543" applyFont="1" applyBorder="1" applyAlignment="1">
      <alignment vertical="center" wrapText="1"/>
    </xf>
    <xf numFmtId="0" fontId="44" fillId="0" borderId="0" xfId="543" applyFont="1" applyAlignment="1">
      <alignment vertical="center" wrapText="1"/>
    </xf>
    <xf numFmtId="0" fontId="44" fillId="0" borderId="12" xfId="543" applyFont="1" applyBorder="1" applyAlignment="1">
      <alignment vertical="center" wrapText="1"/>
    </xf>
    <xf numFmtId="0" fontId="44" fillId="0" borderId="9" xfId="543" applyFont="1" applyBorder="1" applyAlignment="1">
      <alignment vertical="center" wrapText="1"/>
    </xf>
    <xf numFmtId="0" fontId="44" fillId="0" borderId="6" xfId="543" applyFont="1" applyBorder="1" applyAlignment="1">
      <alignment vertical="center" wrapText="1"/>
    </xf>
    <xf numFmtId="0" fontId="44" fillId="0" borderId="10" xfId="543" applyFont="1" applyBorder="1" applyAlignment="1">
      <alignment vertical="center" wrapText="1"/>
    </xf>
    <xf numFmtId="0" fontId="37" fillId="0" borderId="12" xfId="543" applyFont="1" applyBorder="1" applyAlignment="1">
      <alignment horizontal="center" vertical="top"/>
    </xf>
    <xf numFmtId="0" fontId="38" fillId="0" borderId="7" xfId="543" applyFont="1" applyBorder="1"/>
    <xf numFmtId="0" fontId="17" fillId="0" borderId="12" xfId="543" quotePrefix="1" applyBorder="1"/>
    <xf numFmtId="0" fontId="53" fillId="0" borderId="2" xfId="569" applyFont="1" applyBorder="1" applyAlignment="1">
      <alignment vertical="top"/>
    </xf>
    <xf numFmtId="0" fontId="27" fillId="0" borderId="0" xfId="4495" applyFont="1"/>
    <xf numFmtId="0" fontId="17" fillId="0" borderId="0" xfId="4495" applyFont="1" applyAlignment="1">
      <alignment vertical="top" wrapText="1" shrinkToFit="1"/>
    </xf>
    <xf numFmtId="0" fontId="146" fillId="0" borderId="0" xfId="4495" applyFont="1"/>
    <xf numFmtId="164" fontId="17" fillId="0" borderId="0" xfId="1192" applyNumberFormat="1" applyAlignment="1">
      <alignment horizontal="right"/>
    </xf>
    <xf numFmtId="164" fontId="17" fillId="0" borderId="0" xfId="4495" applyNumberFormat="1" applyFont="1" applyAlignment="1">
      <alignment horizontal="right"/>
    </xf>
    <xf numFmtId="0" fontId="17" fillId="0" borderId="0" xfId="4495" applyFont="1" applyAlignment="1">
      <alignment horizontal="left" vertical="top" wrapText="1" shrinkToFit="1"/>
    </xf>
    <xf numFmtId="0" fontId="17" fillId="0" borderId="6" xfId="4495" applyFont="1" applyBorder="1" applyAlignment="1">
      <alignment vertical="top" wrapText="1"/>
    </xf>
    <xf numFmtId="0" fontId="146" fillId="0" borderId="4" xfId="4495" applyFont="1" applyBorder="1"/>
    <xf numFmtId="0" fontId="17" fillId="0" borderId="4" xfId="4495" applyFont="1" applyBorder="1" applyAlignment="1">
      <alignment horizontal="left" vertical="top" wrapText="1" shrinkToFit="1"/>
    </xf>
    <xf numFmtId="0" fontId="27" fillId="0" borderId="0" xfId="4495" applyFont="1" applyAlignment="1">
      <alignment horizontal="left" vertical="top"/>
    </xf>
    <xf numFmtId="0" fontId="17" fillId="0" borderId="0" xfId="4495" applyFont="1" applyAlignment="1">
      <alignment vertical="center" wrapText="1" shrinkToFit="1"/>
    </xf>
    <xf numFmtId="0" fontId="17" fillId="0" borderId="0" xfId="4495" applyFont="1" applyAlignment="1">
      <alignment horizontal="left" vertical="top" shrinkToFit="1"/>
    </xf>
    <xf numFmtId="0" fontId="17" fillId="0" borderId="0" xfId="4495" applyFont="1" applyAlignment="1">
      <alignment horizontal="left" vertical="center" shrinkToFit="1"/>
    </xf>
    <xf numFmtId="0" fontId="27" fillId="0" borderId="4" xfId="4495" applyFont="1" applyBorder="1"/>
    <xf numFmtId="0" fontId="17" fillId="0" borderId="4" xfId="4495" applyFont="1" applyBorder="1" applyAlignment="1">
      <alignment horizontal="left" vertical="top" shrinkToFit="1"/>
    </xf>
    <xf numFmtId="0" fontId="17" fillId="0" borderId="0" xfId="4495" applyFont="1" applyAlignment="1">
      <alignment vertical="center"/>
    </xf>
    <xf numFmtId="0" fontId="23" fillId="0" borderId="0" xfId="4495" applyFont="1"/>
    <xf numFmtId="0" fontId="27" fillId="0" borderId="0" xfId="4495" applyFont="1" applyAlignment="1">
      <alignment horizontal="center"/>
    </xf>
    <xf numFmtId="0" fontId="17" fillId="0" borderId="4" xfId="4495" applyFont="1" applyBorder="1" applyAlignment="1">
      <alignment horizontal="left" vertical="top" wrapText="1"/>
    </xf>
    <xf numFmtId="44" fontId="17" fillId="0" borderId="0" xfId="707" applyFont="1" applyFill="1" applyBorder="1" applyAlignment="1" applyProtection="1">
      <alignment horizontal="left" vertical="top" wrapText="1"/>
    </xf>
    <xf numFmtId="44" fontId="17" fillId="0" borderId="4" xfId="707" applyFont="1" applyFill="1" applyBorder="1" applyAlignment="1" applyProtection="1">
      <alignment horizontal="left" vertical="top" wrapText="1"/>
    </xf>
    <xf numFmtId="164" fontId="35" fillId="0" borderId="0" xfId="4495" applyNumberFormat="1" applyFont="1" applyAlignment="1">
      <alignment horizontal="left"/>
    </xf>
    <xf numFmtId="0" fontId="27" fillId="0" borderId="0" xfId="4495" applyFont="1" applyAlignment="1">
      <alignment horizontal="left"/>
    </xf>
    <xf numFmtId="0" fontId="17" fillId="0" borderId="4" xfId="4495" applyFont="1" applyBorder="1" applyAlignment="1">
      <alignment vertical="top" wrapText="1"/>
    </xf>
    <xf numFmtId="0" fontId="27" fillId="0" borderId="4" xfId="4495" applyFont="1" applyBorder="1" applyAlignment="1">
      <alignment horizontal="left" vertical="top"/>
    </xf>
    <xf numFmtId="0" fontId="17" fillId="0" borderId="0" xfId="4495" applyFont="1" applyAlignment="1">
      <alignment horizontal="left" vertical="center" wrapText="1" shrinkToFit="1"/>
    </xf>
    <xf numFmtId="0" fontId="17" fillId="0" borderId="6" xfId="4495" applyFont="1" applyBorder="1" applyAlignment="1">
      <alignment horizontal="left" vertical="top" wrapText="1"/>
    </xf>
    <xf numFmtId="2" fontId="118" fillId="0" borderId="0" xfId="0" applyNumberFormat="1" applyFont="1" applyAlignment="1">
      <alignment horizontal="center"/>
    </xf>
    <xf numFmtId="9" fontId="17" fillId="0" borderId="0" xfId="4494" applyFont="1" applyAlignment="1">
      <alignment horizontal="center"/>
    </xf>
    <xf numFmtId="3" fontId="17" fillId="0" borderId="0" xfId="0" applyNumberFormat="1" applyFont="1"/>
    <xf numFmtId="10" fontId="17" fillId="0" borderId="0" xfId="0" applyNumberFormat="1" applyFont="1" applyAlignment="1">
      <alignment horizontal="center"/>
    </xf>
    <xf numFmtId="168" fontId="17" fillId="0" borderId="0" xfId="0" applyNumberFormat="1" applyFont="1"/>
    <xf numFmtId="172" fontId="17" fillId="0" borderId="11" xfId="0" applyNumberFormat="1" applyFont="1" applyBorder="1" applyAlignment="1">
      <alignment horizontal="center"/>
    </xf>
    <xf numFmtId="168" fontId="17" fillId="5" borderId="0" xfId="0" applyNumberFormat="1" applyFont="1" applyFill="1"/>
    <xf numFmtId="3" fontId="17" fillId="5" borderId="0" xfId="0" applyNumberFormat="1" applyFont="1" applyFill="1"/>
    <xf numFmtId="0" fontId="17" fillId="5" borderId="0" xfId="0" applyFont="1" applyFill="1"/>
    <xf numFmtId="3" fontId="17" fillId="5" borderId="6" xfId="0" applyNumberFormat="1" applyFont="1" applyFill="1" applyBorder="1"/>
    <xf numFmtId="3" fontId="17" fillId="0" borderId="6" xfId="0" applyNumberFormat="1" applyFont="1" applyBorder="1"/>
    <xf numFmtId="168" fontId="17" fillId="0" borderId="0" xfId="0" applyNumberFormat="1" applyFont="1" applyAlignment="1">
      <alignment horizontal="center"/>
    </xf>
    <xf numFmtId="3" fontId="17" fillId="0" borderId="0" xfId="0" applyNumberFormat="1" applyFont="1" applyAlignment="1">
      <alignment horizontal="center"/>
    </xf>
    <xf numFmtId="0" fontId="17" fillId="0" borderId="50" xfId="4495" applyFont="1" applyBorder="1" applyAlignment="1">
      <alignment vertical="center"/>
    </xf>
    <xf numFmtId="0" fontId="17" fillId="0" borderId="51" xfId="4495" applyFont="1" applyBorder="1" applyAlignment="1">
      <alignment vertical="center"/>
    </xf>
    <xf numFmtId="0" fontId="17" fillId="0" borderId="52" xfId="4495" applyFont="1" applyBorder="1" applyAlignment="1">
      <alignment vertical="center"/>
    </xf>
    <xf numFmtId="0" fontId="17" fillId="0" borderId="54" xfId="4495" applyFont="1" applyBorder="1" applyAlignment="1">
      <alignment vertical="center" wrapText="1"/>
    </xf>
    <xf numFmtId="0" fontId="17" fillId="0" borderId="53" xfId="4495" applyFont="1" applyBorder="1" applyAlignment="1">
      <alignment vertical="top" wrapText="1"/>
    </xf>
    <xf numFmtId="0" fontId="17" fillId="0" borderId="58" xfId="0" applyFont="1" applyBorder="1" applyAlignment="1">
      <alignment horizontal="left"/>
    </xf>
    <xf numFmtId="9" fontId="17" fillId="0" borderId="0" xfId="543" applyNumberFormat="1" applyAlignment="1">
      <alignment horizontal="center"/>
    </xf>
    <xf numFmtId="0" fontId="49" fillId="0" borderId="0" xfId="4496" applyFont="1"/>
    <xf numFmtId="168" fontId="53" fillId="5" borderId="11" xfId="0" applyNumberFormat="1" applyFont="1" applyFill="1" applyBorder="1" applyAlignment="1" applyProtection="1">
      <alignment vertical="top" wrapText="1"/>
      <protection locked="0"/>
    </xf>
    <xf numFmtId="0" fontId="17" fillId="0" borderId="0" xfId="0" applyFont="1" applyAlignment="1">
      <alignment horizontal="left" wrapText="1"/>
    </xf>
    <xf numFmtId="4" fontId="35" fillId="0" borderId="0" xfId="0" applyNumberFormat="1" applyFont="1" applyAlignment="1">
      <alignment horizontal="left"/>
    </xf>
    <xf numFmtId="4" fontId="17" fillId="0" borderId="0" xfId="0" applyNumberFormat="1" applyFont="1" applyAlignment="1">
      <alignment horizontal="left" vertical="top" wrapText="1"/>
    </xf>
    <xf numFmtId="0" fontId="24" fillId="0" borderId="4" xfId="0" applyFont="1" applyBorder="1" applyAlignment="1">
      <alignment horizontal="left"/>
    </xf>
    <xf numFmtId="4" fontId="17" fillId="0" borderId="0" xfId="0" applyNumberFormat="1" applyFont="1" applyAlignment="1">
      <alignment horizontal="left"/>
    </xf>
    <xf numFmtId="43" fontId="51" fillId="0" borderId="0" xfId="4503" applyFont="1" applyAlignment="1" applyProtection="1">
      <alignment horizontal="center"/>
    </xf>
    <xf numFmtId="43" fontId="17" fillId="0" borderId="0" xfId="4503" applyFont="1" applyAlignment="1" applyProtection="1">
      <alignment horizontal="center"/>
    </xf>
    <xf numFmtId="43" fontId="17" fillId="0" borderId="0" xfId="4503" applyFont="1" applyProtection="1"/>
    <xf numFmtId="49" fontId="17" fillId="0" borderId="0" xfId="0" applyNumberFormat="1" applyFont="1"/>
    <xf numFmtId="49" fontId="17" fillId="0" borderId="0" xfId="0" applyNumberFormat="1" applyFont="1" applyAlignment="1">
      <alignment horizontal="center"/>
    </xf>
    <xf numFmtId="4" fontId="17" fillId="0" borderId="0" xfId="0" applyNumberFormat="1" applyFont="1" applyAlignment="1">
      <alignment vertical="top" wrapText="1"/>
    </xf>
    <xf numFmtId="0" fontId="17" fillId="0" borderId="0" xfId="0" quotePrefix="1" applyFont="1"/>
    <xf numFmtId="0" fontId="47" fillId="0" borderId="0" xfId="0" applyFont="1" applyAlignment="1">
      <alignment horizontal="left"/>
    </xf>
    <xf numFmtId="0" fontId="17" fillId="0" borderId="4" xfId="0" applyFont="1" applyBorder="1" applyAlignment="1">
      <alignment horizontal="left"/>
    </xf>
    <xf numFmtId="0" fontId="17" fillId="0" borderId="0" xfId="0" quotePrefix="1" applyFont="1" applyAlignment="1">
      <alignment horizontal="left"/>
    </xf>
    <xf numFmtId="0" fontId="17" fillId="0" borderId="0" xfId="0" quotePrefix="1" applyFont="1" applyAlignment="1">
      <alignment horizontal="left" vertical="top"/>
    </xf>
    <xf numFmtId="0" fontId="47" fillId="0" borderId="0" xfId="1192" applyFont="1" applyAlignment="1">
      <alignment horizontal="left"/>
    </xf>
    <xf numFmtId="0" fontId="51" fillId="0" borderId="0" xfId="0" applyFont="1" applyAlignment="1">
      <alignment horizontal="center" vertical="center"/>
    </xf>
    <xf numFmtId="49" fontId="24" fillId="0" borderId="0" xfId="0" applyNumberFormat="1" applyFont="1" applyAlignment="1">
      <alignment horizontal="center" vertical="center"/>
    </xf>
    <xf numFmtId="49" fontId="17" fillId="0" borderId="0" xfId="0" applyNumberFormat="1" applyFont="1" applyAlignment="1">
      <alignment vertical="center"/>
    </xf>
    <xf numFmtId="4" fontId="17" fillId="0" borderId="0" xfId="0" applyNumberFormat="1" applyFont="1" applyAlignment="1">
      <alignment horizontal="center"/>
    </xf>
    <xf numFmtId="4" fontId="17" fillId="0" borderId="0" xfId="0" applyNumberFormat="1" applyFont="1"/>
    <xf numFmtId="10" fontId="17" fillId="0" borderId="0" xfId="4495" applyNumberFormat="1" applyFont="1"/>
    <xf numFmtId="10" fontId="122" fillId="0" borderId="0" xfId="4496" applyNumberFormat="1" applyFont="1" applyAlignment="1">
      <alignment horizontal="center" vertical="top" wrapText="1"/>
    </xf>
    <xf numFmtId="10" fontId="122" fillId="0" borderId="64" xfId="4496" applyNumberFormat="1" applyFont="1" applyBorder="1" applyAlignment="1">
      <alignment horizontal="center" vertical="top" wrapText="1"/>
    </xf>
    <xf numFmtId="10" fontId="122"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7" fillId="0" borderId="0" xfId="1192" quotePrefix="1" applyNumberFormat="1" applyAlignment="1">
      <alignment horizontal="center"/>
    </xf>
    <xf numFmtId="0" fontId="122" fillId="0" borderId="0" xfId="4495" applyFont="1"/>
    <xf numFmtId="10" fontId="122" fillId="0" borderId="0" xfId="4495" applyNumberFormat="1" applyFont="1"/>
    <xf numFmtId="172" fontId="17" fillId="0" borderId="0" xfId="4495" applyNumberFormat="1" applyFont="1"/>
    <xf numFmtId="0" fontId="40" fillId="0" borderId="0" xfId="0" applyFont="1" applyAlignment="1">
      <alignment horizontal="center"/>
    </xf>
    <xf numFmtId="0" fontId="36" fillId="0" borderId="0" xfId="0" applyFont="1" applyAlignment="1">
      <alignment horizontal="left"/>
    </xf>
    <xf numFmtId="0" fontId="0" fillId="0" borderId="10" xfId="0" applyBorder="1" applyAlignment="1">
      <alignment horizontal="left"/>
    </xf>
    <xf numFmtId="1" fontId="17" fillId="0" borderId="0" xfId="1192" applyNumberFormat="1" applyAlignment="1">
      <alignment horizontal="center"/>
    </xf>
    <xf numFmtId="0" fontId="120" fillId="0" borderId="63" xfId="4495" applyBorder="1"/>
    <xf numFmtId="0" fontId="53" fillId="0" borderId="0" xfId="271" applyFont="1" applyAlignment="1">
      <alignment vertical="top"/>
    </xf>
    <xf numFmtId="0" fontId="24" fillId="0" borderId="11" xfId="0" applyFont="1" applyBorder="1" applyAlignment="1">
      <alignment horizontal="right" vertical="top" wrapText="1"/>
    </xf>
    <xf numFmtId="0" fontId="26" fillId="0" borderId="11" xfId="271" applyBorder="1" applyAlignment="1" applyProtection="1">
      <alignment horizontal="right" vertical="top" wrapText="1"/>
      <protection locked="0"/>
    </xf>
    <xf numFmtId="0" fontId="17" fillId="0" borderId="54" xfId="4495" applyFont="1" applyBorder="1" applyAlignment="1">
      <alignment vertical="top"/>
    </xf>
    <xf numFmtId="9" fontId="26" fillId="0" borderId="0" xfId="0" applyNumberFormat="1" applyFont="1"/>
    <xf numFmtId="0" fontId="17" fillId="0" borderId="16" xfId="569" applyBorder="1" applyAlignment="1">
      <alignment horizontal="center"/>
    </xf>
    <xf numFmtId="164" fontId="17" fillId="0" borderId="57" xfId="4495" applyNumberFormat="1" applyFont="1" applyBorder="1" applyAlignment="1">
      <alignment vertical="top" wrapText="1"/>
    </xf>
    <xf numFmtId="164" fontId="17" fillId="0" borderId="58" xfId="4495" applyNumberFormat="1" applyFont="1" applyBorder="1" applyAlignment="1">
      <alignment vertical="top" wrapText="1"/>
    </xf>
    <xf numFmtId="164" fontId="17" fillId="0" borderId="59" xfId="4495" applyNumberFormat="1" applyFont="1" applyBorder="1" applyAlignment="1">
      <alignment vertical="top" wrapText="1"/>
    </xf>
    <xf numFmtId="0" fontId="24" fillId="0" borderId="0" xfId="1192" applyFont="1" applyAlignment="1">
      <alignment horizontal="left" vertical="top" wrapText="1"/>
    </xf>
    <xf numFmtId="0" fontId="17" fillId="0" borderId="16" xfId="569" applyBorder="1"/>
    <xf numFmtId="0" fontId="17" fillId="0" borderId="4" xfId="569" applyBorder="1"/>
    <xf numFmtId="0" fontId="24" fillId="0" borderId="4" xfId="569" applyFont="1" applyBorder="1"/>
    <xf numFmtId="49" fontId="17" fillId="0" borderId="4" xfId="569" applyNumberFormat="1" applyBorder="1"/>
    <xf numFmtId="0" fontId="149" fillId="0" borderId="0" xfId="0" applyFont="1"/>
    <xf numFmtId="0" fontId="17" fillId="0" borderId="0" xfId="0" applyFont="1" applyAlignment="1">
      <alignment horizontal="right"/>
    </xf>
    <xf numFmtId="1" fontId="17" fillId="0" borderId="0" xfId="0" applyNumberFormat="1" applyFont="1" applyAlignment="1">
      <alignment horizontal="center"/>
    </xf>
    <xf numFmtId="0" fontId="24" fillId="0" borderId="0" xfId="0" applyFont="1" applyAlignment="1">
      <alignment horizontal="left" vertical="center"/>
    </xf>
    <xf numFmtId="0" fontId="17" fillId="0" borderId="0" xfId="0" applyFont="1" applyAlignment="1">
      <alignment horizontal="left" vertical="center"/>
    </xf>
    <xf numFmtId="0" fontId="24" fillId="0" borderId="0" xfId="569" applyFont="1" applyAlignment="1">
      <alignment vertical="top"/>
    </xf>
    <xf numFmtId="0" fontId="18" fillId="0" borderId="0" xfId="244" applyAlignment="1"/>
    <xf numFmtId="0" fontId="24" fillId="0" borderId="0" xfId="0" applyFont="1" applyAlignment="1">
      <alignment vertical="top" wrapText="1"/>
    </xf>
    <xf numFmtId="49" fontId="24" fillId="0" borderId="0" xfId="0" applyNumberFormat="1" applyFont="1"/>
    <xf numFmtId="49" fontId="24" fillId="0" borderId="0" xfId="0" applyNumberFormat="1" applyFont="1" applyAlignment="1">
      <alignment vertical="top"/>
    </xf>
    <xf numFmtId="0" fontId="40" fillId="0" borderId="11" xfId="0" applyFont="1" applyBorder="1"/>
    <xf numFmtId="175" fontId="17" fillId="0" borderId="0" xfId="543" applyNumberFormat="1" applyAlignment="1">
      <alignment vertical="center"/>
    </xf>
    <xf numFmtId="0" fontId="98" fillId="43" borderId="6" xfId="4496" applyFont="1" applyFill="1" applyBorder="1" applyAlignment="1" applyProtection="1">
      <alignment horizontal="center"/>
      <protection locked="0"/>
    </xf>
    <xf numFmtId="0" fontId="98" fillId="0" borderId="0" xfId="4496" applyFont="1"/>
    <xf numFmtId="0" fontId="98" fillId="0" borderId="0" xfId="4496" applyFont="1" applyAlignment="1">
      <alignment wrapText="1"/>
    </xf>
    <xf numFmtId="0" fontId="137" fillId="0" borderId="0" xfId="4496" applyFont="1"/>
    <xf numFmtId="181" fontId="138" fillId="0" borderId="0" xfId="4498" applyNumberFormat="1" applyFont="1" applyBorder="1" applyProtection="1"/>
    <xf numFmtId="0" fontId="139" fillId="0" borderId="0" xfId="4496" applyFont="1" applyAlignment="1">
      <alignment vertical="center" wrapText="1"/>
    </xf>
    <xf numFmtId="49" fontId="98" fillId="0" borderId="0" xfId="4496" applyNumberFormat="1" applyFont="1" applyAlignment="1">
      <alignment horizontal="center"/>
    </xf>
    <xf numFmtId="182" fontId="98" fillId="0" borderId="6" xfId="4496" applyNumberFormat="1" applyFont="1" applyBorder="1"/>
    <xf numFmtId="0" fontId="98" fillId="0" borderId="0" xfId="4496" applyFont="1" applyAlignment="1">
      <alignment vertical="center"/>
    </xf>
    <xf numFmtId="182" fontId="98" fillId="0" borderId="0" xfId="4496" applyNumberFormat="1" applyFont="1" applyAlignment="1">
      <alignment vertical="center"/>
    </xf>
    <xf numFmtId="175" fontId="98" fillId="0" borderId="0" xfId="4499" applyNumberFormat="1" applyFont="1" applyFill="1" applyBorder="1" applyAlignment="1" applyProtection="1">
      <alignment horizontal="left" vertical="center"/>
    </xf>
    <xf numFmtId="9" fontId="98" fillId="0" borderId="0" xfId="4499" applyFont="1" applyFill="1" applyBorder="1" applyAlignment="1" applyProtection="1">
      <alignment vertical="center"/>
    </xf>
    <xf numFmtId="183" fontId="98" fillId="0" borderId="0" xfId="4496" applyNumberFormat="1" applyFont="1" applyAlignment="1">
      <alignment vertical="center" wrapText="1"/>
    </xf>
    <xf numFmtId="9" fontId="98" fillId="0" borderId="0" xfId="4499" applyFont="1" applyBorder="1" applyAlignment="1" applyProtection="1">
      <alignment vertical="center"/>
    </xf>
    <xf numFmtId="164" fontId="98" fillId="0" borderId="0" xfId="4496" applyNumberFormat="1" applyFont="1" applyAlignment="1">
      <alignment vertical="center" wrapText="1"/>
    </xf>
    <xf numFmtId="0" fontId="98" fillId="0" borderId="0" xfId="4496" applyFont="1" applyAlignment="1">
      <alignment horizontal="center" vertical="center"/>
    </xf>
    <xf numFmtId="182" fontId="98" fillId="0" borderId="11" xfId="8721" applyNumberFormat="1" applyFont="1" applyBorder="1" applyProtection="1"/>
    <xf numFmtId="182" fontId="98" fillId="0" borderId="11" xfId="4496" applyNumberFormat="1" applyFont="1" applyBorder="1"/>
    <xf numFmtId="164" fontId="98" fillId="0" borderId="0" xfId="4496" applyNumberFormat="1" applyFont="1" applyAlignment="1">
      <alignment wrapText="1"/>
    </xf>
    <xf numFmtId="49" fontId="98" fillId="0" borderId="0" xfId="4496" applyNumberFormat="1" applyFont="1" applyAlignment="1">
      <alignment horizontal="left"/>
    </xf>
    <xf numFmtId="0" fontId="140" fillId="0" borderId="0" xfId="4496" applyFont="1"/>
    <xf numFmtId="9" fontId="98" fillId="0" borderId="11" xfId="4494" applyFont="1" applyFill="1" applyBorder="1" applyAlignment="1" applyProtection="1">
      <alignment horizontal="right"/>
    </xf>
    <xf numFmtId="1" fontId="98" fillId="0" borderId="0" xfId="4496" applyNumberFormat="1" applyFont="1"/>
    <xf numFmtId="0" fontId="137" fillId="45" borderId="3" xfId="4496" applyFont="1" applyFill="1" applyBorder="1" applyAlignment="1">
      <alignment horizontal="left" indent="1"/>
    </xf>
    <xf numFmtId="0" fontId="98" fillId="45" borderId="4" xfId="4496" applyFont="1" applyFill="1" applyBorder="1"/>
    <xf numFmtId="2" fontId="98" fillId="45" borderId="5" xfId="4496" applyNumberFormat="1" applyFont="1" applyFill="1" applyBorder="1"/>
    <xf numFmtId="181" fontId="98" fillId="0" borderId="0" xfId="4496" applyNumberFormat="1" applyFont="1"/>
    <xf numFmtId="165" fontId="138" fillId="0" borderId="0" xfId="4499" applyNumberFormat="1" applyFont="1" applyFill="1" applyBorder="1" applyProtection="1"/>
    <xf numFmtId="9" fontId="98" fillId="0" borderId="0" xfId="4494" applyFont="1" applyFill="1" applyProtection="1"/>
    <xf numFmtId="0" fontId="98" fillId="0" borderId="11" xfId="4496" applyFont="1" applyBorder="1" applyAlignment="1">
      <alignment horizontal="center"/>
    </xf>
    <xf numFmtId="2" fontId="98" fillId="0" borderId="11" xfId="4496" applyNumberFormat="1" applyFont="1" applyBorder="1" applyAlignment="1">
      <alignment horizontal="center"/>
    </xf>
    <xf numFmtId="0" fontId="98" fillId="0" borderId="0" xfId="4496" applyFont="1" applyAlignment="1">
      <alignment vertical="top" wrapText="1"/>
    </xf>
    <xf numFmtId="0" fontId="98" fillId="0" borderId="11" xfId="4496" applyFont="1" applyBorder="1" applyAlignment="1">
      <alignment horizontal="center" vertical="top" wrapText="1"/>
    </xf>
    <xf numFmtId="182" fontId="98" fillId="0" borderId="0" xfId="8721" applyNumberFormat="1" applyFont="1" applyBorder="1" applyProtection="1"/>
    <xf numFmtId="0" fontId="98" fillId="0" borderId="0" xfId="4496" applyFont="1" applyAlignment="1">
      <alignment horizontal="left" indent="1"/>
    </xf>
    <xf numFmtId="182" fontId="98" fillId="0" borderId="0" xfId="4496" applyNumberFormat="1" applyFont="1"/>
    <xf numFmtId="184" fontId="98" fillId="0" borderId="0" xfId="4496" applyNumberFormat="1" applyFont="1"/>
    <xf numFmtId="0" fontId="98" fillId="0" borderId="0" xfId="4496" applyFont="1" applyAlignment="1">
      <alignment horizontal="left"/>
    </xf>
    <xf numFmtId="0" fontId="98" fillId="0" borderId="0" xfId="4496" applyFont="1" applyAlignment="1">
      <alignment horizontal="center"/>
    </xf>
    <xf numFmtId="9" fontId="98" fillId="0" borderId="0" xfId="4494" applyFont="1" applyFill="1" applyBorder="1" applyProtection="1"/>
    <xf numFmtId="3" fontId="22" fillId="0" borderId="11" xfId="271" applyNumberFormat="1" applyFont="1" applyBorder="1" applyAlignment="1">
      <alignment horizontal="center"/>
    </xf>
    <xf numFmtId="3" fontId="22" fillId="43" borderId="11" xfId="271" applyNumberFormat="1" applyFont="1" applyFill="1" applyBorder="1" applyProtection="1">
      <protection locked="0"/>
    </xf>
    <xf numFmtId="0" fontId="98" fillId="0" borderId="0" xfId="4496" applyFont="1" applyAlignment="1">
      <alignment horizontal="right"/>
    </xf>
    <xf numFmtId="168" fontId="26" fillId="0" borderId="0" xfId="0" applyNumberFormat="1" applyFont="1"/>
    <xf numFmtId="0" fontId="98" fillId="0" borderId="15" xfId="4496" applyFont="1" applyBorder="1" applyAlignment="1">
      <alignment horizontal="center" vertical="top" wrapText="1"/>
    </xf>
    <xf numFmtId="2" fontId="98" fillId="0" borderId="15" xfId="4496" applyNumberFormat="1" applyFont="1" applyBorder="1" applyAlignment="1">
      <alignment horizontal="center"/>
    </xf>
    <xf numFmtId="0" fontId="98" fillId="0" borderId="15" xfId="4496" applyFont="1" applyBorder="1" applyAlignment="1">
      <alignment horizontal="center"/>
    </xf>
    <xf numFmtId="0" fontId="137" fillId="0" borderId="68" xfId="4496" applyFont="1" applyBorder="1" applyAlignment="1">
      <alignment horizontal="center" vertical="top" wrapText="1"/>
    </xf>
    <xf numFmtId="0" fontId="137" fillId="0" borderId="68" xfId="4496" applyFont="1" applyBorder="1" applyAlignment="1">
      <alignment horizontal="center"/>
    </xf>
    <xf numFmtId="0" fontId="151" fillId="0" borderId="0" xfId="4496" applyFont="1" applyAlignment="1">
      <alignment horizontal="right" vertical="center"/>
    </xf>
    <xf numFmtId="175" fontId="98" fillId="0" borderId="0" xfId="4499" applyNumberFormat="1" applyFont="1" applyFill="1" applyBorder="1" applyAlignment="1" applyProtection="1">
      <alignment horizontal="right" vertical="center"/>
    </xf>
    <xf numFmtId="5" fontId="98" fillId="0" borderId="6" xfId="4496" applyNumberFormat="1" applyFont="1" applyBorder="1" applyAlignment="1">
      <alignment vertical="center"/>
    </xf>
    <xf numFmtId="0" fontId="98" fillId="0" borderId="66" xfId="4496" applyFont="1" applyBorder="1" applyAlignment="1">
      <alignment vertical="center"/>
    </xf>
    <xf numFmtId="0" fontId="98" fillId="0" borderId="41" xfId="4496" applyFont="1" applyBorder="1" applyAlignment="1">
      <alignment vertical="center"/>
    </xf>
    <xf numFmtId="182" fontId="98" fillId="0" borderId="73" xfId="4496" applyNumberFormat="1" applyFont="1" applyBorder="1" applyAlignment="1">
      <alignment vertical="center"/>
    </xf>
    <xf numFmtId="175" fontId="98" fillId="0" borderId="42" xfId="4499" applyNumberFormat="1" applyFont="1" applyFill="1" applyBorder="1" applyAlignment="1" applyProtection="1">
      <alignment horizontal="left" vertical="center"/>
    </xf>
    <xf numFmtId="0" fontId="98" fillId="0" borderId="42" xfId="4496" applyFont="1" applyBorder="1" applyAlignment="1">
      <alignment vertical="center"/>
    </xf>
    <xf numFmtId="0" fontId="98" fillId="0" borderId="44" xfId="4496" applyFont="1" applyBorder="1" applyAlignment="1">
      <alignment vertical="center"/>
    </xf>
    <xf numFmtId="49" fontId="98" fillId="0" borderId="0" xfId="4496" applyNumberFormat="1" applyFont="1" applyAlignment="1">
      <alignment horizontal="center" vertical="center"/>
    </xf>
    <xf numFmtId="0" fontId="98" fillId="0" borderId="65" xfId="4496" applyFont="1" applyBorder="1" applyAlignment="1">
      <alignment vertical="center"/>
    </xf>
    <xf numFmtId="0" fontId="98" fillId="0" borderId="29" xfId="4496" applyFont="1" applyBorder="1" applyAlignment="1">
      <alignment vertical="center"/>
    </xf>
    <xf numFmtId="0" fontId="98" fillId="0" borderId="29" xfId="4496" applyFont="1" applyBorder="1" applyAlignment="1">
      <alignment horizontal="right" vertical="center"/>
    </xf>
    <xf numFmtId="5" fontId="98" fillId="0" borderId="29" xfId="4496" applyNumberFormat="1" applyFont="1" applyBorder="1" applyAlignment="1">
      <alignment vertical="center"/>
    </xf>
    <xf numFmtId="0" fontId="98" fillId="0" borderId="31" xfId="4496" applyFont="1" applyBorder="1" applyAlignment="1">
      <alignment vertical="center"/>
    </xf>
    <xf numFmtId="175" fontId="137" fillId="0" borderId="42" xfId="4494" applyNumberFormat="1" applyFont="1" applyFill="1" applyBorder="1" applyAlignment="1" applyProtection="1">
      <alignment horizontal="center" vertical="center"/>
    </xf>
    <xf numFmtId="0" fontId="137" fillId="0" borderId="29" xfId="4496" applyFont="1" applyBorder="1" applyAlignment="1">
      <alignment vertical="center"/>
    </xf>
    <xf numFmtId="0" fontId="137" fillId="0" borderId="0" xfId="4496" applyFont="1" applyAlignment="1">
      <alignment vertical="center"/>
    </xf>
    <xf numFmtId="0" fontId="137" fillId="0" borderId="42" xfId="4496" applyFont="1" applyBorder="1" applyAlignment="1">
      <alignment vertical="center"/>
    </xf>
    <xf numFmtId="9" fontId="137" fillId="0" borderId="42" xfId="4499" applyFont="1" applyFill="1" applyBorder="1" applyAlignment="1" applyProtection="1">
      <alignment vertical="center"/>
    </xf>
    <xf numFmtId="182" fontId="137" fillId="0" borderId="68" xfId="8721" applyNumberFormat="1" applyFont="1" applyBorder="1" applyProtection="1"/>
    <xf numFmtId="182" fontId="137" fillId="0" borderId="68" xfId="4496" applyNumberFormat="1" applyFont="1" applyBorder="1"/>
    <xf numFmtId="0" fontId="151" fillId="0" borderId="0" xfId="4496" applyFont="1" applyAlignment="1">
      <alignment horizontal="right"/>
    </xf>
    <xf numFmtId="0" fontId="98" fillId="0" borderId="0" xfId="4496" applyFont="1" applyAlignment="1">
      <alignment horizontal="right" vertical="top" wrapText="1" indent="1"/>
    </xf>
    <xf numFmtId="182" fontId="98" fillId="0" borderId="6" xfId="8721" applyNumberFormat="1" applyFont="1" applyBorder="1" applyAlignment="1" applyProtection="1">
      <alignment horizontal="center"/>
    </xf>
    <xf numFmtId="0" fontId="98" fillId="0" borderId="0" xfId="4496" applyFont="1" applyAlignment="1">
      <alignment horizontal="right" indent="1"/>
    </xf>
    <xf numFmtId="0" fontId="98" fillId="0" borderId="0" xfId="4496" applyFont="1" applyAlignment="1">
      <alignment horizontal="right" vertical="top"/>
    </xf>
    <xf numFmtId="0" fontId="137" fillId="0" borderId="0" xfId="4496" applyFont="1" applyAlignment="1">
      <alignment horizontal="right"/>
    </xf>
    <xf numFmtId="182" fontId="137" fillId="0" borderId="0" xfId="8721" applyNumberFormat="1" applyFont="1" applyBorder="1" applyAlignment="1" applyProtection="1">
      <alignment horizontal="center"/>
    </xf>
    <xf numFmtId="10" fontId="98" fillId="0" borderId="0" xfId="4494" applyNumberFormat="1" applyFont="1" applyBorder="1" applyAlignment="1" applyProtection="1">
      <alignment horizontal="center"/>
    </xf>
    <xf numFmtId="184" fontId="98" fillId="0" borderId="6" xfId="4496" applyNumberFormat="1" applyFont="1" applyBorder="1"/>
    <xf numFmtId="0" fontId="137" fillId="0" borderId="0" xfId="4496" applyFont="1" applyAlignment="1">
      <alignment horizontal="right" vertical="top"/>
    </xf>
    <xf numFmtId="182" fontId="137" fillId="0" borderId="0" xfId="4496" applyNumberFormat="1" applyFont="1"/>
    <xf numFmtId="182" fontId="98" fillId="0" borderId="6" xfId="8721" applyNumberFormat="1" applyFont="1" applyBorder="1" applyProtection="1"/>
    <xf numFmtId="184" fontId="98" fillId="0" borderId="0" xfId="4496" applyNumberFormat="1" applyFont="1" applyAlignment="1">
      <alignment horizontal="center"/>
    </xf>
    <xf numFmtId="0" fontId="98" fillId="0" borderId="6" xfId="4496" applyFont="1" applyBorder="1" applyAlignment="1">
      <alignment horizontal="right" vertical="top" wrapText="1" indent="1"/>
    </xf>
    <xf numFmtId="0" fontId="98" fillId="0" borderId="67" xfId="4496" applyFont="1" applyBorder="1" applyAlignment="1">
      <alignment horizontal="right" indent="1"/>
    </xf>
    <xf numFmtId="0" fontId="98" fillId="0" borderId="72" xfId="4496" applyFont="1" applyBorder="1" applyAlignment="1">
      <alignment horizontal="right" indent="1"/>
    </xf>
    <xf numFmtId="0" fontId="98" fillId="0" borderId="72" xfId="4496" quotePrefix="1" applyFont="1" applyBorder="1" applyAlignment="1">
      <alignment horizontal="right" indent="1"/>
    </xf>
    <xf numFmtId="0" fontId="98" fillId="0" borderId="69" xfId="4496" applyFont="1" applyBorder="1" applyAlignment="1">
      <alignment horizontal="right" indent="1"/>
    </xf>
    <xf numFmtId="182" fontId="98" fillId="0" borderId="71" xfId="4496" applyNumberFormat="1" applyFont="1" applyBorder="1"/>
    <xf numFmtId="182" fontId="98" fillId="0" borderId="76" xfId="4496" applyNumberFormat="1" applyFont="1" applyBorder="1"/>
    <xf numFmtId="182" fontId="98" fillId="0" borderId="77" xfId="4496" applyNumberFormat="1" applyFont="1" applyBorder="1"/>
    <xf numFmtId="175" fontId="24" fillId="0" borderId="0" xfId="543" applyNumberFormat="1" applyFont="1" applyAlignment="1">
      <alignment vertical="center"/>
    </xf>
    <xf numFmtId="10" fontId="137" fillId="0" borderId="0" xfId="4494" applyNumberFormat="1" applyFont="1" applyProtection="1"/>
    <xf numFmtId="0" fontId="24" fillId="0" borderId="0" xfId="1192" applyFont="1" applyAlignment="1">
      <alignment horizontal="left" indent="1"/>
    </xf>
    <xf numFmtId="168" fontId="98" fillId="0" borderId="11" xfId="4499" applyNumberFormat="1" applyFont="1" applyFill="1" applyBorder="1" applyAlignment="1" applyProtection="1">
      <alignment horizontal="left" vertical="center" indent="1"/>
    </xf>
    <xf numFmtId="168" fontId="137" fillId="0" borderId="68" xfId="4499" applyNumberFormat="1" applyFont="1" applyFill="1" applyBorder="1" applyAlignment="1" applyProtection="1">
      <alignment horizontal="left" vertical="center" indent="1"/>
    </xf>
    <xf numFmtId="182" fontId="98" fillId="0" borderId="13" xfId="4496" applyNumberFormat="1" applyFont="1" applyBorder="1"/>
    <xf numFmtId="182" fontId="98" fillId="0" borderId="70" xfId="4496" applyNumberFormat="1" applyFont="1" applyBorder="1"/>
    <xf numFmtId="0" fontId="35" fillId="0" borderId="0" xfId="4495" applyFont="1" applyAlignment="1">
      <alignment vertical="center"/>
    </xf>
    <xf numFmtId="0" fontId="122" fillId="0" borderId="0" xfId="4496" applyFont="1" applyAlignment="1">
      <alignment vertical="center" wrapText="1"/>
    </xf>
    <xf numFmtId="0" fontId="22" fillId="43" borderId="0" xfId="1192" applyFont="1" applyFill="1"/>
    <xf numFmtId="3" fontId="68" fillId="43" borderId="6" xfId="1192" applyNumberFormat="1" applyFont="1" applyFill="1" applyBorder="1"/>
    <xf numFmtId="0" fontId="153" fillId="0" borderId="0" xfId="0" applyFont="1"/>
    <xf numFmtId="0" fontId="22" fillId="0" borderId="11" xfId="253" applyFont="1" applyBorder="1" applyAlignment="1" applyProtection="1">
      <alignment horizontal="center" wrapText="1"/>
      <protection locked="0"/>
    </xf>
    <xf numFmtId="0" fontId="154" fillId="0" borderId="0" xfId="0" applyFont="1"/>
    <xf numFmtId="0" fontId="155" fillId="0" borderId="0" xfId="0" applyFont="1" applyAlignment="1">
      <alignment horizontal="center"/>
    </xf>
    <xf numFmtId="0" fontId="53" fillId="5" borderId="11" xfId="0" applyFont="1" applyFill="1" applyBorder="1" applyAlignment="1" applyProtection="1">
      <alignment horizontal="right" vertical="top" wrapText="1"/>
      <protection locked="0"/>
    </xf>
    <xf numFmtId="0" fontId="17" fillId="43" borderId="3" xfId="569" applyFill="1" applyBorder="1"/>
    <xf numFmtId="0" fontId="158" fillId="0" borderId="0" xfId="0" applyFont="1" applyAlignment="1">
      <alignment horizontal="right"/>
    </xf>
    <xf numFmtId="1" fontId="25" fillId="0" borderId="0" xfId="4495" applyNumberFormat="1" applyFont="1"/>
    <xf numFmtId="0" fontId="24" fillId="0" borderId="4" xfId="569" applyFont="1" applyBorder="1" applyAlignment="1">
      <alignment horizontal="center"/>
    </xf>
    <xf numFmtId="43" fontId="24" fillId="0" borderId="0" xfId="4503" applyFont="1" applyAlignment="1" applyProtection="1">
      <alignment horizontal="center"/>
    </xf>
    <xf numFmtId="0" fontId="24" fillId="0" borderId="0" xfId="569" applyFont="1" applyAlignment="1">
      <alignment horizontal="center" vertical="center"/>
    </xf>
    <xf numFmtId="0" fontId="24" fillId="0" borderId="16" xfId="569" applyFont="1" applyBorder="1" applyAlignment="1">
      <alignment horizontal="center"/>
    </xf>
    <xf numFmtId="49" fontId="24" fillId="0" borderId="4" xfId="569" applyNumberFormat="1" applyFont="1" applyBorder="1" applyAlignment="1">
      <alignment horizontal="center"/>
    </xf>
    <xf numFmtId="4" fontId="24" fillId="0" borderId="0" xfId="569" applyNumberFormat="1" applyFont="1" applyAlignment="1">
      <alignment horizontal="center"/>
    </xf>
    <xf numFmtId="0" fontId="17" fillId="0" borderId="0" xfId="569" applyAlignment="1">
      <alignment horizontal="center" wrapText="1"/>
    </xf>
    <xf numFmtId="0" fontId="98" fillId="0" borderId="6" xfId="4496" applyFont="1" applyBorder="1" applyAlignment="1">
      <alignment horizontal="left" vertical="top"/>
    </xf>
    <xf numFmtId="0" fontId="17" fillId="0" borderId="0" xfId="0" applyFont="1" applyAlignment="1">
      <alignment vertical="center" wrapText="1"/>
    </xf>
    <xf numFmtId="3" fontId="22" fillId="43" borderId="11" xfId="271" applyNumberFormat="1" applyFont="1" applyFill="1" applyBorder="1" applyAlignment="1" applyProtection="1">
      <alignment horizontal="left"/>
      <protection locked="0"/>
    </xf>
    <xf numFmtId="0" fontId="98" fillId="43" borderId="6" xfId="4496" applyFont="1" applyFill="1" applyBorder="1" applyProtection="1">
      <protection locked="0"/>
    </xf>
    <xf numFmtId="1" fontId="98" fillId="0" borderId="0" xfId="4496" applyNumberFormat="1" applyFont="1" applyProtection="1">
      <protection locked="0"/>
    </xf>
    <xf numFmtId="182" fontId="163" fillId="0" borderId="11" xfId="4496" applyNumberFormat="1" applyFont="1" applyBorder="1"/>
    <xf numFmtId="182" fontId="22" fillId="0" borderId="11" xfId="4496" applyNumberFormat="1" applyFont="1" applyBorder="1"/>
    <xf numFmtId="9" fontId="98" fillId="0" borderId="0" xfId="4494" applyFont="1"/>
    <xf numFmtId="182" fontId="98" fillId="43" borderId="6" xfId="8721" applyNumberFormat="1" applyFont="1" applyFill="1" applyBorder="1" applyProtection="1">
      <protection locked="0"/>
    </xf>
    <xf numFmtId="0" fontId="17" fillId="0" borderId="0" xfId="4495" applyFont="1" applyAlignment="1">
      <alignment wrapText="1"/>
    </xf>
    <xf numFmtId="168" fontId="175" fillId="48" borderId="79" xfId="700" applyNumberFormat="1" applyFont="1" applyFill="1" applyBorder="1" applyAlignment="1" applyProtection="1">
      <protection locked="0"/>
    </xf>
    <xf numFmtId="3" fontId="45" fillId="10" borderId="0" xfId="543" applyNumberFormat="1" applyFont="1" applyFill="1" applyAlignment="1">
      <alignment vertical="center" wrapText="1"/>
    </xf>
    <xf numFmtId="0" fontId="182" fillId="0" borderId="0" xfId="543" applyFont="1" applyAlignment="1">
      <alignment horizontal="left" vertical="center"/>
    </xf>
    <xf numFmtId="0" fontId="183" fillId="0" borderId="0" xfId="543" applyFont="1" applyAlignment="1">
      <alignment horizontal="right" vertical="top" wrapText="1"/>
    </xf>
    <xf numFmtId="168" fontId="183" fillId="0" borderId="0" xfId="543" applyNumberFormat="1" applyFont="1" applyAlignment="1">
      <alignment horizontal="center" vertical="center"/>
    </xf>
    <xf numFmtId="0" fontId="184" fillId="0" borderId="0" xfId="543" applyFont="1" applyAlignment="1">
      <alignment horizontal="left" vertical="center"/>
    </xf>
    <xf numFmtId="0" fontId="184" fillId="0" borderId="0" xfId="543" applyFont="1" applyAlignment="1">
      <alignment horizontal="right" vertical="top" wrapText="1"/>
    </xf>
    <xf numFmtId="168" fontId="183" fillId="0" borderId="104" xfId="543" applyNumberFormat="1" applyFont="1" applyBorder="1" applyAlignment="1">
      <alignment horizontal="center" vertical="center"/>
    </xf>
    <xf numFmtId="0" fontId="184" fillId="0" borderId="106" xfId="543" applyFont="1" applyBorder="1" applyAlignment="1">
      <alignment horizontal="right" vertical="top" wrapText="1"/>
    </xf>
    <xf numFmtId="0" fontId="24" fillId="0" borderId="0" xfId="4495" applyFont="1" applyAlignment="1">
      <alignment wrapText="1"/>
    </xf>
    <xf numFmtId="182" fontId="17" fillId="0" borderId="0" xfId="700" applyNumberFormat="1" applyFont="1"/>
    <xf numFmtId="9" fontId="17" fillId="0" borderId="0" xfId="1022" applyFont="1"/>
    <xf numFmtId="168" fontId="17"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0" fontId="2" fillId="0" borderId="0" xfId="8733"/>
    <xf numFmtId="0" fontId="103" fillId="0" borderId="0" xfId="8733" applyFont="1"/>
    <xf numFmtId="0" fontId="2" fillId="47" borderId="66" xfId="8733" applyFill="1" applyBorder="1"/>
    <xf numFmtId="0" fontId="2" fillId="47" borderId="0" xfId="8733" applyFill="1"/>
    <xf numFmtId="0" fontId="102" fillId="47" borderId="41" xfId="8733" applyFont="1" applyFill="1" applyBorder="1" applyAlignment="1">
      <alignment horizontal="center"/>
    </xf>
    <xf numFmtId="0" fontId="102" fillId="47" borderId="0" xfId="8733" applyFont="1" applyFill="1"/>
    <xf numFmtId="182" fontId="174" fillId="47" borderId="0" xfId="8734" applyNumberFormat="1" applyFont="1" applyFill="1" applyBorder="1" applyAlignment="1"/>
    <xf numFmtId="0" fontId="2" fillId="47" borderId="41" xfId="8733" applyFill="1" applyBorder="1"/>
    <xf numFmtId="0" fontId="103" fillId="47" borderId="0" xfId="8733" applyFont="1" applyFill="1"/>
    <xf numFmtId="0" fontId="178" fillId="47" borderId="0" xfId="8733" applyFont="1" applyFill="1"/>
    <xf numFmtId="0" fontId="102" fillId="47" borderId="41" xfId="8733" applyFont="1" applyFill="1" applyBorder="1"/>
    <xf numFmtId="0" fontId="102" fillId="0" borderId="0" xfId="8733" applyFont="1"/>
    <xf numFmtId="0" fontId="102" fillId="54" borderId="100" xfId="8733" applyFont="1" applyFill="1" applyBorder="1"/>
    <xf numFmtId="0" fontId="2" fillId="53" borderId="99" xfId="8733" applyFill="1" applyBorder="1"/>
    <xf numFmtId="0" fontId="2" fillId="52" borderId="99" xfId="8733" applyFill="1" applyBorder="1"/>
    <xf numFmtId="0" fontId="102" fillId="45" borderId="65" xfId="8733" applyFont="1" applyFill="1" applyBorder="1"/>
    <xf numFmtId="0" fontId="2" fillId="45" borderId="80" xfId="8733" applyFill="1" applyBorder="1"/>
    <xf numFmtId="0" fontId="2" fillId="45" borderId="79" xfId="8733" applyFill="1" applyBorder="1"/>
    <xf numFmtId="0" fontId="2" fillId="45" borderId="78" xfId="8733" applyFill="1" applyBorder="1"/>
    <xf numFmtId="0" fontId="102" fillId="45" borderId="0" xfId="8733" applyFont="1" applyFill="1"/>
    <xf numFmtId="0" fontId="102" fillId="45" borderId="12" xfId="8733" applyFont="1" applyFill="1" applyBorder="1"/>
    <xf numFmtId="0" fontId="102" fillId="45" borderId="29" xfId="8733" applyFont="1" applyFill="1" applyBorder="1"/>
    <xf numFmtId="0" fontId="102" fillId="45" borderId="80" xfId="8733" applyFont="1" applyFill="1" applyBorder="1"/>
    <xf numFmtId="0" fontId="102" fillId="45" borderId="79" xfId="8733" applyFont="1" applyFill="1" applyBorder="1"/>
    <xf numFmtId="0" fontId="102" fillId="45" borderId="78" xfId="8733" applyFont="1" applyFill="1" applyBorder="1"/>
    <xf numFmtId="185" fontId="2" fillId="0" borderId="0" xfId="698" applyNumberFormat="1" applyFont="1"/>
    <xf numFmtId="0" fontId="102" fillId="45" borderId="93" xfId="8733" applyFont="1" applyFill="1" applyBorder="1"/>
    <xf numFmtId="0" fontId="102" fillId="45" borderId="6" xfId="8733" applyFont="1" applyFill="1" applyBorder="1"/>
    <xf numFmtId="0" fontId="102" fillId="45" borderId="10" xfId="8733" applyFont="1" applyFill="1" applyBorder="1"/>
    <xf numFmtId="10" fontId="2" fillId="0" borderId="0" xfId="1022" applyNumberFormat="1" applyFont="1"/>
    <xf numFmtId="0" fontId="2" fillId="45" borderId="29" xfId="8733" applyFill="1" applyBorder="1"/>
    <xf numFmtId="0" fontId="2" fillId="45" borderId="31" xfId="8733" applyFill="1" applyBorder="1"/>
    <xf numFmtId="0" fontId="102" fillId="45" borderId="92" xfId="8733" applyFont="1" applyFill="1" applyBorder="1"/>
    <xf numFmtId="0" fontId="102" fillId="45" borderId="74" xfId="8733" applyFont="1" applyFill="1" applyBorder="1"/>
    <xf numFmtId="0" fontId="173" fillId="45" borderId="87" xfId="8733" applyFont="1" applyFill="1" applyBorder="1"/>
    <xf numFmtId="0" fontId="2" fillId="45" borderId="87" xfId="8733" applyFill="1" applyBorder="1"/>
    <xf numFmtId="0" fontId="2" fillId="45" borderId="86" xfId="8733" applyFill="1" applyBorder="1"/>
    <xf numFmtId="0" fontId="2" fillId="45" borderId="95" xfId="8733" applyFill="1" applyBorder="1"/>
    <xf numFmtId="0" fontId="180" fillId="47" borderId="0" xfId="8733" applyFont="1" applyFill="1"/>
    <xf numFmtId="0" fontId="102" fillId="45" borderId="31" xfId="8733" applyFont="1" applyFill="1" applyBorder="1"/>
    <xf numFmtId="0" fontId="2" fillId="47" borderId="0" xfId="8733" applyFill="1" applyAlignment="1">
      <alignment horizontal="left"/>
    </xf>
    <xf numFmtId="0" fontId="172" fillId="51" borderId="11" xfId="8733" applyFont="1" applyFill="1" applyBorder="1"/>
    <xf numFmtId="0" fontId="172" fillId="51" borderId="76" xfId="8733" applyFont="1" applyFill="1" applyBorder="1"/>
    <xf numFmtId="0" fontId="173" fillId="51" borderId="11" xfId="8733" applyFont="1" applyFill="1" applyBorder="1" applyAlignment="1">
      <alignment horizontal="center"/>
    </xf>
    <xf numFmtId="0" fontId="173" fillId="51" borderId="76" xfId="8733" applyFont="1" applyFill="1" applyBorder="1" applyAlignment="1">
      <alignment horizontal="center"/>
    </xf>
    <xf numFmtId="0" fontId="2" fillId="48" borderId="66" xfId="8733" applyFill="1" applyBorder="1"/>
    <xf numFmtId="0" fontId="2" fillId="48" borderId="0" xfId="8733" applyFill="1"/>
    <xf numFmtId="0" fontId="2" fillId="48" borderId="78" xfId="8733" applyFill="1" applyBorder="1"/>
    <xf numFmtId="0" fontId="102" fillId="47" borderId="66" xfId="8733" applyFont="1" applyFill="1" applyBorder="1"/>
    <xf numFmtId="49" fontId="102" fillId="47" borderId="66" xfId="8733" applyNumberFormat="1" applyFont="1" applyFill="1" applyBorder="1" applyAlignment="1">
      <alignment horizontal="right" vertical="top"/>
    </xf>
    <xf numFmtId="0" fontId="2" fillId="47" borderId="73" xfId="8733" applyFill="1" applyBorder="1"/>
    <xf numFmtId="0" fontId="2" fillId="47" borderId="42" xfId="8733" applyFill="1" applyBorder="1"/>
    <xf numFmtId="0" fontId="2" fillId="47" borderId="44" xfId="8733" applyFill="1" applyBorder="1"/>
    <xf numFmtId="0" fontId="2" fillId="44" borderId="66" xfId="8733" applyFill="1" applyBorder="1"/>
    <xf numFmtId="0" fontId="2" fillId="44" borderId="0" xfId="8733" applyFill="1"/>
    <xf numFmtId="0" fontId="2" fillId="44" borderId="41" xfId="8733" applyFill="1" applyBorder="1"/>
    <xf numFmtId="0" fontId="2" fillId="44" borderId="0" xfId="8733" applyFill="1" applyAlignment="1">
      <alignment horizontal="left"/>
    </xf>
    <xf numFmtId="0" fontId="2" fillId="44" borderId="73" xfId="8733" applyFill="1" applyBorder="1"/>
    <xf numFmtId="0" fontId="2" fillId="44" borderId="42" xfId="8733" applyFill="1" applyBorder="1"/>
    <xf numFmtId="0" fontId="2" fillId="44" borderId="44" xfId="8733" applyFill="1" applyBorder="1"/>
    <xf numFmtId="0" fontId="164" fillId="0" borderId="0" xfId="8733" applyFont="1"/>
    <xf numFmtId="168" fontId="0" fillId="0" borderId="0" xfId="0" applyNumberFormat="1"/>
    <xf numFmtId="0" fontId="122" fillId="52" borderId="113" xfId="0" applyFont="1" applyFill="1" applyBorder="1"/>
    <xf numFmtId="0" fontId="122" fillId="53" borderId="113" xfId="0" applyFont="1" applyFill="1" applyBorder="1"/>
    <xf numFmtId="1" fontId="0" fillId="0" borderId="0" xfId="0" applyNumberFormat="1"/>
    <xf numFmtId="0" fontId="18"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8" fillId="0" borderId="0" xfId="244" applyAlignment="1">
      <alignment horizontal="left" vertical="top"/>
    </xf>
    <xf numFmtId="0" fontId="23" fillId="3" borderId="0" xfId="0" applyFont="1" applyFill="1" applyAlignment="1">
      <alignment horizontal="center" vertical="center" wrapText="1"/>
    </xf>
    <xf numFmtId="0" fontId="23" fillId="3" borderId="16" xfId="0" applyFont="1" applyFill="1" applyBorder="1" applyAlignment="1">
      <alignment horizontal="center" vertical="center" wrapText="1"/>
    </xf>
    <xf numFmtId="0" fontId="17" fillId="0" borderId="0" xfId="0" applyFont="1" applyAlignment="1">
      <alignment horizontal="left" vertical="top" wrapText="1"/>
    </xf>
    <xf numFmtId="0" fontId="105" fillId="0" borderId="0" xfId="0" applyFont="1" applyAlignment="1">
      <alignment horizontal="left" vertical="top" wrapText="1"/>
    </xf>
    <xf numFmtId="0" fontId="18" fillId="0" borderId="0" xfId="244" applyAlignment="1">
      <alignment horizontal="left" vertical="top"/>
    </xf>
    <xf numFmtId="0" fontId="46" fillId="0" borderId="0" xfId="0" applyFont="1" applyAlignment="1">
      <alignment horizontal="left" vertical="top" wrapText="1"/>
    </xf>
    <xf numFmtId="0" fontId="113" fillId="0" borderId="0" xfId="0" applyFont="1" applyAlignment="1">
      <alignment horizontal="left" wrapText="1"/>
    </xf>
    <xf numFmtId="0" fontId="17" fillId="0" borderId="0" xfId="0" applyFont="1" applyAlignment="1">
      <alignment horizontal="left" wrapText="1"/>
    </xf>
    <xf numFmtId="0" fontId="26" fillId="0" borderId="0" xfId="0" applyFont="1" applyAlignment="1">
      <alignment horizontal="left" wrapText="1"/>
    </xf>
    <xf numFmtId="0" fontId="18" fillId="0" borderId="0" xfId="244" applyAlignment="1" applyProtection="1">
      <alignment horizontal="left"/>
    </xf>
    <xf numFmtId="0" fontId="18" fillId="0" borderId="0" xfId="244"/>
    <xf numFmtId="0" fontId="0" fillId="0" borderId="0" xfId="0"/>
    <xf numFmtId="0" fontId="17" fillId="0" borderId="0" xfId="1192" applyAlignment="1">
      <alignment horizontal="left" vertical="top" wrapText="1"/>
    </xf>
    <xf numFmtId="0" fontId="24" fillId="0" borderId="0" xfId="0" applyFont="1" applyAlignment="1">
      <alignment horizontal="left" vertical="top" wrapText="1"/>
    </xf>
    <xf numFmtId="0" fontId="114" fillId="0" borderId="0" xfId="569" applyFont="1" applyAlignment="1">
      <alignment horizontal="center"/>
    </xf>
    <xf numFmtId="0" fontId="115" fillId="0" borderId="0" xfId="569" applyFont="1"/>
    <xf numFmtId="0" fontId="17" fillId="0" borderId="0" xfId="569" applyAlignment="1">
      <alignment wrapText="1"/>
    </xf>
    <xf numFmtId="0" fontId="24" fillId="0" borderId="0" xfId="569" applyFont="1" applyAlignment="1">
      <alignment wrapText="1"/>
    </xf>
    <xf numFmtId="0" fontId="32" fillId="0" borderId="0" xfId="569" applyFont="1" applyAlignment="1">
      <alignment horizontal="center"/>
    </xf>
    <xf numFmtId="0" fontId="17" fillId="0" borderId="0" xfId="569"/>
    <xf numFmtId="0" fontId="17" fillId="0" borderId="0" xfId="1192" applyAlignment="1">
      <alignment vertical="top" wrapText="1"/>
    </xf>
    <xf numFmtId="4" fontId="17" fillId="0" borderId="0" xfId="569" applyNumberFormat="1" applyAlignment="1">
      <alignment horizontal="left"/>
    </xf>
    <xf numFmtId="0" fontId="35" fillId="0" borderId="0" xfId="569" applyFont="1" applyAlignment="1">
      <alignment horizontal="left" vertical="top"/>
    </xf>
    <xf numFmtId="4" fontId="35" fillId="0" borderId="0" xfId="0" applyNumberFormat="1" applyFont="1" applyAlignment="1">
      <alignment horizontal="left"/>
    </xf>
    <xf numFmtId="4" fontId="17" fillId="0" borderId="0" xfId="0" applyNumberFormat="1" applyFont="1" applyAlignment="1">
      <alignment horizontal="left"/>
    </xf>
    <xf numFmtId="0" fontId="24" fillId="0" borderId="4" xfId="0" applyFont="1" applyBorder="1" applyAlignment="1">
      <alignment horizontal="left"/>
    </xf>
    <xf numFmtId="0" fontId="35" fillId="0" borderId="0" xfId="0" applyFont="1" applyAlignment="1">
      <alignment horizontal="left" vertical="top"/>
    </xf>
    <xf numFmtId="0" fontId="17" fillId="0" borderId="0" xfId="0" applyFont="1" applyAlignment="1">
      <alignment horizontal="left" vertical="top"/>
    </xf>
    <xf numFmtId="0" fontId="17" fillId="0" borderId="0" xfId="0" applyFont="1" applyAlignment="1">
      <alignment horizontal="left"/>
    </xf>
    <xf numFmtId="49" fontId="17" fillId="0" borderId="0" xfId="0" applyNumberFormat="1" applyFont="1" applyAlignment="1">
      <alignment horizontal="left" vertical="top" wrapText="1"/>
    </xf>
    <xf numFmtId="0" fontId="17" fillId="0" borderId="0" xfId="0" applyFont="1" applyAlignment="1">
      <alignment horizontal="left" vertical="center" wrapText="1"/>
    </xf>
    <xf numFmtId="0" fontId="17" fillId="0" borderId="0" xfId="569" applyAlignment="1">
      <alignment horizontal="left" wrapText="1"/>
    </xf>
    <xf numFmtId="0" fontId="17" fillId="0" borderId="0" xfId="0" applyFont="1" applyAlignment="1">
      <alignment vertical="top" wrapText="1"/>
    </xf>
    <xf numFmtId="0" fontId="18" fillId="0" borderId="0" xfId="244" applyFill="1" applyBorder="1" applyAlignment="1">
      <alignment horizontal="left" vertical="top" wrapText="1"/>
    </xf>
    <xf numFmtId="4" fontId="17" fillId="0" borderId="0" xfId="0" applyNumberFormat="1" applyFont="1" applyAlignment="1">
      <alignment horizontal="left" vertical="top" wrapText="1"/>
    </xf>
    <xf numFmtId="0" fontId="35" fillId="0" borderId="0" xfId="0" applyFont="1" applyAlignment="1">
      <alignment horizontal="left"/>
    </xf>
    <xf numFmtId="0" fontId="24" fillId="0" borderId="0" xfId="0" applyFont="1" applyAlignment="1">
      <alignment vertical="top" wrapText="1"/>
    </xf>
    <xf numFmtId="0" fontId="24" fillId="0" borderId="0" xfId="1192" applyFont="1" applyAlignment="1">
      <alignment horizontal="left" vertical="top" wrapText="1"/>
    </xf>
    <xf numFmtId="4" fontId="35" fillId="0" borderId="0" xfId="569" applyNumberFormat="1" applyFont="1" applyAlignment="1">
      <alignment horizontal="left" vertical="top" wrapText="1"/>
    </xf>
    <xf numFmtId="0" fontId="17" fillId="0" borderId="0" xfId="569" applyAlignment="1">
      <alignment horizontal="left"/>
    </xf>
    <xf numFmtId="0" fontId="24" fillId="0" borderId="4" xfId="569" applyFont="1" applyBorder="1" applyAlignment="1">
      <alignment horizontal="left" vertical="top"/>
    </xf>
    <xf numFmtId="0" fontId="17" fillId="0" borderId="0" xfId="569" applyAlignment="1">
      <alignment horizontal="left" vertical="top" wrapText="1"/>
    </xf>
    <xf numFmtId="0" fontId="18" fillId="0" borderId="0" xfId="244" quotePrefix="1" applyAlignment="1" applyProtection="1">
      <alignment horizontal="left"/>
    </xf>
    <xf numFmtId="0" fontId="17" fillId="0" borderId="0" xfId="569" applyAlignment="1">
      <alignment horizontal="left" vertical="top"/>
    </xf>
    <xf numFmtId="0" fontId="17" fillId="0" borderId="0" xfId="0" quotePrefix="1" applyFont="1" applyAlignment="1">
      <alignment horizontal="left" vertical="top"/>
    </xf>
    <xf numFmtId="0" fontId="35" fillId="0" borderId="0" xfId="0" applyFont="1" applyAlignment="1">
      <alignment horizontal="left" vertical="top" wrapText="1"/>
    </xf>
    <xf numFmtId="0" fontId="17" fillId="0" borderId="0" xfId="0" quotePrefix="1" applyFont="1" applyAlignment="1">
      <alignment horizontal="left" vertical="top" wrapText="1"/>
    </xf>
    <xf numFmtId="4" fontId="17" fillId="0" borderId="0" xfId="569" applyNumberFormat="1" applyAlignment="1">
      <alignment horizontal="left" vertical="top" wrapText="1"/>
    </xf>
    <xf numFmtId="0" fontId="24" fillId="0" borderId="4" xfId="569" applyFont="1" applyBorder="1" applyAlignment="1">
      <alignment horizontal="left"/>
    </xf>
    <xf numFmtId="0" fontId="35" fillId="0" borderId="0" xfId="569" applyFont="1" applyAlignment="1">
      <alignment horizontal="left"/>
    </xf>
    <xf numFmtId="0" fontId="17" fillId="0" borderId="0" xfId="1192" applyAlignment="1" applyProtection="1">
      <alignment horizontal="left" vertical="top" wrapText="1"/>
      <protection locked="0"/>
    </xf>
    <xf numFmtId="0" fontId="0" fillId="0" borderId="0" xfId="0" applyAlignment="1">
      <alignment horizontal="left" vertical="top" wrapText="1"/>
    </xf>
    <xf numFmtId="0" fontId="35" fillId="0" borderId="0" xfId="1192" applyFont="1" applyAlignment="1">
      <alignment horizontal="left" vertical="top" wrapText="1"/>
    </xf>
    <xf numFmtId="4" fontId="17" fillId="0" borderId="0" xfId="1192" applyNumberFormat="1" applyAlignment="1">
      <alignment horizontal="left" vertical="top" wrapText="1"/>
    </xf>
    <xf numFmtId="0" fontId="17" fillId="0" borderId="0" xfId="569" applyAlignment="1">
      <alignment vertical="top" wrapText="1"/>
    </xf>
    <xf numFmtId="4" fontId="35" fillId="0" borderId="0" xfId="0" applyNumberFormat="1" applyFont="1" applyAlignment="1">
      <alignment horizontal="left" vertical="top" wrapText="1"/>
    </xf>
    <xf numFmtId="0" fontId="24" fillId="0" borderId="4" xfId="0" applyFont="1" applyBorder="1" applyAlignment="1">
      <alignment horizontal="left" vertical="top"/>
    </xf>
    <xf numFmtId="0" fontId="35" fillId="0" borderId="0" xfId="569" applyFont="1" applyAlignment="1">
      <alignment horizontal="left" vertical="top" wrapText="1"/>
    </xf>
    <xf numFmtId="0" fontId="17" fillId="0" borderId="0" xfId="1192" applyAlignment="1">
      <alignment horizontal="left"/>
    </xf>
    <xf numFmtId="0" fontId="24" fillId="0" borderId="0" xfId="569" applyFont="1" applyAlignment="1">
      <alignment horizontal="center"/>
    </xf>
    <xf numFmtId="0" fontId="18" fillId="0" borderId="0" xfId="244" applyNumberFormat="1" applyFill="1" applyAlignment="1" applyProtection="1">
      <alignment horizontal="left"/>
    </xf>
    <xf numFmtId="0" fontId="35" fillId="0" borderId="0" xfId="569" applyFont="1" applyAlignment="1">
      <alignment horizontal="left" wrapText="1"/>
    </xf>
    <xf numFmtId="0" fontId="35" fillId="0" borderId="0" xfId="569" applyFont="1" applyAlignment="1">
      <alignment horizontal="center" wrapText="1"/>
    </xf>
    <xf numFmtId="49" fontId="17" fillId="0" borderId="0" xfId="1192" applyNumberFormat="1" applyAlignment="1">
      <alignment horizontal="left" vertical="top" wrapText="1"/>
    </xf>
    <xf numFmtId="0" fontId="17" fillId="0" borderId="0" xfId="569" applyAlignment="1">
      <alignment horizontal="left" vertical="center" wrapText="1"/>
    </xf>
    <xf numFmtId="0" fontId="24" fillId="0" borderId="0" xfId="0" applyFont="1" applyAlignment="1">
      <alignment horizontal="left" vertical="top"/>
    </xf>
    <xf numFmtId="0" fontId="24" fillId="0" borderId="0" xfId="569" applyFont="1" applyAlignment="1">
      <alignment horizontal="left"/>
    </xf>
    <xf numFmtId="0" fontId="35" fillId="0" borderId="0" xfId="1192" applyFont="1" applyAlignment="1">
      <alignment horizontal="left"/>
    </xf>
    <xf numFmtId="0" fontId="17" fillId="0" borderId="27" xfId="569" applyBorder="1" applyAlignment="1">
      <alignment horizontal="left"/>
    </xf>
    <xf numFmtId="0" fontId="24" fillId="0" borderId="16" xfId="569" applyFont="1" applyBorder="1" applyAlignment="1">
      <alignment horizontal="left"/>
    </xf>
    <xf numFmtId="0" fontId="18" fillId="0" borderId="0" xfId="244" applyAlignment="1" applyProtection="1">
      <alignment horizontal="left" vertical="top" wrapText="1"/>
    </xf>
    <xf numFmtId="0" fontId="35" fillId="0" borderId="0" xfId="569" applyFont="1" applyAlignment="1">
      <alignment horizontal="center"/>
    </xf>
    <xf numFmtId="0" fontId="0" fillId="5" borderId="6" xfId="0" applyFill="1" applyBorder="1" applyAlignment="1" applyProtection="1">
      <alignment horizontal="center"/>
      <protection locked="0"/>
    </xf>
    <xf numFmtId="0" fontId="26" fillId="0" borderId="0" xfId="543" applyFont="1" applyAlignment="1">
      <alignment horizontal="center"/>
    </xf>
    <xf numFmtId="0" fontId="17" fillId="0" borderId="0" xfId="0" applyFont="1" applyAlignment="1">
      <alignment vertical="center" wrapText="1"/>
    </xf>
    <xf numFmtId="0" fontId="0" fillId="0" borderId="0" xfId="0" applyAlignment="1">
      <alignment horizontal="center"/>
    </xf>
    <xf numFmtId="0" fontId="17" fillId="0" borderId="0" xfId="543" applyAlignment="1">
      <alignment wrapText="1"/>
    </xf>
    <xf numFmtId="0" fontId="24" fillId="0" borderId="0" xfId="0" applyFont="1" applyAlignment="1">
      <alignment horizontal="center"/>
    </xf>
    <xf numFmtId="0" fontId="159" fillId="0" borderId="8" xfId="543" applyFont="1" applyBorder="1" applyAlignment="1">
      <alignment horizontal="center" wrapText="1"/>
    </xf>
    <xf numFmtId="0" fontId="159" fillId="0" borderId="0" xfId="543" applyFont="1" applyAlignment="1">
      <alignment horizontal="center" wrapText="1"/>
    </xf>
    <xf numFmtId="0" fontId="159" fillId="0" borderId="12" xfId="543" applyFont="1" applyBorder="1" applyAlignment="1">
      <alignment horizontal="center" wrapText="1"/>
    </xf>
    <xf numFmtId="0" fontId="159" fillId="0" borderId="9" xfId="543" applyFont="1" applyBorder="1" applyAlignment="1">
      <alignment horizontal="center" wrapText="1"/>
    </xf>
    <xf numFmtId="0" fontId="159" fillId="0" borderId="6" xfId="543" applyFont="1" applyBorder="1" applyAlignment="1">
      <alignment horizontal="center" wrapText="1"/>
    </xf>
    <xf numFmtId="0" fontId="159" fillId="0" borderId="10" xfId="543" applyFont="1" applyBorder="1" applyAlignment="1">
      <alignment horizontal="center" wrapText="1"/>
    </xf>
    <xf numFmtId="0" fontId="159" fillId="0" borderId="8" xfId="543" applyFont="1" applyBorder="1" applyAlignment="1">
      <alignment horizontal="center" vertical="top" wrapText="1"/>
    </xf>
    <xf numFmtId="0" fontId="159" fillId="0" borderId="0" xfId="543" applyFont="1" applyAlignment="1">
      <alignment horizontal="center" vertical="top" wrapText="1"/>
    </xf>
    <xf numFmtId="0" fontId="159" fillId="0" borderId="12" xfId="543" applyFont="1" applyBorder="1" applyAlignment="1">
      <alignment horizontal="center" vertical="top" wrapText="1"/>
    </xf>
    <xf numFmtId="0" fontId="159" fillId="0" borderId="9" xfId="543" applyFont="1" applyBorder="1" applyAlignment="1">
      <alignment horizontal="center" vertical="top" wrapText="1"/>
    </xf>
    <xf numFmtId="0" fontId="159" fillId="0" borderId="6" xfId="543" applyFont="1" applyBorder="1" applyAlignment="1">
      <alignment horizontal="center" vertical="top" wrapText="1"/>
    </xf>
    <xf numFmtId="0" fontId="159" fillId="0" borderId="10" xfId="543" applyFont="1" applyBorder="1" applyAlignment="1">
      <alignment horizontal="center" vertical="top" wrapText="1"/>
    </xf>
    <xf numFmtId="0" fontId="156" fillId="0" borderId="0" xfId="0" applyFont="1" applyAlignment="1">
      <alignment horizontal="center" vertical="center" wrapText="1"/>
    </xf>
    <xf numFmtId="1" fontId="26" fillId="5" borderId="3" xfId="0" applyNumberFormat="1" applyFont="1" applyFill="1" applyBorder="1" applyAlignment="1" applyProtection="1">
      <alignment horizontal="center"/>
      <protection locked="0"/>
    </xf>
    <xf numFmtId="1" fontId="26" fillId="5" borderId="4" xfId="0" applyNumberFormat="1" applyFont="1" applyFill="1" applyBorder="1" applyAlignment="1" applyProtection="1">
      <alignment horizontal="center"/>
      <protection locked="0"/>
    </xf>
    <xf numFmtId="1" fontId="26"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26" fillId="5" borderId="3" xfId="0" applyFont="1" applyFill="1" applyBorder="1" applyAlignment="1" applyProtection="1">
      <alignment horizontal="center"/>
      <protection locked="0"/>
    </xf>
    <xf numFmtId="0" fontId="26" fillId="5" borderId="4" xfId="0" applyFont="1" applyFill="1" applyBorder="1" applyAlignment="1" applyProtection="1">
      <alignment horizontal="center"/>
      <protection locked="0"/>
    </xf>
    <xf numFmtId="0" fontId="26" fillId="5" borderId="5" xfId="0" applyFont="1" applyFill="1" applyBorder="1" applyAlignment="1" applyProtection="1">
      <alignment horizontal="center"/>
      <protection locked="0"/>
    </xf>
    <xf numFmtId="168" fontId="17" fillId="0" borderId="1" xfId="543" applyNumberFormat="1" applyBorder="1" applyAlignment="1">
      <alignment horizontal="center" vertical="center"/>
    </xf>
    <xf numFmtId="168" fontId="17" fillId="0" borderId="2" xfId="543" applyNumberFormat="1" applyBorder="1" applyAlignment="1">
      <alignment horizontal="center" vertical="center"/>
    </xf>
    <xf numFmtId="168" fontId="17" fillId="0" borderId="7" xfId="543" applyNumberFormat="1" applyBorder="1" applyAlignment="1">
      <alignment horizontal="center" vertical="center"/>
    </xf>
    <xf numFmtId="168" fontId="17" fillId="0" borderId="8" xfId="543" applyNumberFormat="1" applyBorder="1" applyAlignment="1">
      <alignment horizontal="center" vertical="center"/>
    </xf>
    <xf numFmtId="168" fontId="17" fillId="0" borderId="0" xfId="543" applyNumberFormat="1" applyAlignment="1">
      <alignment horizontal="center" vertical="center"/>
    </xf>
    <xf numFmtId="168" fontId="17" fillId="0" borderId="12" xfId="543" applyNumberFormat="1" applyBorder="1" applyAlignment="1">
      <alignment horizontal="center" vertical="center"/>
    </xf>
    <xf numFmtId="168" fontId="17" fillId="0" borderId="9" xfId="543" applyNumberFormat="1" applyBorder="1" applyAlignment="1">
      <alignment horizontal="center" vertical="center"/>
    </xf>
    <xf numFmtId="168" fontId="17" fillId="0" borderId="6" xfId="543" applyNumberFormat="1" applyBorder="1" applyAlignment="1">
      <alignment horizontal="center" vertical="center"/>
    </xf>
    <xf numFmtId="168" fontId="17" fillId="0" borderId="10" xfId="543" applyNumberFormat="1" applyBorder="1" applyAlignment="1">
      <alignment horizontal="center" vertic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26" fillId="5" borderId="3" xfId="0" applyNumberFormat="1" applyFont="1" applyFill="1" applyBorder="1" applyAlignment="1" applyProtection="1">
      <alignment horizontal="center"/>
      <protection locked="0"/>
    </xf>
    <xf numFmtId="168" fontId="26" fillId="5" borderId="4" xfId="0" applyNumberFormat="1" applyFont="1" applyFill="1" applyBorder="1" applyAlignment="1" applyProtection="1">
      <alignment horizontal="center"/>
      <protection locked="0"/>
    </xf>
    <xf numFmtId="168" fontId="26" fillId="5" borderId="5" xfId="0" applyNumberFormat="1" applyFont="1" applyFill="1" applyBorder="1" applyAlignment="1" applyProtection="1">
      <alignment horizontal="center"/>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0" borderId="9" xfId="0" applyBorder="1" applyAlignment="1">
      <alignment horizontal="left"/>
    </xf>
    <xf numFmtId="0" fontId="0" fillId="0" borderId="6" xfId="0" applyBorder="1" applyAlignment="1">
      <alignment horizontal="left"/>
    </xf>
    <xf numFmtId="168" fontId="17" fillId="5" borderId="3" xfId="0" applyNumberFormat="1" applyFont="1" applyFill="1" applyBorder="1" applyAlignment="1" applyProtection="1">
      <alignment horizontal="right"/>
      <protection locked="0"/>
    </xf>
    <xf numFmtId="168" fontId="17" fillId="5" borderId="4" xfId="0" applyNumberFormat="1" applyFont="1" applyFill="1" applyBorder="1" applyAlignment="1" applyProtection="1">
      <alignment horizontal="right"/>
      <protection locked="0"/>
    </xf>
    <xf numFmtId="168" fontId="17" fillId="5" borderId="5" xfId="0" applyNumberFormat="1" applyFont="1" applyFill="1" applyBorder="1" applyAlignment="1" applyProtection="1">
      <alignment horizontal="right"/>
      <protection locked="0"/>
    </xf>
    <xf numFmtId="0" fontId="38" fillId="0" borderId="3" xfId="543" applyFont="1" applyBorder="1" applyAlignment="1">
      <alignment horizontal="center"/>
    </xf>
    <xf numFmtId="0" fontId="38" fillId="0" borderId="4" xfId="543" applyFont="1" applyBorder="1" applyAlignment="1">
      <alignment horizontal="center"/>
    </xf>
    <xf numFmtId="0" fontId="38" fillId="0" borderId="5" xfId="543" applyFont="1" applyBorder="1" applyAlignment="1">
      <alignment horizontal="center"/>
    </xf>
    <xf numFmtId="0" fontId="17" fillId="0" borderId="3" xfId="543" applyBorder="1" applyAlignment="1">
      <alignment horizontal="center"/>
    </xf>
    <xf numFmtId="0" fontId="17" fillId="0" borderId="4" xfId="543" applyBorder="1" applyAlignment="1">
      <alignment horizontal="center"/>
    </xf>
    <xf numFmtId="0" fontId="17" fillId="0" borderId="5" xfId="543" applyBorder="1" applyAlignment="1">
      <alignment horizontal="center"/>
    </xf>
    <xf numFmtId="1" fontId="17" fillId="0" borderId="3" xfId="543" applyNumberFormat="1" applyBorder="1" applyAlignment="1">
      <alignment horizontal="center"/>
    </xf>
    <xf numFmtId="1" fontId="17" fillId="0" borderId="4" xfId="543" applyNumberFormat="1" applyBorder="1" applyAlignment="1">
      <alignment horizontal="center"/>
    </xf>
    <xf numFmtId="1" fontId="17" fillId="0" borderId="5" xfId="543" applyNumberFormat="1" applyBorder="1" applyAlignment="1">
      <alignment horizontal="center"/>
    </xf>
    <xf numFmtId="168" fontId="17" fillId="0" borderId="11" xfId="543" applyNumberFormat="1" applyBorder="1" applyAlignment="1">
      <alignment horizontal="center"/>
    </xf>
    <xf numFmtId="168" fontId="17" fillId="10" borderId="3" xfId="543" applyNumberFormat="1" applyFill="1" applyBorder="1" applyAlignment="1">
      <alignment horizontal="center"/>
    </xf>
    <xf numFmtId="168" fontId="17" fillId="10" borderId="4" xfId="543" applyNumberFormat="1" applyFill="1" applyBorder="1" applyAlignment="1">
      <alignment horizontal="center"/>
    </xf>
    <xf numFmtId="168" fontId="17" fillId="10" borderId="5" xfId="543" applyNumberFormat="1" applyFill="1" applyBorder="1" applyAlignment="1">
      <alignment horizontal="center"/>
    </xf>
    <xf numFmtId="0" fontId="53" fillId="5" borderId="3" xfId="0" applyFont="1" applyFill="1" applyBorder="1" applyAlignment="1" applyProtection="1">
      <alignment horizontal="right"/>
      <protection locked="0"/>
    </xf>
    <xf numFmtId="0" fontId="53" fillId="5" borderId="4" xfId="0" applyFont="1" applyFill="1" applyBorder="1" applyAlignment="1" applyProtection="1">
      <alignment horizontal="right"/>
      <protection locked="0"/>
    </xf>
    <xf numFmtId="0" fontId="53" fillId="5" borderId="5" xfId="0" applyFont="1" applyFill="1" applyBorder="1" applyAlignment="1" applyProtection="1">
      <alignment horizontal="right"/>
      <protection locked="0"/>
    </xf>
    <xf numFmtId="182" fontId="25" fillId="43" borderId="11" xfId="8721" applyNumberFormat="1" applyFont="1" applyFill="1" applyBorder="1" applyAlignment="1" applyProtection="1">
      <alignment horizontal="center" vertical="center" wrapText="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25" fillId="5" borderId="3" xfId="0" applyFont="1" applyFill="1" applyBorder="1" applyAlignment="1" applyProtection="1">
      <alignment horizontal="left"/>
      <protection locked="0"/>
    </xf>
    <xf numFmtId="0" fontId="25" fillId="5" borderId="4" xfId="0" applyFont="1" applyFill="1" applyBorder="1" applyAlignment="1" applyProtection="1">
      <alignment horizontal="left"/>
      <protection locked="0"/>
    </xf>
    <xf numFmtId="0" fontId="25" fillId="5" borderId="5" xfId="0" applyFont="1" applyFill="1" applyBorder="1" applyAlignment="1" applyProtection="1">
      <alignment horizontal="left"/>
      <protection locked="0"/>
    </xf>
    <xf numFmtId="0" fontId="50" fillId="0" borderId="0" xfId="0" applyFont="1" applyAlignment="1">
      <alignment horizontal="center"/>
    </xf>
    <xf numFmtId="0" fontId="17" fillId="0" borderId="0" xfId="0" applyFont="1" applyAlignment="1">
      <alignment horizontal="center"/>
    </xf>
    <xf numFmtId="0" fontId="32" fillId="0" borderId="0" xfId="0" applyFont="1" applyAlignment="1">
      <alignment horizontal="center"/>
    </xf>
    <xf numFmtId="0" fontId="17" fillId="0" borderId="0" xfId="0" applyFont="1" applyAlignment="1">
      <alignment wrapText="1"/>
    </xf>
    <xf numFmtId="0" fontId="17" fillId="0" borderId="0" xfId="0" applyFont="1" applyAlignment="1">
      <alignment horizontal="center" vertical="top"/>
    </xf>
    <xf numFmtId="0" fontId="26" fillId="0" borderId="0" xfId="0" applyFont="1" applyAlignment="1">
      <alignment horizontal="left" vertical="top" wrapText="1"/>
    </xf>
    <xf numFmtId="0" fontId="17" fillId="5" borderId="6" xfId="0" applyFont="1" applyFill="1" applyBorder="1" applyAlignment="1" applyProtection="1">
      <alignment horizontal="left"/>
      <protection locked="0"/>
    </xf>
    <xf numFmtId="0" fontId="26" fillId="5" borderId="6" xfId="0" applyFont="1" applyFill="1" applyBorder="1" applyAlignment="1" applyProtection="1">
      <alignment horizontal="left"/>
      <protection locked="0"/>
    </xf>
    <xf numFmtId="168" fontId="26" fillId="0" borderId="6" xfId="0" applyNumberFormat="1" applyFont="1" applyBorder="1" applyAlignment="1">
      <alignment horizontal="center"/>
    </xf>
    <xf numFmtId="0" fontId="17" fillId="5" borderId="6" xfId="0" applyFont="1" applyFill="1" applyBorder="1" applyAlignment="1" applyProtection="1">
      <alignment horizontal="left" wrapText="1"/>
      <protection locked="0"/>
    </xf>
    <xf numFmtId="0" fontId="26" fillId="5" borderId="6" xfId="0" applyFont="1" applyFill="1" applyBorder="1" applyAlignment="1" applyProtection="1">
      <alignment horizontal="left" wrapText="1"/>
      <protection locked="0"/>
    </xf>
    <xf numFmtId="0" fontId="25" fillId="0" borderId="0" xfId="0" applyFont="1" applyAlignment="1">
      <alignment horizontal="center"/>
    </xf>
    <xf numFmtId="168" fontId="26" fillId="0" borderId="4" xfId="0" applyNumberFormat="1" applyFont="1" applyBorder="1" applyAlignment="1">
      <alignment horizontal="center"/>
    </xf>
    <xf numFmtId="0" fontId="23" fillId="3" borderId="0" xfId="0" applyFont="1" applyFill="1" applyAlignment="1">
      <alignment horizontal="center" vertical="center"/>
    </xf>
    <xf numFmtId="166" fontId="26" fillId="5" borderId="6" xfId="0" applyNumberFormat="1" applyFont="1" applyFill="1" applyBorder="1" applyAlignment="1" applyProtection="1">
      <alignment horizontal="left"/>
      <protection locked="0"/>
    </xf>
    <xf numFmtId="0" fontId="0" fillId="5" borderId="6" xfId="0" applyFill="1" applyBorder="1" applyAlignment="1" applyProtection="1">
      <alignment horizontal="left"/>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26" fillId="5" borderId="4" xfId="0" applyFont="1" applyFill="1" applyBorder="1" applyAlignment="1" applyProtection="1">
      <alignment wrapText="1"/>
      <protection locked="0"/>
    </xf>
    <xf numFmtId="0" fontId="24" fillId="0" borderId="2" xfId="0" applyFont="1" applyBorder="1" applyAlignment="1">
      <alignment horizontal="center" vertical="center" wrapText="1"/>
    </xf>
    <xf numFmtId="0" fontId="24" fillId="0" borderId="7" xfId="0" applyFont="1" applyBorder="1" applyAlignment="1">
      <alignment horizontal="center" vertical="center" wrapText="1"/>
    </xf>
    <xf numFmtId="0" fontId="24" fillId="0" borderId="0" xfId="0" applyFont="1" applyAlignment="1">
      <alignment horizontal="center" vertical="center" wrapText="1"/>
    </xf>
    <xf numFmtId="0" fontId="24" fillId="0" borderId="12" xfId="0" applyFont="1" applyBorder="1" applyAlignment="1">
      <alignment horizontal="center" vertical="center" wrapText="1"/>
    </xf>
    <xf numFmtId="0" fontId="24" fillId="0" borderId="6" xfId="0" applyFont="1" applyBorder="1" applyAlignment="1">
      <alignment horizontal="center" vertical="center" wrapText="1"/>
    </xf>
    <xf numFmtId="0" fontId="24" fillId="0" borderId="10" xfId="0" applyFont="1" applyBorder="1" applyAlignment="1">
      <alignment horizontal="center" vertical="center" wrapText="1"/>
    </xf>
    <xf numFmtId="0" fontId="26" fillId="5" borderId="4" xfId="0" applyFont="1" applyFill="1" applyBorder="1" applyAlignment="1" applyProtection="1">
      <alignment horizontal="left"/>
      <protection locked="0"/>
    </xf>
    <xf numFmtId="175" fontId="17" fillId="43" borderId="3" xfId="0" applyNumberFormat="1" applyFont="1" applyFill="1" applyBorder="1" applyAlignment="1" applyProtection="1">
      <alignment horizontal="center"/>
      <protection locked="0"/>
    </xf>
    <xf numFmtId="175" fontId="17" fillId="43" borderId="4" xfId="0" applyNumberFormat="1" applyFont="1" applyFill="1" applyBorder="1" applyAlignment="1" applyProtection="1">
      <alignment horizontal="center"/>
      <protection locked="0"/>
    </xf>
    <xf numFmtId="175" fontId="17" fillId="43" borderId="5" xfId="0" applyNumberFormat="1" applyFont="1" applyFill="1" applyBorder="1" applyAlignment="1" applyProtection="1">
      <alignment horizontal="center"/>
      <protection locked="0"/>
    </xf>
    <xf numFmtId="180" fontId="0" fillId="0" borderId="6" xfId="0" applyNumberFormat="1" applyBorder="1" applyAlignment="1">
      <alignment horizontal="center"/>
    </xf>
    <xf numFmtId="0" fontId="24" fillId="0" borderId="11" xfId="0" applyFont="1" applyBorder="1" applyAlignment="1">
      <alignment horizontal="center" vertical="center" wrapText="1"/>
    </xf>
    <xf numFmtId="0" fontId="17" fillId="5" borderId="11" xfId="0" applyFont="1" applyFill="1" applyBorder="1" applyAlignment="1" applyProtection="1">
      <alignment horizontal="left" wrapText="1"/>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75" fontId="17" fillId="43" borderId="3" xfId="0" applyNumberFormat="1" applyFont="1" applyFill="1" applyBorder="1" applyAlignment="1" applyProtection="1">
      <alignment horizontal="center" vertical="center"/>
      <protection locked="0"/>
    </xf>
    <xf numFmtId="175" fontId="17" fillId="43" borderId="4" xfId="0" applyNumberFormat="1" applyFont="1" applyFill="1" applyBorder="1" applyAlignment="1" applyProtection="1">
      <alignment horizontal="center" vertical="center"/>
      <protection locked="0"/>
    </xf>
    <xf numFmtId="175" fontId="17" fillId="43" borderId="5" xfId="0" applyNumberFormat="1" applyFont="1" applyFill="1" applyBorder="1" applyAlignment="1" applyProtection="1">
      <alignment horizontal="center" vertical="center"/>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0" fillId="5" borderId="4" xfId="0" applyFill="1" applyBorder="1" applyAlignment="1" applyProtection="1">
      <alignment horizontal="left"/>
      <protection locked="0"/>
    </xf>
    <xf numFmtId="166" fontId="26" fillId="5" borderId="4" xfId="0" applyNumberFormat="1" applyFont="1" applyFill="1" applyBorder="1" applyAlignment="1" applyProtection="1">
      <alignment horizontal="left"/>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26" fillId="45" borderId="11" xfId="0" applyFont="1" applyFill="1" applyBorder="1" applyAlignment="1">
      <alignment horizontal="center"/>
    </xf>
    <xf numFmtId="0" fontId="17" fillId="0" borderId="11" xfId="0" applyFont="1" applyBorder="1" applyAlignment="1">
      <alignment horizontal="center"/>
    </xf>
    <xf numFmtId="0" fontId="26" fillId="2" borderId="11" xfId="0" applyFont="1" applyFill="1" applyBorder="1" applyAlignment="1">
      <alignment horizontal="center"/>
    </xf>
    <xf numFmtId="0" fontId="0" fillId="0" borderId="11" xfId="0" applyBorder="1" applyAlignment="1">
      <alignment horizontal="center"/>
    </xf>
    <xf numFmtId="0" fontId="24" fillId="0" borderId="3" xfId="0" applyFont="1" applyBorder="1" applyAlignment="1">
      <alignment horizontal="right"/>
    </xf>
    <xf numFmtId="0" fontId="24" fillId="0" borderId="4" xfId="0" applyFont="1" applyBorder="1" applyAlignment="1">
      <alignment horizontal="right"/>
    </xf>
    <xf numFmtId="0" fontId="24" fillId="0" borderId="5" xfId="0" applyFont="1" applyBorder="1" applyAlignment="1">
      <alignment horizontal="right"/>
    </xf>
    <xf numFmtId="165" fontId="26" fillId="0" borderId="1" xfId="0" applyNumberFormat="1" applyFont="1" applyBorder="1" applyAlignment="1">
      <alignment horizontal="right"/>
    </xf>
    <xf numFmtId="165" fontId="26" fillId="0" borderId="2" xfId="0" applyNumberFormat="1" applyFont="1" applyBorder="1" applyAlignment="1">
      <alignment horizontal="right"/>
    </xf>
    <xf numFmtId="165" fontId="26" fillId="0" borderId="7" xfId="0" applyNumberFormat="1" applyFont="1" applyBorder="1" applyAlignment="1">
      <alignment horizontal="right"/>
    </xf>
    <xf numFmtId="9" fontId="26" fillId="5" borderId="3" xfId="0" applyNumberFormat="1" applyFont="1" applyFill="1" applyBorder="1" applyAlignment="1" applyProtection="1">
      <alignment horizontal="center"/>
      <protection locked="0"/>
    </xf>
    <xf numFmtId="9" fontId="26" fillId="5" borderId="4" xfId="0" applyNumberFormat="1" applyFont="1" applyFill="1" applyBorder="1" applyAlignment="1" applyProtection="1">
      <alignment horizontal="center"/>
      <protection locked="0"/>
    </xf>
    <xf numFmtId="9" fontId="26" fillId="5" borderId="5" xfId="0" applyNumberFormat="1" applyFont="1" applyFill="1" applyBorder="1" applyAlignment="1" applyProtection="1">
      <alignment horizontal="center"/>
      <protection locked="0"/>
    </xf>
    <xf numFmtId="0" fontId="26" fillId="0" borderId="1" xfId="0" applyFont="1" applyBorder="1" applyAlignment="1">
      <alignment horizontal="center" vertical="top" wrapText="1"/>
    </xf>
    <xf numFmtId="0" fontId="26" fillId="0" borderId="2" xfId="0" applyFont="1" applyBorder="1" applyAlignment="1">
      <alignment horizontal="center" vertical="top" wrapText="1"/>
    </xf>
    <xf numFmtId="0" fontId="26" fillId="0" borderId="7" xfId="0" applyFont="1" applyBorder="1" applyAlignment="1">
      <alignment horizontal="center" vertical="top" wrapText="1"/>
    </xf>
    <xf numFmtId="0" fontId="26" fillId="0" borderId="8" xfId="0" applyFont="1" applyBorder="1" applyAlignment="1">
      <alignment horizontal="center" vertical="top" wrapText="1"/>
    </xf>
    <xf numFmtId="0" fontId="26" fillId="0" borderId="0" xfId="0" applyFont="1" applyAlignment="1">
      <alignment horizontal="center" vertical="top" wrapText="1"/>
    </xf>
    <xf numFmtId="0" fontId="26" fillId="0" borderId="12" xfId="0" applyFont="1" applyBorder="1" applyAlignment="1">
      <alignment horizontal="center" vertical="top" wrapText="1"/>
    </xf>
    <xf numFmtId="0" fontId="26" fillId="0" borderId="9" xfId="0" applyFont="1" applyBorder="1" applyAlignment="1">
      <alignment horizontal="center" vertical="top" wrapText="1"/>
    </xf>
    <xf numFmtId="0" fontId="26" fillId="0" borderId="6" xfId="0" applyFont="1" applyBorder="1" applyAlignment="1">
      <alignment horizontal="center" vertical="top" wrapText="1"/>
    </xf>
    <xf numFmtId="0" fontId="26" fillId="0" borderId="10" xfId="0" applyFont="1" applyBorder="1" applyAlignment="1">
      <alignment horizontal="center" vertical="top" wrapText="1"/>
    </xf>
    <xf numFmtId="0" fontId="26" fillId="45" borderId="3" xfId="0" applyFont="1" applyFill="1" applyBorder="1" applyAlignment="1">
      <alignment horizontal="center"/>
    </xf>
    <xf numFmtId="0" fontId="26" fillId="45" borderId="4" xfId="0" applyFont="1" applyFill="1" applyBorder="1" applyAlignment="1">
      <alignment horizontal="center"/>
    </xf>
    <xf numFmtId="0" fontId="26" fillId="45" borderId="5" xfId="0" applyFont="1" applyFill="1" applyBorder="1" applyAlignment="1">
      <alignment horizontal="center"/>
    </xf>
    <xf numFmtId="0" fontId="17" fillId="0" borderId="11" xfId="543" applyBorder="1" applyAlignment="1">
      <alignment horizontal="center"/>
    </xf>
    <xf numFmtId="0" fontId="26" fillId="0" borderId="3" xfId="0" applyFont="1" applyBorder="1" applyAlignment="1">
      <alignment horizontal="center"/>
    </xf>
    <xf numFmtId="0" fontId="26" fillId="0" borderId="4" xfId="0" applyFont="1" applyBorder="1" applyAlignment="1">
      <alignment horizontal="center"/>
    </xf>
    <xf numFmtId="0" fontId="26" fillId="0" borderId="5" xfId="0" applyFont="1" applyBorder="1" applyAlignment="1">
      <alignment horizontal="center"/>
    </xf>
    <xf numFmtId="0" fontId="40" fillId="0" borderId="3" xfId="0" applyFont="1" applyBorder="1" applyAlignment="1">
      <alignment horizontal="center"/>
    </xf>
    <xf numFmtId="0" fontId="40" fillId="0" borderId="4" xfId="0" applyFont="1" applyBorder="1" applyAlignment="1">
      <alignment horizontal="center"/>
    </xf>
    <xf numFmtId="0" fontId="40" fillId="0" borderId="5" xfId="0" applyFont="1" applyBorder="1" applyAlignment="1">
      <alignment horizontal="center"/>
    </xf>
    <xf numFmtId="0" fontId="17" fillId="0" borderId="3" xfId="0" applyFont="1" applyBorder="1" applyAlignment="1">
      <alignment horizontal="center"/>
    </xf>
    <xf numFmtId="0" fontId="17" fillId="0" borderId="4" xfId="0" applyFont="1" applyBorder="1" applyAlignment="1">
      <alignment horizontal="center"/>
    </xf>
    <xf numFmtId="0" fontId="17" fillId="0" borderId="5" xfId="0" applyFont="1" applyBorder="1" applyAlignment="1">
      <alignment horizontal="center"/>
    </xf>
    <xf numFmtId="0" fontId="25" fillId="5" borderId="3" xfId="0" applyFont="1" applyFill="1" applyBorder="1" applyAlignment="1" applyProtection="1">
      <alignment horizontal="center"/>
      <protection locked="0"/>
    </xf>
    <xf numFmtId="0" fontId="25" fillId="5" borderId="4" xfId="0" applyFont="1" applyFill="1" applyBorder="1" applyAlignment="1" applyProtection="1">
      <alignment horizontal="center"/>
      <protection locked="0"/>
    </xf>
    <xf numFmtId="0" fontId="25" fillId="5" borderId="5" xfId="0" applyFon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0" fontId="25" fillId="5" borderId="3" xfId="543" applyFont="1" applyFill="1" applyBorder="1" applyAlignment="1" applyProtection="1">
      <alignment horizontal="left" vertical="top" wrapText="1"/>
      <protection locked="0"/>
    </xf>
    <xf numFmtId="0" fontId="25" fillId="5" borderId="4" xfId="543" applyFont="1" applyFill="1" applyBorder="1" applyAlignment="1" applyProtection="1">
      <alignment horizontal="left" vertical="top" wrapText="1"/>
      <protection locked="0"/>
    </xf>
    <xf numFmtId="0" fontId="25" fillId="5" borderId="5" xfId="543" applyFont="1" applyFill="1" applyBorder="1" applyAlignment="1" applyProtection="1">
      <alignment horizontal="left" vertical="top" wrapText="1"/>
      <protection locked="0"/>
    </xf>
    <xf numFmtId="0" fontId="17" fillId="2" borderId="3" xfId="543" applyFill="1" applyBorder="1" applyAlignment="1">
      <alignment horizontal="center"/>
    </xf>
    <xf numFmtId="0" fontId="17" fillId="2" borderId="4" xfId="543" applyFill="1" applyBorder="1" applyAlignment="1">
      <alignment horizontal="center"/>
    </xf>
    <xf numFmtId="0" fontId="17" fillId="2" borderId="5" xfId="543" applyFill="1" applyBorder="1" applyAlignment="1">
      <alignment horizontal="center"/>
    </xf>
    <xf numFmtId="0" fontId="24" fillId="0" borderId="8" xfId="543" applyFont="1" applyBorder="1" applyAlignment="1">
      <alignment horizontal="left" vertical="center" wrapText="1"/>
    </xf>
    <xf numFmtId="0" fontId="24" fillId="0" borderId="0" xfId="543" applyFont="1" applyAlignment="1">
      <alignment horizontal="left" vertical="center" wrapText="1"/>
    </xf>
    <xf numFmtId="0" fontId="24" fillId="0" borderId="12" xfId="543" applyFont="1" applyBorder="1" applyAlignment="1">
      <alignment horizontal="left" vertical="center" wrapText="1"/>
    </xf>
    <xf numFmtId="0" fontId="24" fillId="10" borderId="3" xfId="543" applyFont="1" applyFill="1" applyBorder="1" applyAlignment="1">
      <alignment horizontal="center"/>
    </xf>
    <xf numFmtId="0" fontId="24" fillId="10" borderId="4" xfId="543" applyFont="1" applyFill="1" applyBorder="1" applyAlignment="1">
      <alignment horizontal="center"/>
    </xf>
    <xf numFmtId="0" fontId="24" fillId="10" borderId="5" xfId="543" applyFont="1" applyFill="1" applyBorder="1" applyAlignment="1">
      <alignment horizontal="center"/>
    </xf>
    <xf numFmtId="0" fontId="36" fillId="5" borderId="3" xfId="543" applyFont="1" applyFill="1" applyBorder="1" applyAlignment="1" applyProtection="1">
      <alignment horizontal="center" vertical="top"/>
      <protection locked="0"/>
    </xf>
    <xf numFmtId="0" fontId="36" fillId="5" borderId="5" xfId="543" applyFont="1" applyFill="1" applyBorder="1" applyAlignment="1" applyProtection="1">
      <alignment horizontal="center" vertical="top"/>
      <protection locked="0"/>
    </xf>
    <xf numFmtId="0" fontId="36" fillId="5" borderId="3" xfId="543" applyFont="1" applyFill="1" applyBorder="1" applyAlignment="1" applyProtection="1">
      <alignment horizontal="center"/>
      <protection locked="0"/>
    </xf>
    <xf numFmtId="0" fontId="36" fillId="5" borderId="5" xfId="543" applyFont="1" applyFill="1" applyBorder="1" applyAlignment="1" applyProtection="1">
      <alignment horizontal="center"/>
      <protection locked="0"/>
    </xf>
    <xf numFmtId="0" fontId="24" fillId="0" borderId="1" xfId="543" applyFont="1" applyBorder="1" applyAlignment="1">
      <alignment horizontal="left" vertical="center" wrapText="1"/>
    </xf>
    <xf numFmtId="0" fontId="24" fillId="0" borderId="2" xfId="543" applyFont="1" applyBorder="1" applyAlignment="1">
      <alignment horizontal="left" vertical="center" wrapText="1"/>
    </xf>
    <xf numFmtId="0" fontId="24" fillId="0" borderId="7" xfId="543" applyFont="1" applyBorder="1" applyAlignment="1">
      <alignment horizontal="left" vertical="center" wrapText="1"/>
    </xf>
    <xf numFmtId="0" fontId="17" fillId="0" borderId="8" xfId="543" applyBorder="1" applyAlignment="1">
      <alignment horizontal="left" vertical="top" wrapText="1"/>
    </xf>
    <xf numFmtId="0" fontId="17" fillId="0" borderId="0" xfId="543" applyAlignment="1">
      <alignment horizontal="left" vertical="top" wrapText="1"/>
    </xf>
    <xf numFmtId="0" fontId="17" fillId="0" borderId="12" xfId="543" applyBorder="1" applyAlignment="1">
      <alignment horizontal="left" vertical="top" wrapText="1"/>
    </xf>
    <xf numFmtId="0" fontId="17" fillId="0" borderId="9" xfId="543" applyBorder="1" applyAlignment="1">
      <alignment horizontal="left" vertical="top" wrapText="1"/>
    </xf>
    <xf numFmtId="0" fontId="17" fillId="0" borderId="6" xfId="543" applyBorder="1" applyAlignment="1">
      <alignment horizontal="left" vertical="top" wrapText="1"/>
    </xf>
    <xf numFmtId="0" fontId="17" fillId="0" borderId="10" xfId="543" applyBorder="1" applyAlignment="1">
      <alignment horizontal="left" vertical="top" wrapText="1"/>
    </xf>
    <xf numFmtId="0" fontId="44" fillId="0" borderId="8" xfId="543" applyFont="1" applyBorder="1" applyAlignment="1">
      <alignment horizontal="center" vertical="center" wrapText="1"/>
    </xf>
    <xf numFmtId="0" fontId="44" fillId="0" borderId="0" xfId="543" applyFont="1" applyAlignment="1">
      <alignment horizontal="center" vertical="center" wrapText="1"/>
    </xf>
    <xf numFmtId="0" fontId="44" fillId="0" borderId="12" xfId="543" applyFont="1" applyBorder="1" applyAlignment="1">
      <alignment horizontal="center" vertical="center" wrapText="1"/>
    </xf>
    <xf numFmtId="0" fontId="17" fillId="0" borderId="8" xfId="0" applyFont="1" applyBorder="1" applyAlignment="1">
      <alignment horizontal="left" wrapText="1"/>
    </xf>
    <xf numFmtId="0" fontId="17" fillId="0" borderId="12" xfId="0" applyFont="1" applyBorder="1" applyAlignment="1">
      <alignment horizontal="left" wrapText="1"/>
    </xf>
    <xf numFmtId="0" fontId="17" fillId="0" borderId="9" xfId="0" applyFont="1" applyBorder="1" applyAlignment="1">
      <alignment horizontal="left" wrapText="1"/>
    </xf>
    <xf numFmtId="0" fontId="17" fillId="0" borderId="6" xfId="0" applyFont="1" applyBorder="1" applyAlignment="1">
      <alignment horizontal="left" wrapText="1"/>
    </xf>
    <xf numFmtId="0" fontId="17" fillId="0" borderId="10" xfId="0" applyFont="1" applyBorder="1" applyAlignment="1">
      <alignment horizontal="left" wrapText="1"/>
    </xf>
    <xf numFmtId="0" fontId="24" fillId="0" borderId="1" xfId="543" applyFont="1" applyBorder="1" applyAlignment="1">
      <alignment horizontal="left" vertical="top" wrapText="1"/>
    </xf>
    <xf numFmtId="0" fontId="24" fillId="0" borderId="2" xfId="543" applyFont="1" applyBorder="1" applyAlignment="1">
      <alignment horizontal="left" vertical="top" wrapText="1"/>
    </xf>
    <xf numFmtId="0" fontId="24" fillId="0" borderId="7" xfId="543" applyFont="1" applyBorder="1" applyAlignment="1">
      <alignment horizontal="left" vertical="top" wrapText="1"/>
    </xf>
    <xf numFmtId="0" fontId="24" fillId="0" borderId="8" xfId="543" applyFont="1" applyBorder="1" applyAlignment="1">
      <alignment horizontal="left" vertical="top" wrapText="1"/>
    </xf>
    <xf numFmtId="0" fontId="24" fillId="0" borderId="0" xfId="543" applyFont="1" applyAlignment="1">
      <alignment horizontal="left" vertical="top" wrapText="1"/>
    </xf>
    <xf numFmtId="0" fontId="24" fillId="0" borderId="12" xfId="543" applyFont="1" applyBorder="1" applyAlignment="1">
      <alignment horizontal="left" vertical="top" wrapText="1"/>
    </xf>
    <xf numFmtId="0" fontId="152" fillId="0" borderId="8" xfId="543" applyFont="1" applyBorder="1" applyAlignment="1">
      <alignment horizontal="center" vertical="center" wrapText="1"/>
    </xf>
    <xf numFmtId="0" fontId="152" fillId="0" borderId="0" xfId="543" applyFont="1" applyAlignment="1">
      <alignment horizontal="center" vertical="center" wrapText="1"/>
    </xf>
    <xf numFmtId="0" fontId="152" fillId="0" borderId="12" xfId="543" applyFont="1" applyBorder="1" applyAlignment="1">
      <alignment horizontal="center" vertical="center" wrapText="1"/>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4" fontId="36" fillId="5" borderId="3" xfId="0" applyNumberFormat="1" applyFont="1" applyFill="1" applyBorder="1" applyAlignment="1" applyProtection="1">
      <alignment horizontal="left"/>
      <protection locked="0"/>
    </xf>
    <xf numFmtId="164" fontId="36" fillId="5" borderId="4" xfId="0" applyNumberFormat="1" applyFont="1" applyFill="1" applyBorder="1" applyAlignment="1" applyProtection="1">
      <alignment horizontal="left"/>
      <protection locked="0"/>
    </xf>
    <xf numFmtId="164" fontId="36" fillId="5" borderId="5" xfId="0" applyNumberFormat="1" applyFont="1" applyFill="1" applyBorder="1" applyAlignment="1" applyProtection="1">
      <alignment horizontal="left"/>
      <protection locked="0"/>
    </xf>
    <xf numFmtId="0" fontId="17" fillId="0" borderId="8" xfId="543" applyBorder="1" applyAlignment="1">
      <alignment horizontal="left" vertical="center" wrapText="1"/>
    </xf>
    <xf numFmtId="0" fontId="17" fillId="0" borderId="0" xfId="543" applyAlignment="1">
      <alignment horizontal="left" vertical="center" wrapText="1"/>
    </xf>
    <xf numFmtId="0" fontId="17" fillId="0" borderId="12" xfId="543" applyBorder="1" applyAlignment="1">
      <alignment horizontal="left" vertical="center" wrapText="1"/>
    </xf>
    <xf numFmtId="0" fontId="17" fillId="0" borderId="9" xfId="543" applyBorder="1" applyAlignment="1">
      <alignment horizontal="left" vertical="center" wrapText="1"/>
    </xf>
    <xf numFmtId="0" fontId="17" fillId="0" borderId="6" xfId="543" applyBorder="1" applyAlignment="1">
      <alignment horizontal="left" vertical="center" wrapText="1"/>
    </xf>
    <xf numFmtId="0" fontId="17" fillId="0" borderId="10" xfId="543" applyBorder="1" applyAlignment="1">
      <alignment horizontal="left" vertical="center" wrapText="1"/>
    </xf>
    <xf numFmtId="0" fontId="17" fillId="5" borderId="3" xfId="0" applyFont="1" applyFill="1" applyBorder="1" applyAlignment="1" applyProtection="1">
      <alignment horizontal="left"/>
      <protection locked="0"/>
    </xf>
    <xf numFmtId="0" fontId="17" fillId="5" borderId="4" xfId="0" applyFont="1" applyFill="1" applyBorder="1" applyAlignment="1" applyProtection="1">
      <alignment horizontal="left"/>
      <protection locked="0"/>
    </xf>
    <xf numFmtId="0" fontId="17" fillId="5" borderId="5" xfId="0" applyFont="1" applyFill="1" applyBorder="1" applyAlignment="1" applyProtection="1">
      <alignment horizontal="left"/>
      <protection locked="0"/>
    </xf>
    <xf numFmtId="0" fontId="37" fillId="0" borderId="4" xfId="543" applyFont="1" applyBorder="1" applyAlignment="1">
      <alignment horizontal="right" vertical="top" wrapText="1"/>
    </xf>
    <xf numFmtId="0" fontId="37" fillId="0" borderId="5" xfId="543" applyFont="1" applyBorder="1" applyAlignment="1">
      <alignment horizontal="right" vertical="top" wrapText="1"/>
    </xf>
    <xf numFmtId="0" fontId="25" fillId="0" borderId="3" xfId="543" applyFont="1" applyBorder="1" applyAlignment="1">
      <alignment horizontal="center"/>
    </xf>
    <xf numFmtId="0" fontId="25" fillId="0" borderId="5" xfId="543" applyFont="1" applyBorder="1" applyAlignment="1">
      <alignment horizontal="center"/>
    </xf>
    <xf numFmtId="1" fontId="25" fillId="0" borderId="3" xfId="543" applyNumberFormat="1" applyFont="1" applyBorder="1" applyAlignment="1">
      <alignment horizontal="center"/>
    </xf>
    <xf numFmtId="1" fontId="25" fillId="0" borderId="5" xfId="543" applyNumberFormat="1" applyFont="1" applyBorder="1" applyAlignment="1">
      <alignment horizontal="center"/>
    </xf>
    <xf numFmtId="0" fontId="36" fillId="0" borderId="3" xfId="543" applyFont="1" applyBorder="1" applyAlignment="1">
      <alignment horizontal="center"/>
    </xf>
    <xf numFmtId="0" fontId="36" fillId="0" borderId="5" xfId="543" applyFont="1" applyBorder="1" applyAlignment="1">
      <alignment horizontal="center"/>
    </xf>
    <xf numFmtId="0" fontId="37" fillId="0" borderId="1" xfId="543" applyFont="1" applyBorder="1" applyAlignment="1">
      <alignment horizontal="right"/>
    </xf>
    <xf numFmtId="0" fontId="37" fillId="0" borderId="2" xfId="543" applyFont="1" applyBorder="1" applyAlignment="1">
      <alignment horizontal="right"/>
    </xf>
    <xf numFmtId="0" fontId="37" fillId="0" borderId="7" xfId="543" applyFont="1" applyBorder="1" applyAlignment="1">
      <alignment horizontal="right"/>
    </xf>
    <xf numFmtId="168" fontId="24" fillId="0" borderId="3" xfId="543" applyNumberFormat="1" applyFont="1" applyBorder="1" applyAlignment="1">
      <alignment horizontal="center" vertical="center"/>
    </xf>
    <xf numFmtId="168" fontId="24" fillId="0" borderId="4" xfId="543" applyNumberFormat="1" applyFont="1" applyBorder="1" applyAlignment="1">
      <alignment horizontal="center" vertical="center"/>
    </xf>
    <xf numFmtId="168" fontId="24" fillId="0" borderId="5" xfId="543" applyNumberFormat="1" applyFont="1" applyBorder="1" applyAlignment="1">
      <alignment horizontal="center" vertical="center"/>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36" fillId="5" borderId="9" xfId="543" applyFont="1" applyFill="1" applyBorder="1" applyAlignment="1" applyProtection="1">
      <alignment horizontal="center"/>
      <protection locked="0"/>
    </xf>
    <xf numFmtId="0" fontId="36" fillId="5" borderId="10" xfId="543" applyFont="1" applyFill="1" applyBorder="1" applyAlignment="1" applyProtection="1">
      <alignment horizontal="center"/>
      <protection locked="0"/>
    </xf>
    <xf numFmtId="164" fontId="25" fillId="5" borderId="3" xfId="0" applyNumberFormat="1" applyFont="1" applyFill="1" applyBorder="1" applyAlignment="1" applyProtection="1">
      <alignment horizontal="left"/>
      <protection locked="0"/>
    </xf>
    <xf numFmtId="164" fontId="25" fillId="5" borderId="4" xfId="0" applyNumberFormat="1" applyFont="1" applyFill="1" applyBorder="1" applyAlignment="1" applyProtection="1">
      <alignment horizontal="left"/>
      <protection locked="0"/>
    </xf>
    <xf numFmtId="164" fontId="25" fillId="5" borderId="5" xfId="0" applyNumberFormat="1" applyFont="1" applyFill="1" applyBorder="1" applyAlignment="1" applyProtection="1">
      <alignment horizontal="lef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4" fillId="0" borderId="8" xfId="0" applyFont="1" applyBorder="1" applyAlignment="1">
      <alignment horizontal="center" wrapText="1"/>
    </xf>
    <xf numFmtId="0" fontId="24" fillId="0" borderId="0" xfId="0" applyFont="1" applyAlignment="1">
      <alignment horizontal="center" wrapText="1"/>
    </xf>
    <xf numFmtId="0" fontId="24" fillId="0" borderId="12" xfId="0" applyFont="1" applyBorder="1" applyAlignment="1">
      <alignment horizontal="center" wrapText="1"/>
    </xf>
    <xf numFmtId="0" fontId="24" fillId="0" borderId="9" xfId="0" applyFont="1" applyBorder="1" applyAlignment="1">
      <alignment horizontal="center" wrapText="1"/>
    </xf>
    <xf numFmtId="0" fontId="24" fillId="0" borderId="6" xfId="0" applyFont="1" applyBorder="1" applyAlignment="1">
      <alignment horizontal="center" wrapText="1"/>
    </xf>
    <xf numFmtId="0" fontId="24" fillId="0" borderId="10" xfId="0" applyFont="1" applyBorder="1" applyAlignment="1">
      <alignment horizontal="center" wrapText="1"/>
    </xf>
    <xf numFmtId="0" fontId="0" fillId="0" borderId="3" xfId="0" applyBorder="1"/>
    <xf numFmtId="0" fontId="0" fillId="0" borderId="4" xfId="0" applyBorder="1"/>
    <xf numFmtId="0" fontId="0" fillId="0" borderId="5" xfId="0" applyBorder="1"/>
    <xf numFmtId="0" fontId="24" fillId="0" borderId="3" xfId="543" applyFont="1" applyBorder="1" applyAlignment="1">
      <alignment horizontal="right"/>
    </xf>
    <xf numFmtId="0" fontId="24" fillId="0" borderId="4" xfId="543" applyFont="1" applyBorder="1" applyAlignment="1">
      <alignment horizontal="right"/>
    </xf>
    <xf numFmtId="0" fontId="24" fillId="0" borderId="5" xfId="543" applyFont="1" applyBorder="1" applyAlignment="1">
      <alignment horizontal="right"/>
    </xf>
    <xf numFmtId="0" fontId="17" fillId="5" borderId="3" xfId="543" applyFill="1" applyBorder="1" applyAlignment="1" applyProtection="1">
      <alignment horizontal="left" vertical="top" wrapText="1"/>
      <protection locked="0"/>
    </xf>
    <xf numFmtId="0" fontId="26" fillId="5" borderId="4" xfId="543" applyFont="1" applyFill="1" applyBorder="1" applyAlignment="1" applyProtection="1">
      <alignment horizontal="left" vertical="top" wrapText="1"/>
      <protection locked="0"/>
    </xf>
    <xf numFmtId="0" fontId="26" fillId="5" borderId="5" xfId="543" applyFont="1" applyFill="1" applyBorder="1" applyAlignment="1" applyProtection="1">
      <alignment horizontal="left" vertical="top" wrapText="1"/>
      <protection locked="0"/>
    </xf>
    <xf numFmtId="168" fontId="17" fillId="5" borderId="3" xfId="0" applyNumberFormat="1" applyFont="1" applyFill="1" applyBorder="1" applyAlignment="1" applyProtection="1">
      <alignment horizontal="left"/>
      <protection locked="0"/>
    </xf>
    <xf numFmtId="168" fontId="17" fillId="5" borderId="4" xfId="0" applyNumberFormat="1" applyFont="1" applyFill="1" applyBorder="1" applyAlignment="1" applyProtection="1">
      <alignment horizontal="left"/>
      <protection locked="0"/>
    </xf>
    <xf numFmtId="168" fontId="17" fillId="5" borderId="5" xfId="0" applyNumberFormat="1" applyFont="1" applyFill="1" applyBorder="1" applyAlignment="1" applyProtection="1">
      <alignment horizontal="left"/>
      <protection locked="0"/>
    </xf>
    <xf numFmtId="168" fontId="17"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24" fillId="0" borderId="9" xfId="0" applyFont="1" applyBorder="1" applyAlignment="1">
      <alignment horizontal="right"/>
    </xf>
    <xf numFmtId="0" fontId="24" fillId="0" borderId="6" xfId="0" applyFont="1" applyBorder="1" applyAlignment="1">
      <alignment horizontal="right"/>
    </xf>
    <xf numFmtId="0" fontId="24" fillId="0" borderId="10" xfId="0" applyFont="1" applyBorder="1" applyAlignment="1">
      <alignment horizontal="right"/>
    </xf>
    <xf numFmtId="168" fontId="26" fillId="0" borderId="3" xfId="0" applyNumberFormat="1" applyFont="1" applyBorder="1" applyAlignment="1">
      <alignment horizontal="center"/>
    </xf>
    <xf numFmtId="168" fontId="26" fillId="0" borderId="5" xfId="0" applyNumberFormat="1" applyFont="1" applyBorder="1" applyAlignment="1">
      <alignment horizontal="center"/>
    </xf>
    <xf numFmtId="1" fontId="26" fillId="5" borderId="11" xfId="0" applyNumberFormat="1" applyFont="1" applyFill="1" applyBorder="1" applyAlignment="1" applyProtection="1">
      <alignment horizontal="center"/>
      <protection locked="0"/>
    </xf>
    <xf numFmtId="165" fontId="24" fillId="0" borderId="3" xfId="271" applyNumberFormat="1" applyFont="1" applyBorder="1" applyAlignment="1">
      <alignment horizontal="center"/>
    </xf>
    <xf numFmtId="165" fontId="24" fillId="0" borderId="4" xfId="271" applyNumberFormat="1" applyFont="1" applyBorder="1" applyAlignment="1">
      <alignment horizontal="center"/>
    </xf>
    <xf numFmtId="165" fontId="24" fillId="0" borderId="5" xfId="271" applyNumberFormat="1" applyFont="1" applyBorder="1" applyAlignment="1">
      <alignment horizontal="center"/>
    </xf>
    <xf numFmtId="1" fontId="17" fillId="0" borderId="3" xfId="0" applyNumberFormat="1" applyFont="1" applyBorder="1" applyAlignment="1">
      <alignment horizontal="center"/>
    </xf>
    <xf numFmtId="1" fontId="26" fillId="0" borderId="4" xfId="0" applyNumberFormat="1" applyFont="1" applyBorder="1" applyAlignment="1">
      <alignment horizontal="center"/>
    </xf>
    <xf numFmtId="1" fontId="26" fillId="0" borderId="5" xfId="0" applyNumberFormat="1" applyFont="1" applyBorder="1" applyAlignment="1">
      <alignment horizontal="center"/>
    </xf>
    <xf numFmtId="0" fontId="17" fillId="43" borderId="11" xfId="0" applyFont="1" applyFill="1" applyBorder="1" applyAlignment="1" applyProtection="1">
      <alignment horizontal="center"/>
      <protection locked="0"/>
    </xf>
    <xf numFmtId="0" fontId="17"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0" fontId="26" fillId="0" borderId="11" xfId="0" applyFont="1" applyBorder="1" applyAlignment="1">
      <alignment horizontal="center" vertical="top" wrapText="1"/>
    </xf>
    <xf numFmtId="0" fontId="24" fillId="0" borderId="0" xfId="0" applyFont="1" applyAlignment="1">
      <alignment horizontal="center" vertical="center"/>
    </xf>
    <xf numFmtId="0" fontId="26" fillId="5" borderId="6" xfId="271" applyFill="1" applyBorder="1" applyProtection="1">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0" fillId="0" borderId="3" xfId="0" applyBorder="1" applyAlignment="1">
      <alignment horizontal="left"/>
    </xf>
    <xf numFmtId="0" fontId="0" fillId="0" borderId="4" xfId="0" applyBorder="1" applyAlignment="1">
      <alignment horizontal="left"/>
    </xf>
    <xf numFmtId="0" fontId="17" fillId="0" borderId="0" xfId="543" applyAlignment="1">
      <alignment horizontal="center"/>
    </xf>
    <xf numFmtId="2" fontId="17" fillId="0" borderId="0" xfId="543" applyNumberFormat="1" applyAlignment="1">
      <alignment horizont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24" fillId="5" borderId="3" xfId="0" applyFont="1" applyFill="1" applyBorder="1" applyAlignment="1" applyProtection="1">
      <alignment horizontal="right"/>
      <protection locked="0"/>
    </xf>
    <xf numFmtId="0" fontId="24" fillId="5" borderId="4" xfId="0" applyFont="1" applyFill="1" applyBorder="1" applyAlignment="1" applyProtection="1">
      <alignment horizontal="right"/>
      <protection locked="0"/>
    </xf>
    <xf numFmtId="0" fontId="24" fillId="5" borderId="5" xfId="0" applyFont="1" applyFill="1" applyBorder="1" applyAlignment="1" applyProtection="1">
      <alignment horizontal="right"/>
      <protection locked="0"/>
    </xf>
    <xf numFmtId="168" fontId="0" fillId="0" borderId="11" xfId="0" applyNumberFormat="1" applyBorder="1" applyAlignment="1">
      <alignment horizontal="center"/>
    </xf>
    <xf numFmtId="0" fontId="24" fillId="0" borderId="6" xfId="0" applyFont="1" applyBorder="1" applyAlignment="1">
      <alignment horizontal="center"/>
    </xf>
    <xf numFmtId="9" fontId="17" fillId="5" borderId="3" xfId="0" applyNumberFormat="1" applyFont="1" applyFill="1" applyBorder="1" applyAlignment="1" applyProtection="1">
      <alignment horizontal="right"/>
      <protection locked="0"/>
    </xf>
    <xf numFmtId="0" fontId="24" fillId="0" borderId="2" xfId="0" applyFont="1" applyBorder="1" applyAlignment="1">
      <alignment horizontal="right"/>
    </xf>
    <xf numFmtId="0" fontId="24" fillId="0" borderId="7" xfId="0" applyFont="1" applyBorder="1" applyAlignment="1">
      <alignment horizontal="right"/>
    </xf>
    <xf numFmtId="168" fontId="0" fillId="5" borderId="11" xfId="0" applyNumberFormat="1" applyFill="1" applyBorder="1" applyAlignment="1" applyProtection="1">
      <alignment horizontal="center"/>
      <protection locked="0"/>
    </xf>
    <xf numFmtId="0" fontId="24" fillId="0" borderId="1" xfId="0" applyFont="1" applyBorder="1" applyAlignment="1">
      <alignment horizontal="center"/>
    </xf>
    <xf numFmtId="0" fontId="24" fillId="0" borderId="2" xfId="0" applyFont="1" applyBorder="1" applyAlignment="1">
      <alignment horizontal="center"/>
    </xf>
    <xf numFmtId="0" fontId="24" fillId="0" borderId="7" xfId="0" applyFont="1" applyBorder="1" applyAlignment="1">
      <alignment horizontal="center"/>
    </xf>
    <xf numFmtId="168" fontId="0" fillId="0" borderId="11" xfId="0" applyNumberFormat="1" applyBorder="1" applyAlignment="1">
      <alignment horizontal="right"/>
    </xf>
    <xf numFmtId="0" fontId="24" fillId="0" borderId="1" xfId="0" applyFont="1" applyBorder="1" applyAlignment="1">
      <alignment horizontal="center" wrapText="1"/>
    </xf>
    <xf numFmtId="0" fontId="24" fillId="0" borderId="2" xfId="0" applyFont="1" applyBorder="1" applyAlignment="1">
      <alignment horizontal="center" wrapText="1"/>
    </xf>
    <xf numFmtId="0" fontId="17" fillId="0" borderId="3" xfId="0" applyFont="1" applyBorder="1"/>
    <xf numFmtId="0" fontId="17" fillId="0" borderId="4" xfId="0" applyFont="1" applyBorder="1"/>
    <xf numFmtId="0" fontId="17" fillId="0" borderId="5" xfId="0" applyFont="1" applyBorder="1"/>
    <xf numFmtId="168" fontId="0" fillId="5" borderId="11" xfId="0" applyNumberFormat="1" applyFill="1" applyBorder="1" applyProtection="1">
      <protection locked="0"/>
    </xf>
    <xf numFmtId="0" fontId="26" fillId="0" borderId="3" xfId="0" applyFont="1" applyBorder="1" applyAlignment="1">
      <alignment horizontal="left"/>
    </xf>
    <xf numFmtId="0" fontId="24" fillId="0" borderId="11" xfId="0" applyFont="1" applyBorder="1" applyAlignment="1">
      <alignment horizontal="center"/>
    </xf>
    <xf numFmtId="0" fontId="36" fillId="5" borderId="3" xfId="543" applyFont="1" applyFill="1" applyBorder="1" applyAlignment="1">
      <alignment horizontal="center"/>
    </xf>
    <xf numFmtId="0" fontId="36" fillId="5" borderId="4" xfId="543" applyFont="1" applyFill="1" applyBorder="1" applyAlignment="1">
      <alignment horizontal="center"/>
    </xf>
    <xf numFmtId="0" fontId="36" fillId="5" borderId="5" xfId="543" applyFont="1" applyFill="1" applyBorder="1" applyAlignment="1">
      <alignment horizontal="center"/>
    </xf>
    <xf numFmtId="49" fontId="17" fillId="5" borderId="3" xfId="543" applyNumberFormat="1" applyFill="1" applyBorder="1" applyAlignment="1">
      <alignment horizontal="center"/>
    </xf>
    <xf numFmtId="49" fontId="17" fillId="5" borderId="5" xfId="543" applyNumberFormat="1" applyFill="1" applyBorder="1" applyAlignment="1">
      <alignment horizontal="center"/>
    </xf>
    <xf numFmtId="0" fontId="17" fillId="0" borderId="1" xfId="0" applyFont="1" applyBorder="1" applyAlignment="1">
      <alignment horizontal="center" vertical="top" wrapText="1"/>
    </xf>
    <xf numFmtId="171" fontId="17" fillId="0" borderId="0" xfId="543" applyNumberFormat="1" applyAlignment="1">
      <alignment horizontal="center"/>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0" fontId="0" fillId="5" borderId="4" xfId="0" applyNumberFormat="1" applyFill="1" applyBorder="1" applyAlignment="1" applyProtection="1">
      <alignment horizontal="center"/>
      <protection locked="0"/>
    </xf>
    <xf numFmtId="14" fontId="0" fillId="5" borderId="6" xfId="0" applyNumberFormat="1" applyFill="1" applyBorder="1" applyAlignment="1" applyProtection="1">
      <alignment horizontal="center"/>
      <protection locked="0"/>
    </xf>
    <xf numFmtId="0" fontId="24" fillId="0" borderId="1" xfId="0" applyFont="1" applyBorder="1" applyAlignment="1">
      <alignment horizontal="center" vertical="center" wrapText="1"/>
    </xf>
    <xf numFmtId="0" fontId="24" fillId="0" borderId="8" xfId="0" applyFont="1" applyBorder="1" applyAlignment="1">
      <alignment horizontal="center" vertical="center" wrapText="1"/>
    </xf>
    <xf numFmtId="0" fontId="24" fillId="0" borderId="9" xfId="0" applyFont="1" applyBorder="1" applyAlignment="1">
      <alignment horizontal="center" vertical="center" wrapText="1"/>
    </xf>
    <xf numFmtId="168" fontId="26" fillId="5" borderId="6" xfId="0" applyNumberFormat="1" applyFont="1" applyFill="1" applyBorder="1" applyAlignment="1" applyProtection="1">
      <alignment horizontal="right"/>
      <protection locked="0"/>
    </xf>
    <xf numFmtId="168" fontId="26" fillId="5" borderId="4" xfId="0" applyNumberFormat="1" applyFont="1" applyFill="1" applyBorder="1" applyAlignment="1" applyProtection="1">
      <alignment horizontal="right"/>
      <protection locked="0"/>
    </xf>
    <xf numFmtId="0" fontId="17" fillId="5" borderId="4" xfId="0" applyFont="1" applyFill="1" applyBorder="1" applyAlignment="1" applyProtection="1">
      <alignment wrapText="1"/>
      <protection locked="0"/>
    </xf>
    <xf numFmtId="0" fontId="24" fillId="0" borderId="11" xfId="0" applyFont="1" applyBorder="1" applyAlignment="1">
      <alignment horizontal="center" vertical="center"/>
    </xf>
    <xf numFmtId="49" fontId="0" fillId="5" borderId="6" xfId="0" applyNumberFormat="1" applyFill="1" applyBorder="1" applyAlignment="1" applyProtection="1">
      <alignment horizontal="center"/>
      <protection locked="0"/>
    </xf>
    <xf numFmtId="180" fontId="25" fillId="43" borderId="3" xfId="0" applyNumberFormat="1" applyFont="1" applyFill="1" applyBorder="1" applyAlignment="1" applyProtection="1">
      <alignment horizontal="center" vertical="center"/>
      <protection locked="0"/>
    </xf>
    <xf numFmtId="180" fontId="25" fillId="43" borderId="4" xfId="0" applyNumberFormat="1" applyFont="1" applyFill="1" applyBorder="1" applyAlignment="1" applyProtection="1">
      <alignment horizontal="center" vertical="center"/>
      <protection locked="0"/>
    </xf>
    <xf numFmtId="180" fontId="25" fillId="43" borderId="5" xfId="0" applyNumberFormat="1" applyFont="1" applyFill="1" applyBorder="1" applyAlignment="1" applyProtection="1">
      <alignment horizontal="center" vertical="center"/>
      <protection locked="0"/>
    </xf>
    <xf numFmtId="1" fontId="26" fillId="5" borderId="3" xfId="0" applyNumberFormat="1" applyFont="1" applyFill="1" applyBorder="1" applyAlignment="1" applyProtection="1">
      <alignment horizontal="right" vertical="top"/>
      <protection locked="0"/>
    </xf>
    <xf numFmtId="1" fontId="26" fillId="5" borderId="4" xfId="0" applyNumberFormat="1" applyFont="1" applyFill="1" applyBorder="1" applyAlignment="1" applyProtection="1">
      <alignment horizontal="right" vertical="top"/>
      <protection locked="0"/>
    </xf>
    <xf numFmtId="1" fontId="26" fillId="5" borderId="5" xfId="0" applyNumberFormat="1" applyFont="1" applyFill="1" applyBorder="1" applyAlignment="1" applyProtection="1">
      <alignment horizontal="right" vertical="top"/>
      <protection locked="0"/>
    </xf>
    <xf numFmtId="0" fontId="26" fillId="5" borderId="9" xfId="0" applyFont="1" applyFill="1" applyBorder="1" applyAlignment="1" applyProtection="1">
      <alignment horizontal="center"/>
      <protection locked="0"/>
    </xf>
    <xf numFmtId="0" fontId="26" fillId="5" borderId="6" xfId="0" applyFont="1" applyFill="1" applyBorder="1" applyAlignment="1" applyProtection="1">
      <alignment horizontal="center"/>
      <protection locked="0"/>
    </xf>
    <xf numFmtId="0" fontId="0" fillId="0" borderId="12" xfId="0" applyBorder="1" applyAlignment="1">
      <alignment horizontal="center"/>
    </xf>
    <xf numFmtId="0" fontId="26" fillId="5" borderId="4" xfId="0" applyFont="1" applyFill="1" applyBorder="1" applyAlignment="1" applyProtection="1">
      <alignment horizontal="right"/>
      <protection locked="0"/>
    </xf>
    <xf numFmtId="0" fontId="17" fillId="5" borderId="11" xfId="0" applyFont="1" applyFill="1" applyBorder="1" applyAlignment="1" applyProtection="1">
      <alignment horizontal="left" vertical="center" wrapText="1"/>
      <protection locked="0"/>
    </xf>
    <xf numFmtId="0" fontId="17" fillId="5" borderId="11" xfId="0" applyFont="1" applyFill="1" applyBorder="1" applyAlignment="1" applyProtection="1">
      <alignment vertical="center" wrapText="1"/>
      <protection locked="0"/>
    </xf>
    <xf numFmtId="168" fontId="17" fillId="43" borderId="3" xfId="0" applyNumberFormat="1" applyFont="1" applyFill="1" applyBorder="1" applyAlignment="1" applyProtection="1">
      <alignment horizontal="center" vertical="center"/>
      <protection locked="0"/>
    </xf>
    <xf numFmtId="168" fontId="17" fillId="43" borderId="4" xfId="0" applyNumberFormat="1" applyFont="1" applyFill="1" applyBorder="1" applyAlignment="1" applyProtection="1">
      <alignment horizontal="center" vertical="center"/>
      <protection locked="0"/>
    </xf>
    <xf numFmtId="168" fontId="17" fillId="43" borderId="5" xfId="0" applyNumberFormat="1" applyFont="1" applyFill="1" applyBorder="1" applyAlignment="1" applyProtection="1">
      <alignment horizontal="center" vertical="center"/>
      <protection locked="0"/>
    </xf>
    <xf numFmtId="0" fontId="54" fillId="0" borderId="1" xfId="0" applyFont="1" applyBorder="1" applyAlignment="1">
      <alignment horizontal="center" vertical="center" wrapText="1"/>
    </xf>
    <xf numFmtId="0" fontId="54" fillId="0" borderId="2" xfId="0" applyFont="1" applyBorder="1" applyAlignment="1">
      <alignment horizontal="center" vertical="center" wrapText="1"/>
    </xf>
    <xf numFmtId="0" fontId="54" fillId="0" borderId="7" xfId="0" applyFont="1" applyBorder="1" applyAlignment="1">
      <alignment horizontal="center" vertical="center" wrapText="1"/>
    </xf>
    <xf numFmtId="0" fontId="54" fillId="0" borderId="8" xfId="0" applyFont="1" applyBorder="1" applyAlignment="1">
      <alignment horizontal="center" vertical="center" wrapText="1"/>
    </xf>
    <xf numFmtId="0" fontId="54" fillId="0" borderId="0" xfId="0" applyFont="1" applyAlignment="1">
      <alignment horizontal="center" vertical="center" wrapText="1"/>
    </xf>
    <xf numFmtId="0" fontId="54" fillId="0" borderId="12" xfId="0" applyFont="1" applyBorder="1" applyAlignment="1">
      <alignment horizontal="center" vertical="center" wrapText="1"/>
    </xf>
    <xf numFmtId="0" fontId="54" fillId="0" borderId="9" xfId="0" applyFont="1" applyBorder="1" applyAlignment="1">
      <alignment horizontal="center" vertical="center" wrapText="1"/>
    </xf>
    <xf numFmtId="0" fontId="54" fillId="0" borderId="6" xfId="0" applyFont="1" applyBorder="1" applyAlignment="1">
      <alignment horizontal="center" vertical="center" wrapText="1"/>
    </xf>
    <xf numFmtId="0" fontId="54" fillId="0" borderId="10" xfId="0" applyFont="1" applyBorder="1" applyAlignment="1">
      <alignment horizontal="center" vertical="center" wrapText="1"/>
    </xf>
    <xf numFmtId="0" fontId="17" fillId="0" borderId="3" xfId="0" applyFont="1" applyBorder="1" applyAlignment="1">
      <alignment horizontal="left"/>
    </xf>
    <xf numFmtId="0" fontId="17" fillId="0" borderId="4" xfId="0" applyFont="1" applyBorder="1" applyAlignment="1">
      <alignment horizontal="left"/>
    </xf>
    <xf numFmtId="0" fontId="17" fillId="0" borderId="5" xfId="0" applyFont="1" applyBorder="1" applyAlignment="1">
      <alignment horizontal="left"/>
    </xf>
    <xf numFmtId="175" fontId="0" fillId="5" borderId="4" xfId="0" applyNumberFormat="1" applyFill="1" applyBorder="1" applyAlignment="1" applyProtection="1">
      <alignment horizontal="left" vertical="center" wrapText="1"/>
      <protection locked="0"/>
    </xf>
    <xf numFmtId="14" fontId="0" fillId="5" borderId="4" xfId="0" applyNumberFormat="1" applyFill="1" applyBorder="1" applyAlignment="1" applyProtection="1">
      <alignment horizontal="center"/>
      <protection locked="0"/>
    </xf>
    <xf numFmtId="0" fontId="24" fillId="5" borderId="11" xfId="0" applyFont="1" applyFill="1" applyBorder="1" applyAlignment="1" applyProtection="1">
      <alignment horizontal="center"/>
      <protection locked="0"/>
    </xf>
    <xf numFmtId="0" fontId="0" fillId="5" borderId="3" xfId="0" quotePrefix="1" applyFill="1" applyBorder="1" applyAlignment="1" applyProtection="1">
      <alignment horizontal="right"/>
      <protection locked="0"/>
    </xf>
    <xf numFmtId="171" fontId="17" fillId="0" borderId="0" xfId="543" applyNumberFormat="1" applyAlignment="1">
      <alignment horizontal="right"/>
    </xf>
    <xf numFmtId="168" fontId="17" fillId="5" borderId="10" xfId="0" applyNumberFormat="1" applyFont="1" applyFill="1" applyBorder="1" applyAlignment="1" applyProtection="1">
      <alignment horizontal="right"/>
      <protection locked="0"/>
    </xf>
    <xf numFmtId="168" fontId="17" fillId="5" borderId="13" xfId="0" applyNumberFormat="1" applyFont="1" applyFill="1" applyBorder="1" applyAlignment="1" applyProtection="1">
      <alignment horizontal="right"/>
      <protection locked="0"/>
    </xf>
    <xf numFmtId="168" fontId="0" fillId="0" borderId="11" xfId="0" applyNumberFormat="1" applyBorder="1"/>
    <xf numFmtId="0" fontId="17" fillId="5" borderId="3" xfId="0" applyFont="1" applyFill="1" applyBorder="1" applyProtection="1">
      <protection locked="0"/>
    </xf>
    <xf numFmtId="0" fontId="26" fillId="0" borderId="4" xfId="0" applyFont="1" applyBorder="1" applyProtection="1">
      <protection locked="0"/>
    </xf>
    <xf numFmtId="0" fontId="26" fillId="0" borderId="5" xfId="0" applyFont="1" applyBorder="1" applyProtection="1">
      <protection locked="0"/>
    </xf>
    <xf numFmtId="0" fontId="0" fillId="43" borderId="3" xfId="0" applyFill="1" applyBorder="1" applyAlignment="1" applyProtection="1">
      <alignment horizontal="center"/>
      <protection locked="0"/>
    </xf>
    <xf numFmtId="0" fontId="0" fillId="43" borderId="4"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3" fontId="0" fillId="0" borderId="4" xfId="0" applyNumberFormat="1" applyBorder="1" applyAlignment="1">
      <alignment horizontal="right"/>
    </xf>
    <xf numFmtId="3" fontId="0" fillId="0" borderId="5" xfId="0" applyNumberFormat="1" applyBorder="1" applyAlignment="1">
      <alignment horizontal="right"/>
    </xf>
    <xf numFmtId="9" fontId="17" fillId="0" borderId="0" xfId="543" applyNumberFormat="1" applyAlignment="1">
      <alignment horizontal="center" vertical="center"/>
    </xf>
    <xf numFmtId="14" fontId="0" fillId="5" borderId="3" xfId="0" quotePrefix="1" applyNumberFormat="1" applyFill="1" applyBorder="1" applyAlignment="1" applyProtection="1">
      <alignment horizontal="right"/>
      <protection locked="0"/>
    </xf>
    <xf numFmtId="0" fontId="26" fillId="0" borderId="11" xfId="0" applyFont="1" applyBorder="1" applyAlignment="1">
      <alignment horizontal="center"/>
    </xf>
    <xf numFmtId="168" fontId="156" fillId="0" borderId="0" xfId="0" applyNumberFormat="1" applyFont="1" applyAlignment="1">
      <alignment horizontal="center" vertical="center" wrapText="1"/>
    </xf>
    <xf numFmtId="0" fontId="24" fillId="0" borderId="7" xfId="0" applyFont="1" applyBorder="1" applyAlignment="1">
      <alignment horizontal="center" wrapText="1"/>
    </xf>
    <xf numFmtId="172" fontId="24" fillId="0" borderId="11" xfId="0" applyNumberFormat="1" applyFont="1" applyBorder="1" applyAlignment="1">
      <alignment horizontal="center" vertical="center" wrapText="1"/>
    </xf>
    <xf numFmtId="0" fontId="33" fillId="0" borderId="1" xfId="0" applyFont="1" applyBorder="1" applyAlignment="1">
      <alignment horizontal="center" vertical="center" wrapText="1"/>
    </xf>
    <xf numFmtId="0" fontId="33" fillId="0" borderId="2" xfId="0" applyFont="1" applyBorder="1" applyAlignment="1">
      <alignment horizontal="center" vertical="center" wrapText="1"/>
    </xf>
    <xf numFmtId="0" fontId="33" fillId="0" borderId="7" xfId="0" applyFont="1" applyBorder="1" applyAlignment="1">
      <alignment horizontal="center" vertical="center" wrapText="1"/>
    </xf>
    <xf numFmtId="0" fontId="33" fillId="0" borderId="8" xfId="0" applyFont="1" applyBorder="1" applyAlignment="1">
      <alignment horizontal="center" vertical="center" wrapText="1"/>
    </xf>
    <xf numFmtId="0" fontId="33" fillId="0" borderId="0" xfId="0" applyFont="1" applyAlignment="1">
      <alignment horizontal="center" vertical="center" wrapText="1"/>
    </xf>
    <xf numFmtId="0" fontId="33" fillId="0" borderId="12" xfId="0" applyFont="1" applyBorder="1" applyAlignment="1">
      <alignment horizontal="center" vertical="center" wrapText="1"/>
    </xf>
    <xf numFmtId="0" fontId="33" fillId="0" borderId="9" xfId="0" applyFont="1" applyBorder="1" applyAlignment="1">
      <alignment horizontal="center" vertical="center" wrapText="1"/>
    </xf>
    <xf numFmtId="0" fontId="33" fillId="0" borderId="6" xfId="0" applyFont="1" applyBorder="1" applyAlignment="1">
      <alignment horizontal="center" vertical="center" wrapText="1"/>
    </xf>
    <xf numFmtId="0" fontId="33" fillId="0" borderId="10" xfId="0" applyFont="1" applyBorder="1" applyAlignment="1">
      <alignment horizontal="center" vertical="center" wrapText="1"/>
    </xf>
    <xf numFmtId="168" fontId="26" fillId="5" borderId="3" xfId="0" applyNumberFormat="1" applyFont="1" applyFill="1" applyBorder="1" applyAlignment="1" applyProtection="1">
      <alignment horizontal="left" vertical="top"/>
      <protection locked="0"/>
    </xf>
    <xf numFmtId="168" fontId="26" fillId="5" borderId="4" xfId="0" applyNumberFormat="1" applyFont="1" applyFill="1" applyBorder="1" applyAlignment="1" applyProtection="1">
      <alignment horizontal="left" vertical="top"/>
      <protection locked="0"/>
    </xf>
    <xf numFmtId="168" fontId="26" fillId="5" borderId="5" xfId="0" applyNumberFormat="1" applyFont="1" applyFill="1" applyBorder="1" applyAlignment="1" applyProtection="1">
      <alignment horizontal="left" vertical="top"/>
      <protection locked="0"/>
    </xf>
    <xf numFmtId="0" fontId="24" fillId="0" borderId="9" xfId="0" applyFont="1" applyBorder="1" applyAlignment="1">
      <alignment horizontal="center"/>
    </xf>
    <xf numFmtId="168" fontId="53" fillId="0" borderId="2" xfId="0" applyNumberFormat="1" applyFont="1" applyBorder="1" applyAlignment="1">
      <alignment horizontal="left" vertical="top" wrapText="1"/>
    </xf>
    <xf numFmtId="168" fontId="53" fillId="0" borderId="0" xfId="0" applyNumberFormat="1" applyFont="1" applyAlignment="1">
      <alignment horizontal="left" vertical="top" wrapText="1"/>
    </xf>
    <xf numFmtId="0" fontId="0" fillId="0" borderId="6" xfId="0" applyBorder="1" applyAlignment="1">
      <alignment horizontal="center"/>
    </xf>
    <xf numFmtId="0" fontId="0" fillId="0" borderId="10" xfId="0" applyBorder="1" applyAlignment="1">
      <alignment horizontal="center"/>
    </xf>
    <xf numFmtId="0" fontId="17"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168" fontId="26" fillId="0" borderId="3" xfId="0" applyNumberFormat="1" applyFont="1" applyBorder="1" applyAlignment="1">
      <alignment horizontal="left" vertical="top"/>
    </xf>
    <xf numFmtId="168" fontId="26" fillId="0" borderId="4" xfId="0" applyNumberFormat="1" applyFont="1" applyBorder="1" applyAlignment="1">
      <alignment horizontal="left" vertical="top"/>
    </xf>
    <xf numFmtId="168" fontId="26" fillId="0" borderId="5" xfId="0" applyNumberFormat="1" applyFont="1" applyBorder="1" applyAlignment="1">
      <alignment horizontal="left" vertical="top"/>
    </xf>
    <xf numFmtId="10" fontId="26" fillId="5" borderId="4" xfId="0" applyNumberFormat="1" applyFont="1" applyFill="1" applyBorder="1" applyAlignment="1" applyProtection="1">
      <alignment horizontal="right"/>
      <protection locked="0"/>
    </xf>
    <xf numFmtId="0" fontId="25"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65" fontId="26" fillId="5" borderId="3" xfId="0" applyNumberFormat="1" applyFont="1" applyFill="1" applyBorder="1" applyAlignment="1" applyProtection="1">
      <alignment horizontal="center"/>
      <protection locked="0"/>
    </xf>
    <xf numFmtId="165" fontId="26" fillId="5" borderId="4" xfId="0" applyNumberFormat="1" applyFont="1" applyFill="1" applyBorder="1" applyAlignment="1" applyProtection="1">
      <alignment horizontal="center"/>
      <protection locked="0"/>
    </xf>
    <xf numFmtId="165" fontId="26" fillId="5" borderId="5" xfId="0" applyNumberFormat="1" applyFont="1" applyFill="1" applyBorder="1" applyAlignment="1" applyProtection="1">
      <alignment horizontal="center"/>
      <protection locked="0"/>
    </xf>
    <xf numFmtId="0" fontId="26" fillId="5" borderId="11" xfId="0" applyFont="1" applyFill="1" applyBorder="1" applyAlignment="1" applyProtection="1">
      <alignment horizontal="center"/>
      <protection locked="0"/>
    </xf>
    <xf numFmtId="3" fontId="26" fillId="5" borderId="11" xfId="0" applyNumberFormat="1" applyFont="1" applyFill="1" applyBorder="1" applyAlignment="1" applyProtection="1">
      <alignment horizontal="center"/>
      <protection locked="0"/>
    </xf>
    <xf numFmtId="10" fontId="26" fillId="0" borderId="11" xfId="0" applyNumberFormat="1" applyFont="1" applyBorder="1" applyAlignment="1">
      <alignment horizontal="center"/>
    </xf>
    <xf numFmtId="168" fontId="17" fillId="0" borderId="3" xfId="0" applyNumberFormat="1" applyFont="1" applyBorder="1" applyAlignment="1">
      <alignment horizontal="left" vertical="top"/>
    </xf>
    <xf numFmtId="0" fontId="0" fillId="43" borderId="10" xfId="0" applyFill="1" applyBorder="1" applyAlignment="1" applyProtection="1">
      <alignment horizontal="left"/>
      <protection locked="0"/>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24" fillId="0" borderId="3" xfId="0" applyFont="1" applyBorder="1" applyAlignment="1">
      <alignment horizontal="center"/>
    </xf>
    <xf numFmtId="0" fontId="24" fillId="0" borderId="4" xfId="0" applyFont="1" applyBorder="1" applyAlignment="1">
      <alignment horizontal="center"/>
    </xf>
    <xf numFmtId="0" fontId="24" fillId="0" borderId="5" xfId="0" applyFont="1" applyBorder="1" applyAlignment="1">
      <alignment horizontal="center"/>
    </xf>
    <xf numFmtId="0" fontId="17" fillId="0" borderId="3" xfId="271" applyFont="1" applyBorder="1" applyAlignment="1">
      <alignment horizontal="left"/>
    </xf>
    <xf numFmtId="0" fontId="17" fillId="0" borderId="4" xfId="271" applyFont="1" applyBorder="1" applyAlignment="1">
      <alignment horizontal="left"/>
    </xf>
    <xf numFmtId="0" fontId="17" fillId="0" borderId="5" xfId="271" applyFont="1" applyBorder="1" applyAlignment="1">
      <alignment horizontal="left"/>
    </xf>
    <xf numFmtId="166" fontId="17" fillId="5" borderId="6" xfId="0" applyNumberFormat="1" applyFont="1" applyFill="1" applyBorder="1" applyAlignment="1" applyProtection="1">
      <alignment horizontal="left"/>
      <protection locked="0"/>
    </xf>
    <xf numFmtId="166" fontId="26" fillId="5" borderId="6" xfId="271" applyNumberFormat="1" applyFill="1" applyBorder="1" applyAlignment="1" applyProtection="1">
      <alignment horizontal="left"/>
      <protection locked="0"/>
    </xf>
    <xf numFmtId="166" fontId="26" fillId="5" borderId="4" xfId="271"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0" fontId="26" fillId="0" borderId="6" xfId="0" applyFont="1" applyBorder="1" applyAlignment="1">
      <alignment horizontal="left"/>
    </xf>
    <xf numFmtId="0" fontId="17" fillId="5" borderId="6" xfId="244" applyFont="1" applyFill="1" applyBorder="1" applyAlignment="1" applyProtection="1">
      <alignment horizontal="left"/>
      <protection locked="0"/>
    </xf>
    <xf numFmtId="0" fontId="17" fillId="5" borderId="0" xfId="244" applyFont="1" applyFill="1" applyBorder="1" applyAlignment="1" applyProtection="1">
      <alignment horizontal="left"/>
      <protection locked="0"/>
    </xf>
    <xf numFmtId="168" fontId="0" fillId="0" borderId="6" xfId="0" applyNumberFormat="1" applyBorder="1" applyAlignment="1">
      <alignment horizontal="center"/>
    </xf>
    <xf numFmtId="0" fontId="0" fillId="5" borderId="6" xfId="0" applyFill="1" applyBorder="1" applyAlignment="1" applyProtection="1">
      <alignment horizontal="right"/>
      <protection locked="0"/>
    </xf>
    <xf numFmtId="166" fontId="17" fillId="5" borderId="6" xfId="271" applyNumberFormat="1" applyFont="1" applyFill="1" applyBorder="1" applyAlignment="1" applyProtection="1">
      <alignment horizontal="left"/>
      <protection locked="0"/>
    </xf>
    <xf numFmtId="0" fontId="17" fillId="0" borderId="6" xfId="0" applyFont="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26" fillId="0" borderId="6" xfId="0" applyFont="1" applyBorder="1" applyAlignment="1">
      <alignment horizontal="left" wrapText="1"/>
    </xf>
    <xf numFmtId="0" fontId="17" fillId="0" borderId="0" xfId="271" applyFont="1" applyAlignment="1">
      <alignment horizontal="left" vertical="top" wrapText="1"/>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0" fontId="17" fillId="5" borderId="6" xfId="569" applyFill="1" applyBorder="1" applyAlignment="1" applyProtection="1">
      <alignment horizontal="left"/>
      <protection locked="0"/>
    </xf>
    <xf numFmtId="0" fontId="17" fillId="5" borderId="4" xfId="569" applyFill="1" applyBorder="1" applyAlignment="1" applyProtection="1">
      <alignment horizontal="left"/>
      <protection locked="0"/>
    </xf>
    <xf numFmtId="0" fontId="17" fillId="0" borderId="0" xfId="0" applyFont="1" applyAlignment="1" applyProtection="1">
      <alignment horizontal="left"/>
      <protection locked="0"/>
    </xf>
    <xf numFmtId="173" fontId="0" fillId="5" borderId="6" xfId="0" applyNumberFormat="1" applyFill="1" applyBorder="1" applyAlignment="1" applyProtection="1">
      <alignment horizontal="center"/>
      <protection locked="0"/>
    </xf>
    <xf numFmtId="0" fontId="0" fillId="0" borderId="0" xfId="0" applyAlignment="1">
      <alignment wrapText="1"/>
    </xf>
    <xf numFmtId="0" fontId="25" fillId="43" borderId="6" xfId="0" applyFont="1" applyFill="1" applyBorder="1" applyAlignment="1" applyProtection="1">
      <alignment horizontal="left"/>
      <protection locked="0"/>
    </xf>
    <xf numFmtId="0" fontId="153" fillId="0" borderId="0" xfId="0" applyFont="1" applyAlignment="1" applyProtection="1">
      <alignment horizontal="left" vertical="top" wrapText="1"/>
      <protection locked="0"/>
    </xf>
    <xf numFmtId="0" fontId="17" fillId="0" borderId="6" xfId="0" applyFont="1" applyBorder="1" applyAlignment="1" applyProtection="1">
      <alignment horizontal="left"/>
      <protection locked="0"/>
    </xf>
    <xf numFmtId="0" fontId="18" fillId="0" borderId="0" xfId="244" applyFill="1" applyAlignment="1" applyProtection="1">
      <alignment horizontal="left"/>
      <protection locked="0"/>
    </xf>
    <xf numFmtId="168" fontId="17" fillId="0" borderId="6" xfId="0" applyNumberFormat="1" applyFont="1" applyBorder="1" applyAlignment="1">
      <alignment horizontal="center"/>
    </xf>
    <xf numFmtId="0" fontId="17" fillId="5" borderId="0" xfId="0" applyFont="1" applyFill="1" applyAlignment="1" applyProtection="1">
      <alignment horizontal="left" vertical="top" wrapText="1"/>
      <protection locked="0"/>
    </xf>
    <xf numFmtId="0" fontId="0" fillId="5" borderId="0" xfId="0" applyFill="1" applyAlignment="1" applyProtection="1">
      <alignment horizontal="left" vertical="top" wrapText="1"/>
      <protection locked="0"/>
    </xf>
    <xf numFmtId="166" fontId="17" fillId="5" borderId="6" xfId="569" applyNumberFormat="1" applyFill="1" applyBorder="1" applyAlignment="1" applyProtection="1">
      <alignment horizontal="left"/>
      <protection locked="0"/>
    </xf>
    <xf numFmtId="0" fontId="0" fillId="0" borderId="0" xfId="0" applyAlignment="1">
      <alignment vertical="top" wrapText="1"/>
    </xf>
    <xf numFmtId="166" fontId="0" fillId="5" borderId="6" xfId="0" applyNumberFormat="1" applyFill="1" applyBorder="1" applyAlignment="1" applyProtection="1">
      <alignment horizontal="left"/>
      <protection locked="0"/>
    </xf>
    <xf numFmtId="9" fontId="25" fillId="0" borderId="3" xfId="4494" applyFont="1" applyBorder="1" applyAlignment="1" applyProtection="1">
      <alignment horizontal="center"/>
    </xf>
    <xf numFmtId="9" fontId="25" fillId="0" borderId="5" xfId="4494" applyFont="1" applyBorder="1" applyAlignment="1" applyProtection="1">
      <alignment horizontal="center"/>
    </xf>
    <xf numFmtId="0" fontId="0" fillId="5" borderId="6" xfId="0" applyFill="1" applyBorder="1" applyProtection="1">
      <protection locked="0"/>
    </xf>
    <xf numFmtId="0" fontId="26" fillId="0" borderId="4" xfId="0" applyFont="1" applyBorder="1" applyAlignment="1" applyProtection="1">
      <alignment horizontal="left"/>
      <protection locked="0"/>
    </xf>
    <xf numFmtId="0" fontId="17" fillId="43" borderId="6" xfId="0" applyFont="1" applyFill="1" applyBorder="1" applyAlignment="1" applyProtection="1">
      <alignment vertical="center"/>
      <protection locked="0"/>
    </xf>
    <xf numFmtId="0" fontId="26" fillId="43" borderId="6" xfId="0" applyFont="1" applyFill="1" applyBorder="1" applyAlignment="1" applyProtection="1">
      <alignment horizontal="left"/>
      <protection locked="0"/>
    </xf>
    <xf numFmtId="0" fontId="17" fillId="0" borderId="6" xfId="0" applyFont="1" applyBorder="1" applyAlignment="1">
      <alignment horizontal="left"/>
    </xf>
    <xf numFmtId="167" fontId="17" fillId="5" borderId="6" xfId="569" applyNumberFormat="1" applyFill="1" applyBorder="1" applyAlignment="1" applyProtection="1">
      <alignment horizontal="left"/>
      <protection locked="0"/>
    </xf>
    <xf numFmtId="166" fontId="17" fillId="5" borderId="4" xfId="0" applyNumberFormat="1" applyFont="1" applyFill="1" applyBorder="1" applyAlignment="1" applyProtection="1">
      <alignment horizontal="left"/>
      <protection locked="0"/>
    </xf>
    <xf numFmtId="0" fontId="0" fillId="5" borderId="4" xfId="0"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0" fontId="0" fillId="0" borderId="5" xfId="0" applyBorder="1" applyAlignment="1">
      <alignment horizontal="left"/>
    </xf>
    <xf numFmtId="3" fontId="0" fillId="0" borderId="6" xfId="0" applyNumberFormat="1" applyBorder="1" applyAlignment="1">
      <alignment horizontal="right"/>
    </xf>
    <xf numFmtId="0" fontId="17" fillId="43" borderId="4" xfId="0" applyFont="1" applyFill="1" applyBorder="1" applyAlignment="1" applyProtection="1">
      <alignment horizontal="left" wrapText="1"/>
      <protection locked="0"/>
    </xf>
    <xf numFmtId="0" fontId="36" fillId="5" borderId="6" xfId="0" applyFont="1" applyFill="1" applyBorder="1" applyAlignment="1" applyProtection="1">
      <alignment horizontal="left"/>
      <protection locked="0"/>
    </xf>
    <xf numFmtId="168" fontId="0" fillId="43" borderId="6" xfId="0" applyNumberFormat="1" applyFill="1" applyBorder="1" applyAlignment="1" applyProtection="1">
      <alignment horizontal="right"/>
      <protection locked="0"/>
    </xf>
    <xf numFmtId="14" fontId="26" fillId="5" borderId="4" xfId="0" applyNumberFormat="1" applyFont="1" applyFill="1" applyBorder="1" applyAlignment="1" applyProtection="1">
      <alignment horizontal="right"/>
      <protection locked="0"/>
    </xf>
    <xf numFmtId="168" fontId="26" fillId="0" borderId="11" xfId="0" applyNumberFormat="1" applyFont="1" applyBorder="1" applyAlignment="1">
      <alignment horizontal="center"/>
    </xf>
    <xf numFmtId="178" fontId="26" fillId="5" borderId="4" xfId="0" applyNumberFormat="1" applyFont="1" applyFill="1" applyBorder="1" applyAlignment="1" applyProtection="1">
      <alignment horizontal="right"/>
      <protection locked="0"/>
    </xf>
    <xf numFmtId="1" fontId="26" fillId="5" borderId="6" xfId="0" applyNumberFormat="1" applyFont="1" applyFill="1" applyBorder="1" applyAlignment="1" applyProtection="1">
      <alignment horizontal="right"/>
      <protection locked="0"/>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26" fillId="5" borderId="0" xfId="0" applyFont="1" applyFill="1" applyAlignment="1" applyProtection="1">
      <alignment horizontal="left" vertical="top" wrapText="1"/>
      <protection locked="0"/>
    </xf>
    <xf numFmtId="0" fontId="26" fillId="5" borderId="6" xfId="0" applyFont="1" applyFill="1" applyBorder="1" applyAlignment="1" applyProtection="1">
      <alignment horizontal="left" vertical="top" wrapText="1"/>
      <protection locked="0"/>
    </xf>
    <xf numFmtId="0" fontId="0" fillId="0" borderId="6" xfId="0" applyBorder="1" applyAlignment="1" applyProtection="1">
      <alignment horizontal="center"/>
      <protection locked="0"/>
    </xf>
    <xf numFmtId="172"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1" fontId="26" fillId="5" borderId="11" xfId="0" quotePrefix="1" applyNumberFormat="1" applyFont="1" applyFill="1" applyBorder="1" applyAlignment="1" applyProtection="1">
      <alignment horizontal="center"/>
      <protection locked="0"/>
    </xf>
    <xf numFmtId="2" fontId="0" fillId="0" borderId="6" xfId="0" applyNumberFormat="1" applyBorder="1" applyAlignment="1">
      <alignment horizontal="center"/>
    </xf>
    <xf numFmtId="0" fontId="24" fillId="0" borderId="10" xfId="0" applyFont="1" applyBorder="1" applyAlignment="1">
      <alignment horizontal="center"/>
    </xf>
    <xf numFmtId="3" fontId="26" fillId="0" borderId="11" xfId="0" applyNumberFormat="1" applyFont="1" applyBorder="1" applyAlignment="1">
      <alignment horizontal="center"/>
    </xf>
    <xf numFmtId="168" fontId="17" fillId="0" borderId="4" xfId="0" applyNumberFormat="1" applyFont="1" applyBorder="1" applyAlignment="1">
      <alignment horizontal="left" vertical="top"/>
    </xf>
    <xf numFmtId="168" fontId="17" fillId="0" borderId="5" xfId="0" applyNumberFormat="1" applyFont="1" applyBorder="1" applyAlignment="1">
      <alignment horizontal="left" vertical="top"/>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68" fontId="184" fillId="0" borderId="105" xfId="543" applyNumberFormat="1" applyFont="1" applyBorder="1" applyAlignment="1">
      <alignment horizontal="right" vertical="center" wrapText="1"/>
    </xf>
    <xf numFmtId="175" fontId="184" fillId="0" borderId="107" xfId="543" applyNumberFormat="1" applyFont="1" applyBorder="1" applyAlignment="1">
      <alignment horizontal="center" vertical="center" wrapText="1"/>
    </xf>
    <xf numFmtId="175" fontId="184" fillId="0" borderId="108" xfId="543" applyNumberFormat="1" applyFont="1" applyBorder="1" applyAlignment="1">
      <alignment horizontal="center" vertical="center" wrapText="1"/>
    </xf>
    <xf numFmtId="175" fontId="184" fillId="0" borderId="109" xfId="543" applyNumberFormat="1" applyFont="1" applyBorder="1" applyAlignment="1">
      <alignment horizontal="center" vertical="center" wrapText="1"/>
    </xf>
    <xf numFmtId="0" fontId="183"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58" fillId="2" borderId="3" xfId="0" applyFont="1" applyFill="1" applyBorder="1" applyAlignment="1">
      <alignment horizontal="center" vertical="top"/>
    </xf>
    <xf numFmtId="0" fontId="58" fillId="2" borderId="4" xfId="0" applyFont="1" applyFill="1" applyBorder="1" applyAlignment="1">
      <alignment horizontal="center" vertical="top"/>
    </xf>
    <xf numFmtId="0" fontId="58" fillId="2" borderId="5" xfId="0" applyFont="1" applyFill="1" applyBorder="1" applyAlignment="1">
      <alignment horizontal="center" vertical="top"/>
    </xf>
    <xf numFmtId="0" fontId="26" fillId="0" borderId="6" xfId="0" applyFont="1" applyBorder="1" applyAlignment="1">
      <alignment vertical="top" wrapText="1"/>
    </xf>
    <xf numFmtId="177" fontId="26" fillId="5" borderId="6" xfId="0" applyNumberFormat="1" applyFont="1" applyFill="1" applyBorder="1" applyAlignment="1" applyProtection="1">
      <alignment horizontal="left" vertical="top" wrapText="1"/>
      <protection locked="0"/>
    </xf>
    <xf numFmtId="0" fontId="26" fillId="0" borderId="2" xfId="0" applyFont="1" applyBorder="1" applyAlignment="1">
      <alignment vertical="top" wrapText="1"/>
    </xf>
    <xf numFmtId="0" fontId="53" fillId="0" borderId="0" xfId="0" applyFont="1" applyAlignment="1">
      <alignment vertical="top" wrapText="1"/>
    </xf>
    <xf numFmtId="0" fontId="26" fillId="0" borderId="2" xfId="0" applyFont="1" applyBorder="1" applyAlignment="1">
      <alignment horizontal="left" vertical="top" wrapText="1"/>
    </xf>
    <xf numFmtId="0" fontId="54" fillId="0" borderId="0" xfId="0" applyFont="1" applyAlignment="1">
      <alignment vertical="top" wrapText="1"/>
    </xf>
    <xf numFmtId="0" fontId="26" fillId="0" borderId="0" xfId="0" applyFont="1" applyAlignment="1">
      <alignment vertical="top" wrapText="1"/>
    </xf>
    <xf numFmtId="0" fontId="26" fillId="0" borderId="6" xfId="0" applyFont="1" applyBorder="1" applyAlignment="1">
      <alignment horizontal="right" vertical="top" wrapText="1"/>
    </xf>
    <xf numFmtId="0" fontId="54" fillId="0" borderId="0" xfId="569" applyFont="1" applyAlignment="1">
      <alignment vertical="top" wrapText="1"/>
    </xf>
    <xf numFmtId="0" fontId="17" fillId="0" borderId="0" xfId="569" applyAlignment="1">
      <alignment horizontal="right" vertical="top" wrapText="1"/>
    </xf>
    <xf numFmtId="0" fontId="23" fillId="3" borderId="3" xfId="0" applyFont="1" applyFill="1" applyBorder="1" applyAlignment="1">
      <alignment horizontal="left" vertical="top"/>
    </xf>
    <xf numFmtId="0" fontId="23" fillId="3" borderId="4" xfId="0" applyFont="1" applyFill="1" applyBorder="1" applyAlignment="1">
      <alignment horizontal="left" vertical="top"/>
    </xf>
    <xf numFmtId="0" fontId="23" fillId="3" borderId="5" xfId="0" applyFont="1" applyFill="1" applyBorder="1" applyAlignment="1">
      <alignment horizontal="left" vertical="top"/>
    </xf>
    <xf numFmtId="0" fontId="102" fillId="44" borderId="0" xfId="8733" applyFont="1" applyFill="1" applyAlignment="1">
      <alignment horizontal="left"/>
    </xf>
    <xf numFmtId="0" fontId="2" fillId="48" borderId="80" xfId="8733" applyFill="1" applyBorder="1" applyAlignment="1" applyProtection="1">
      <alignment horizontal="left"/>
      <protection locked="0"/>
    </xf>
    <xf numFmtId="0" fontId="2" fillId="48" borderId="79" xfId="8733" applyFill="1" applyBorder="1" applyAlignment="1" applyProtection="1">
      <alignment horizontal="left"/>
      <protection locked="0"/>
    </xf>
    <xf numFmtId="0" fontId="2" fillId="48" borderId="78" xfId="8733" applyFill="1" applyBorder="1" applyAlignment="1" applyProtection="1">
      <alignment horizontal="left"/>
      <protection locked="0"/>
    </xf>
    <xf numFmtId="0" fontId="165" fillId="44" borderId="0" xfId="8733" applyFont="1" applyFill="1" applyAlignment="1">
      <alignment horizontal="left" vertical="top"/>
    </xf>
    <xf numFmtId="0" fontId="102" fillId="44" borderId="0" xfId="8730" applyFont="1" applyFill="1" applyBorder="1" applyAlignment="1">
      <alignment horizontal="left" vertical="top"/>
    </xf>
    <xf numFmtId="14" fontId="2" fillId="48" borderId="80" xfId="8733" applyNumberFormat="1" applyFill="1" applyBorder="1" applyAlignment="1" applyProtection="1">
      <alignment horizontal="center"/>
      <protection locked="0"/>
    </xf>
    <xf numFmtId="14" fontId="2" fillId="48" borderId="79" xfId="8733" applyNumberFormat="1" applyFill="1" applyBorder="1" applyAlignment="1" applyProtection="1">
      <alignment horizontal="center"/>
      <protection locked="0"/>
    </xf>
    <xf numFmtId="14" fontId="2" fillId="48" borderId="78" xfId="8733" applyNumberFormat="1" applyFill="1" applyBorder="1" applyAlignment="1" applyProtection="1">
      <alignment horizontal="center"/>
      <protection locked="0"/>
    </xf>
    <xf numFmtId="0" fontId="166" fillId="47" borderId="0" xfId="8733" applyFont="1" applyFill="1" applyAlignment="1">
      <alignment horizontal="left" vertical="top" wrapText="1"/>
    </xf>
    <xf numFmtId="0" fontId="102" fillId="47" borderId="42" xfId="8733" applyFont="1" applyFill="1" applyBorder="1" applyAlignment="1">
      <alignment horizontal="center"/>
    </xf>
    <xf numFmtId="0" fontId="2" fillId="48" borderId="80" xfId="8733" applyFill="1" applyBorder="1" applyAlignment="1" applyProtection="1">
      <alignment horizontal="center"/>
      <protection locked="0"/>
    </xf>
    <xf numFmtId="0" fontId="2" fillId="48" borderId="79" xfId="8733" applyFill="1" applyBorder="1" applyAlignment="1" applyProtection="1">
      <alignment horizontal="center"/>
      <protection locked="0"/>
    </xf>
    <xf numFmtId="0" fontId="2" fillId="48" borderId="78" xfId="8733" applyFill="1" applyBorder="1" applyAlignment="1" applyProtection="1">
      <alignment horizontal="center"/>
      <protection locked="0"/>
    </xf>
    <xf numFmtId="0" fontId="167" fillId="47" borderId="65" xfId="8733" applyFont="1" applyFill="1" applyBorder="1" applyAlignment="1">
      <alignment horizontal="center"/>
    </xf>
    <xf numFmtId="0" fontId="167" fillId="47" borderId="29" xfId="8733" applyFont="1" applyFill="1" applyBorder="1" applyAlignment="1">
      <alignment horizontal="center"/>
    </xf>
    <xf numFmtId="0" fontId="167" fillId="47" borderId="31" xfId="8733" applyFont="1" applyFill="1" applyBorder="1" applyAlignment="1">
      <alignment horizontal="center"/>
    </xf>
    <xf numFmtId="0" fontId="2" fillId="47" borderId="66" xfId="8733" applyFill="1" applyBorder="1" applyAlignment="1">
      <alignment horizontal="center"/>
    </xf>
    <xf numFmtId="0" fontId="2" fillId="47" borderId="0" xfId="8733" applyFill="1" applyAlignment="1">
      <alignment horizontal="center"/>
    </xf>
    <xf numFmtId="0" fontId="2" fillId="47" borderId="41" xfId="8733" applyFill="1" applyBorder="1" applyAlignment="1">
      <alignment horizontal="center"/>
    </xf>
    <xf numFmtId="0" fontId="166" fillId="47" borderId="66" xfId="8733" applyFont="1" applyFill="1" applyBorder="1" applyAlignment="1">
      <alignment horizontal="center"/>
    </xf>
    <xf numFmtId="0" fontId="166" fillId="47" borderId="0" xfId="8733" applyFont="1" applyFill="1" applyAlignment="1">
      <alignment horizontal="center"/>
    </xf>
    <xf numFmtId="0" fontId="166" fillId="47" borderId="41" xfId="8733" applyFont="1" applyFill="1" applyBorder="1" applyAlignment="1">
      <alignment horizontal="center"/>
    </xf>
    <xf numFmtId="0" fontId="102" fillId="47" borderId="66" xfId="8733" applyFont="1" applyFill="1" applyBorder="1" applyAlignment="1">
      <alignment horizontal="center"/>
    </xf>
    <xf numFmtId="0" fontId="102" fillId="47" borderId="0" xfId="8733" applyFont="1" applyFill="1" applyAlignment="1">
      <alignment horizontal="center"/>
    </xf>
    <xf numFmtId="0" fontId="102" fillId="47" borderId="41" xfId="8733" applyFont="1" applyFill="1" applyBorder="1" applyAlignment="1">
      <alignment horizontal="center"/>
    </xf>
    <xf numFmtId="0" fontId="102" fillId="47" borderId="0" xfId="8733" applyFont="1" applyFill="1" applyAlignment="1">
      <alignment horizontal="left"/>
    </xf>
    <xf numFmtId="0" fontId="168" fillId="50" borderId="3" xfId="698" applyNumberFormat="1" applyFont="1" applyFill="1" applyBorder="1" applyAlignment="1" applyProtection="1">
      <alignment horizontal="center"/>
      <protection locked="0"/>
    </xf>
    <xf numFmtId="0" fontId="168" fillId="50" borderId="4" xfId="698" applyNumberFormat="1" applyFont="1" applyFill="1" applyBorder="1" applyAlignment="1" applyProtection="1">
      <alignment horizontal="center"/>
      <protection locked="0"/>
    </xf>
    <xf numFmtId="0" fontId="168" fillId="50" borderId="81" xfId="698" applyNumberFormat="1" applyFont="1" applyFill="1" applyBorder="1" applyAlignment="1" applyProtection="1">
      <alignment horizontal="center"/>
      <protection locked="0"/>
    </xf>
    <xf numFmtId="43" fontId="166" fillId="49" borderId="72" xfId="698" applyFont="1" applyFill="1" applyBorder="1" applyAlignment="1" applyProtection="1">
      <alignment horizontal="right"/>
      <protection hidden="1"/>
    </xf>
    <xf numFmtId="43" fontId="166" fillId="49" borderId="11" xfId="698" applyFont="1" applyFill="1" applyBorder="1" applyAlignment="1" applyProtection="1">
      <alignment horizontal="right"/>
      <protection hidden="1"/>
    </xf>
    <xf numFmtId="44" fontId="166" fillId="0" borderId="11" xfId="700" applyFont="1" applyBorder="1" applyAlignment="1" applyProtection="1">
      <alignment horizontal="center"/>
      <protection hidden="1"/>
    </xf>
    <xf numFmtId="164" fontId="166" fillId="0" borderId="11" xfId="700" applyNumberFormat="1" applyFont="1" applyBorder="1" applyAlignment="1" applyProtection="1">
      <alignment horizontal="center"/>
      <protection hidden="1"/>
    </xf>
    <xf numFmtId="9" fontId="166" fillId="0" borderId="11" xfId="1022" applyFont="1" applyBorder="1" applyAlignment="1" applyProtection="1">
      <alignment horizontal="center"/>
      <protection hidden="1"/>
    </xf>
    <xf numFmtId="43" fontId="166" fillId="49" borderId="3" xfId="698" applyFont="1" applyFill="1" applyBorder="1" applyAlignment="1" applyProtection="1">
      <alignment horizontal="center"/>
      <protection hidden="1"/>
    </xf>
    <xf numFmtId="43" fontId="166" fillId="49" borderId="4" xfId="698" applyFont="1" applyFill="1" applyBorder="1" applyAlignment="1" applyProtection="1">
      <alignment horizontal="center"/>
      <protection hidden="1"/>
    </xf>
    <xf numFmtId="43" fontId="166" fillId="49" borderId="81" xfId="698" applyFont="1" applyFill="1" applyBorder="1" applyAlignment="1" applyProtection="1">
      <alignment horizontal="center"/>
      <protection hidden="1"/>
    </xf>
    <xf numFmtId="0" fontId="169" fillId="49" borderId="72" xfId="698" applyNumberFormat="1" applyFont="1" applyFill="1" applyBorder="1" applyAlignment="1" applyProtection="1">
      <alignment horizontal="center"/>
      <protection hidden="1"/>
    </xf>
    <xf numFmtId="0" fontId="169" fillId="49" borderId="11" xfId="698" applyNumberFormat="1" applyFont="1" applyFill="1" applyBorder="1" applyAlignment="1" applyProtection="1">
      <alignment horizontal="center"/>
      <protection hidden="1"/>
    </xf>
    <xf numFmtId="0" fontId="169" fillId="48" borderId="11" xfId="0" applyFont="1" applyFill="1" applyBorder="1" applyAlignment="1" applyProtection="1">
      <alignment horizontal="center"/>
      <protection locked="0"/>
    </xf>
    <xf numFmtId="14" fontId="168" fillId="48" borderId="11" xfId="700" applyNumberFormat="1" applyFont="1" applyFill="1" applyBorder="1" applyAlignment="1" applyProtection="1">
      <alignment horizontal="center"/>
      <protection locked="0"/>
    </xf>
    <xf numFmtId="164" fontId="169" fillId="48" borderId="11" xfId="700" applyNumberFormat="1" applyFont="1" applyFill="1" applyBorder="1" applyAlignment="1" applyProtection="1">
      <alignment horizontal="center"/>
      <protection locked="0"/>
    </xf>
    <xf numFmtId="9" fontId="169" fillId="48" borderId="11" xfId="1022" applyFont="1" applyFill="1" applyBorder="1" applyAlignment="1" applyProtection="1">
      <alignment horizontal="center"/>
      <protection locked="0"/>
    </xf>
    <xf numFmtId="44" fontId="168" fillId="48" borderId="11" xfId="700" applyFont="1" applyFill="1" applyBorder="1" applyAlignment="1" applyProtection="1">
      <alignment horizontal="center"/>
      <protection locked="0"/>
    </xf>
    <xf numFmtId="0" fontId="171" fillId="45" borderId="11" xfId="8733" applyFont="1" applyFill="1" applyBorder="1" applyAlignment="1">
      <alignment horizontal="left" wrapText="1"/>
    </xf>
    <xf numFmtId="43" fontId="166" fillId="45" borderId="80" xfId="698" applyFont="1" applyFill="1" applyBorder="1" applyAlignment="1" applyProtection="1">
      <alignment horizontal="center"/>
      <protection hidden="1"/>
    </xf>
    <xf numFmtId="43" fontId="166" fillId="45" borderId="79" xfId="698" applyFont="1" applyFill="1" applyBorder="1" applyAlignment="1" applyProtection="1">
      <alignment horizontal="center"/>
      <protection hidden="1"/>
    </xf>
    <xf numFmtId="43" fontId="166" fillId="45" borderId="78" xfId="698" applyFont="1" applyFill="1" applyBorder="1" applyAlignment="1" applyProtection="1">
      <alignment horizontal="center"/>
      <protection hidden="1"/>
    </xf>
    <xf numFmtId="43" fontId="170" fillId="49" borderId="66" xfId="698" applyFont="1" applyFill="1" applyBorder="1" applyAlignment="1" applyProtection="1">
      <alignment horizontal="center" wrapText="1"/>
      <protection hidden="1"/>
    </xf>
    <xf numFmtId="43" fontId="170" fillId="49" borderId="0" xfId="698" applyFont="1" applyFill="1" applyBorder="1" applyAlignment="1" applyProtection="1">
      <alignment horizontal="center" wrapText="1"/>
      <protection hidden="1"/>
    </xf>
    <xf numFmtId="43" fontId="170" fillId="49" borderId="12" xfId="698" applyFont="1" applyFill="1" applyBorder="1" applyAlignment="1" applyProtection="1">
      <alignment horizontal="center" wrapText="1"/>
      <protection hidden="1"/>
    </xf>
    <xf numFmtId="43" fontId="170" fillId="49" borderId="83" xfId="698" applyFont="1" applyFill="1" applyBorder="1" applyAlignment="1" applyProtection="1">
      <alignment horizontal="center" wrapText="1"/>
      <protection hidden="1"/>
    </xf>
    <xf numFmtId="43" fontId="170" fillId="49" borderId="6" xfId="698" applyFont="1" applyFill="1" applyBorder="1" applyAlignment="1" applyProtection="1">
      <alignment horizontal="center" wrapText="1"/>
      <protection hidden="1"/>
    </xf>
    <xf numFmtId="43" fontId="170" fillId="49" borderId="10" xfId="698" applyFont="1" applyFill="1" applyBorder="1" applyAlignment="1" applyProtection="1">
      <alignment horizontal="center" wrapText="1"/>
      <protection hidden="1"/>
    </xf>
    <xf numFmtId="43" fontId="170" fillId="49" borderId="8" xfId="698" applyFont="1" applyFill="1" applyBorder="1" applyAlignment="1" applyProtection="1">
      <alignment horizontal="center" wrapText="1"/>
      <protection hidden="1"/>
    </xf>
    <xf numFmtId="43" fontId="170" fillId="49" borderId="9" xfId="698" applyFont="1" applyFill="1" applyBorder="1" applyAlignment="1" applyProtection="1">
      <alignment horizontal="center" wrapText="1"/>
      <protection hidden="1"/>
    </xf>
    <xf numFmtId="14" fontId="170" fillId="0" borderId="8" xfId="700" applyNumberFormat="1" applyFont="1" applyFill="1" applyBorder="1" applyAlignment="1" applyProtection="1">
      <alignment horizontal="center" wrapText="1"/>
      <protection hidden="1"/>
    </xf>
    <xf numFmtId="14" fontId="170" fillId="0" borderId="0" xfId="700" applyNumberFormat="1" applyFont="1" applyFill="1" applyBorder="1" applyAlignment="1" applyProtection="1">
      <alignment horizontal="center" wrapText="1"/>
      <protection hidden="1"/>
    </xf>
    <xf numFmtId="14" fontId="170" fillId="0" borderId="12" xfId="700" applyNumberFormat="1" applyFont="1" applyFill="1" applyBorder="1" applyAlignment="1" applyProtection="1">
      <alignment horizontal="center" wrapText="1"/>
      <protection hidden="1"/>
    </xf>
    <xf numFmtId="14" fontId="170" fillId="0" borderId="9" xfId="700" applyNumberFormat="1" applyFont="1" applyFill="1" applyBorder="1" applyAlignment="1" applyProtection="1">
      <alignment horizontal="center" wrapText="1"/>
      <protection hidden="1"/>
    </xf>
    <xf numFmtId="14" fontId="170" fillId="0" borderId="6" xfId="700" applyNumberFormat="1" applyFont="1" applyFill="1" applyBorder="1" applyAlignment="1" applyProtection="1">
      <alignment horizontal="center" wrapText="1"/>
      <protection hidden="1"/>
    </xf>
    <xf numFmtId="14" fontId="170" fillId="0" borderId="10" xfId="700" applyNumberFormat="1" applyFont="1" applyFill="1" applyBorder="1" applyAlignment="1" applyProtection="1">
      <alignment horizontal="center" wrapText="1"/>
      <protection hidden="1"/>
    </xf>
    <xf numFmtId="44" fontId="170" fillId="0" borderId="8" xfId="700" applyFont="1" applyBorder="1" applyAlignment="1" applyProtection="1">
      <alignment horizontal="center" wrapText="1"/>
      <protection hidden="1"/>
    </xf>
    <xf numFmtId="44" fontId="170" fillId="0" borderId="0" xfId="700" applyFont="1" applyBorder="1" applyAlignment="1" applyProtection="1">
      <alignment horizontal="center" wrapText="1"/>
      <protection hidden="1"/>
    </xf>
    <xf numFmtId="44" fontId="170" fillId="0" borderId="12" xfId="700" applyFont="1" applyBorder="1" applyAlignment="1" applyProtection="1">
      <alignment horizontal="center" wrapText="1"/>
      <protection hidden="1"/>
    </xf>
    <xf numFmtId="44" fontId="170" fillId="0" borderId="9" xfId="700" applyFont="1" applyBorder="1" applyAlignment="1" applyProtection="1">
      <alignment horizontal="center" wrapText="1"/>
      <protection hidden="1"/>
    </xf>
    <xf numFmtId="44" fontId="170" fillId="0" borderId="6" xfId="700" applyFont="1" applyBorder="1" applyAlignment="1" applyProtection="1">
      <alignment horizontal="center" wrapText="1"/>
      <protection hidden="1"/>
    </xf>
    <xf numFmtId="44" fontId="170" fillId="0" borderId="10" xfId="700" applyFont="1" applyBorder="1" applyAlignment="1" applyProtection="1">
      <alignment horizontal="center" wrapText="1"/>
      <protection hidden="1"/>
    </xf>
    <xf numFmtId="43" fontId="170" fillId="49" borderId="41" xfId="698" applyFont="1" applyFill="1" applyBorder="1" applyAlignment="1" applyProtection="1">
      <alignment horizontal="center" wrapText="1"/>
      <protection hidden="1"/>
    </xf>
    <xf numFmtId="43" fontId="170" fillId="49" borderId="82" xfId="698" applyFont="1" applyFill="1" applyBorder="1" applyAlignment="1" applyProtection="1">
      <alignment horizontal="center" wrapText="1"/>
      <protection hidden="1"/>
    </xf>
    <xf numFmtId="0" fontId="172" fillId="45" borderId="11" xfId="8733" applyFont="1" applyFill="1" applyBorder="1" applyAlignment="1">
      <alignment horizontal="left"/>
    </xf>
    <xf numFmtId="182" fontId="2" fillId="48" borderId="11" xfId="700" applyNumberFormat="1" applyFont="1" applyFill="1" applyBorder="1" applyAlignment="1" applyProtection="1">
      <alignment horizontal="center"/>
      <protection locked="0"/>
    </xf>
    <xf numFmtId="10" fontId="172" fillId="48" borderId="11" xfId="1022" applyNumberFormat="1" applyFont="1" applyFill="1" applyBorder="1" applyAlignment="1" applyProtection="1">
      <alignment horizontal="center"/>
      <protection locked="0"/>
    </xf>
    <xf numFmtId="182" fontId="2" fillId="0" borderId="13" xfId="8733" applyNumberFormat="1" applyBorder="1" applyAlignment="1">
      <alignment horizontal="center"/>
    </xf>
    <xf numFmtId="0" fontId="2" fillId="0" borderId="13" xfId="8733" applyBorder="1" applyAlignment="1">
      <alignment horizontal="center"/>
    </xf>
    <xf numFmtId="0" fontId="165" fillId="45" borderId="80" xfId="0" applyFont="1" applyFill="1" applyBorder="1" applyAlignment="1" applyProtection="1">
      <alignment horizontal="center" wrapText="1"/>
      <protection hidden="1"/>
    </xf>
    <xf numFmtId="0" fontId="165" fillId="45" borderId="79" xfId="0" applyFont="1" applyFill="1" applyBorder="1" applyAlignment="1" applyProtection="1">
      <alignment horizontal="center" wrapText="1"/>
      <protection hidden="1"/>
    </xf>
    <xf numFmtId="0" fontId="165" fillId="45" borderId="78" xfId="0" applyFont="1" applyFill="1" applyBorder="1" applyAlignment="1" applyProtection="1">
      <alignment horizontal="center" wrapText="1"/>
      <protection hidden="1"/>
    </xf>
    <xf numFmtId="0" fontId="165" fillId="45" borderId="13" xfId="0" applyFont="1" applyFill="1" applyBorder="1" applyAlignment="1" applyProtection="1">
      <alignment horizontal="left" wrapText="1"/>
      <protection hidden="1"/>
    </xf>
    <xf numFmtId="0" fontId="165" fillId="45" borderId="13" xfId="0" applyFont="1" applyFill="1" applyBorder="1" applyAlignment="1" applyProtection="1">
      <alignment horizontal="center" wrapText="1"/>
      <protection hidden="1"/>
    </xf>
    <xf numFmtId="0" fontId="174" fillId="45" borderId="67" xfId="8733" applyFont="1" applyFill="1" applyBorder="1" applyAlignment="1">
      <alignment horizontal="right"/>
    </xf>
    <xf numFmtId="0" fontId="174" fillId="45" borderId="68" xfId="8733" applyFont="1" applyFill="1" applyBorder="1" applyAlignment="1">
      <alignment horizontal="right"/>
    </xf>
    <xf numFmtId="168" fontId="169" fillId="44" borderId="68" xfId="700" applyNumberFormat="1" applyFont="1" applyFill="1" applyBorder="1" applyAlignment="1">
      <alignment horizontal="left"/>
    </xf>
    <xf numFmtId="168" fontId="169" fillId="44" borderId="71" xfId="700" applyNumberFormat="1" applyFont="1" applyFill="1" applyBorder="1" applyAlignment="1">
      <alignment horizontal="left"/>
    </xf>
    <xf numFmtId="0" fontId="171" fillId="48" borderId="66" xfId="8733" applyFont="1" applyFill="1" applyBorder="1" applyAlignment="1">
      <alignment horizontal="left" wrapText="1"/>
    </xf>
    <xf numFmtId="0" fontId="171" fillId="48" borderId="0" xfId="8733" applyFont="1" applyFill="1" applyAlignment="1">
      <alignment horizontal="left" wrapText="1"/>
    </xf>
    <xf numFmtId="0" fontId="171" fillId="48" borderId="41" xfId="8733" applyFont="1" applyFill="1" applyBorder="1" applyAlignment="1">
      <alignment horizontal="left" wrapText="1"/>
    </xf>
    <xf numFmtId="0" fontId="171" fillId="48" borderId="73" xfId="8733" applyFont="1" applyFill="1" applyBorder="1" applyAlignment="1">
      <alignment horizontal="left" wrapText="1"/>
    </xf>
    <xf numFmtId="0" fontId="171" fillId="48" borderId="42" xfId="8733" applyFont="1" applyFill="1" applyBorder="1" applyAlignment="1">
      <alignment horizontal="left" wrapText="1"/>
    </xf>
    <xf numFmtId="0" fontId="171" fillId="48" borderId="44" xfId="8733" applyFont="1" applyFill="1" applyBorder="1" applyAlignment="1">
      <alignment horizontal="left" wrapText="1"/>
    </xf>
    <xf numFmtId="0" fontId="173" fillId="45" borderId="69" xfId="8733" applyFont="1" applyFill="1" applyBorder="1" applyAlignment="1">
      <alignment horizontal="right"/>
    </xf>
    <xf numFmtId="0" fontId="173" fillId="45" borderId="70" xfId="8733" applyFont="1" applyFill="1" applyBorder="1" applyAlignment="1">
      <alignment horizontal="right"/>
    </xf>
    <xf numFmtId="0" fontId="165" fillId="44" borderId="70" xfId="700" applyNumberFormat="1" applyFont="1" applyFill="1" applyBorder="1" applyAlignment="1">
      <alignment horizontal="left"/>
    </xf>
    <xf numFmtId="168" fontId="165" fillId="44" borderId="70" xfId="700" applyNumberFormat="1" applyFont="1" applyFill="1" applyBorder="1" applyAlignment="1">
      <alignment horizontal="left"/>
    </xf>
    <xf numFmtId="168" fontId="165" fillId="44" borderId="77" xfId="700" applyNumberFormat="1" applyFont="1" applyFill="1" applyBorder="1" applyAlignment="1">
      <alignment horizontal="left"/>
    </xf>
    <xf numFmtId="0" fontId="166" fillId="47" borderId="0" xfId="8733" applyFont="1" applyFill="1" applyAlignment="1">
      <alignment horizontal="right"/>
    </xf>
    <xf numFmtId="168" fontId="170" fillId="47" borderId="0" xfId="700" applyNumberFormat="1" applyFont="1" applyFill="1" applyBorder="1" applyAlignment="1" applyProtection="1">
      <alignment horizontal="left"/>
      <protection locked="0"/>
    </xf>
    <xf numFmtId="0" fontId="172" fillId="48" borderId="87" xfId="8733" applyFont="1" applyFill="1" applyBorder="1" applyAlignment="1" applyProtection="1">
      <alignment horizontal="center"/>
      <protection locked="0"/>
    </xf>
    <xf numFmtId="0" fontId="172" fillId="48" borderId="86" xfId="8733" applyFont="1" applyFill="1" applyBorder="1" applyAlignment="1" applyProtection="1">
      <alignment horizontal="center"/>
      <protection locked="0"/>
    </xf>
    <xf numFmtId="0" fontId="174" fillId="48" borderId="70" xfId="8733" applyFont="1" applyFill="1" applyBorder="1" applyAlignment="1" applyProtection="1">
      <alignment horizontal="left"/>
      <protection locked="0"/>
    </xf>
    <xf numFmtId="0" fontId="174" fillId="48" borderId="77" xfId="8733" applyFont="1" applyFill="1" applyBorder="1" applyAlignment="1" applyProtection="1">
      <alignment horizontal="left"/>
      <protection locked="0"/>
    </xf>
    <xf numFmtId="168" fontId="172" fillId="48" borderId="86" xfId="700" applyNumberFormat="1" applyFont="1" applyFill="1" applyBorder="1" applyAlignment="1" applyProtection="1">
      <alignment horizontal="left"/>
      <protection locked="0"/>
    </xf>
    <xf numFmtId="168" fontId="172" fillId="48" borderId="85" xfId="700" applyNumberFormat="1" applyFont="1" applyFill="1" applyBorder="1" applyAlignment="1" applyProtection="1">
      <alignment horizontal="left"/>
      <protection locked="0"/>
    </xf>
    <xf numFmtId="0" fontId="172" fillId="48" borderId="87" xfId="8733" applyFont="1" applyFill="1" applyBorder="1" applyAlignment="1" applyProtection="1">
      <alignment horizontal="left"/>
      <protection locked="0"/>
    </xf>
    <xf numFmtId="0" fontId="172" fillId="48" borderId="86" xfId="8733" applyFont="1" applyFill="1" applyBorder="1" applyAlignment="1" applyProtection="1">
      <alignment horizontal="left"/>
      <protection locked="0"/>
    </xf>
    <xf numFmtId="0" fontId="172" fillId="48" borderId="85" xfId="8733" applyFont="1" applyFill="1" applyBorder="1" applyAlignment="1" applyProtection="1">
      <alignment horizontal="left"/>
      <protection locked="0"/>
    </xf>
    <xf numFmtId="0" fontId="102" fillId="48" borderId="80" xfId="8733" applyFont="1" applyFill="1" applyBorder="1" applyAlignment="1">
      <alignment horizontal="left"/>
    </xf>
    <xf numFmtId="0" fontId="102" fillId="48" borderId="79" xfId="8733" applyFont="1" applyFill="1" applyBorder="1" applyAlignment="1">
      <alignment horizontal="left"/>
    </xf>
    <xf numFmtId="44" fontId="2" fillId="48" borderId="84" xfId="700" applyFont="1" applyFill="1" applyBorder="1" applyAlignment="1" applyProtection="1">
      <alignment horizontal="center"/>
      <protection locked="0"/>
    </xf>
    <xf numFmtId="0" fontId="172" fillId="48" borderId="72" xfId="8733" applyFont="1" applyFill="1" applyBorder="1" applyAlignment="1" applyProtection="1">
      <alignment horizontal="center"/>
      <protection locked="0"/>
    </xf>
    <xf numFmtId="0" fontId="172" fillId="48" borderId="11" xfId="8733" applyFont="1" applyFill="1" applyBorder="1" applyAlignment="1" applyProtection="1">
      <alignment horizontal="center"/>
      <protection locked="0"/>
    </xf>
    <xf numFmtId="0" fontId="174" fillId="48" borderId="11" xfId="8733" applyFont="1" applyFill="1" applyBorder="1" applyAlignment="1" applyProtection="1">
      <alignment horizontal="left"/>
      <protection locked="0"/>
    </xf>
    <xf numFmtId="168" fontId="172" fillId="48" borderId="11" xfId="700" applyNumberFormat="1" applyFont="1" applyFill="1" applyBorder="1" applyAlignment="1" applyProtection="1">
      <alignment horizontal="left"/>
      <protection locked="0"/>
    </xf>
    <xf numFmtId="0" fontId="172" fillId="48" borderId="11" xfId="8733" applyFont="1" applyFill="1" applyBorder="1" applyAlignment="1" applyProtection="1">
      <alignment horizontal="left"/>
      <protection locked="0"/>
    </xf>
    <xf numFmtId="0" fontId="172" fillId="48" borderId="76" xfId="8733" applyFont="1" applyFill="1" applyBorder="1" applyAlignment="1" applyProtection="1">
      <alignment horizontal="left"/>
      <protection locked="0"/>
    </xf>
    <xf numFmtId="0" fontId="2" fillId="48" borderId="1" xfId="8733" applyFill="1" applyBorder="1" applyAlignment="1">
      <alignment horizontal="center"/>
    </xf>
    <xf numFmtId="0" fontId="2" fillId="48" borderId="2" xfId="8733" applyFill="1" applyBorder="1" applyAlignment="1">
      <alignment horizontal="center"/>
    </xf>
    <xf numFmtId="0" fontId="2" fillId="48" borderId="112" xfId="8733" applyFill="1" applyBorder="1" applyAlignment="1">
      <alignment horizontal="center"/>
    </xf>
    <xf numFmtId="0" fontId="174" fillId="48" borderId="72" xfId="8733" applyFont="1" applyFill="1" applyBorder="1" applyAlignment="1" applyProtection="1">
      <alignment horizontal="center"/>
      <protection locked="0"/>
    </xf>
    <xf numFmtId="0" fontId="174" fillId="48" borderId="11" xfId="8733" applyFont="1" applyFill="1" applyBorder="1" applyAlignment="1" applyProtection="1">
      <alignment horizontal="center"/>
      <protection locked="0"/>
    </xf>
    <xf numFmtId="43" fontId="169" fillId="50" borderId="72" xfId="698" applyFont="1" applyFill="1" applyBorder="1" applyAlignment="1" applyProtection="1">
      <alignment horizontal="left" wrapText="1"/>
      <protection hidden="1"/>
    </xf>
    <xf numFmtId="43" fontId="169" fillId="50" borderId="11" xfId="698" applyFont="1" applyFill="1" applyBorder="1" applyAlignment="1" applyProtection="1">
      <alignment horizontal="left" wrapText="1"/>
      <protection hidden="1"/>
    </xf>
    <xf numFmtId="44" fontId="2" fillId="48" borderId="11" xfId="700" applyFont="1" applyFill="1" applyBorder="1" applyAlignment="1" applyProtection="1">
      <alignment horizontal="center"/>
      <protection hidden="1"/>
    </xf>
    <xf numFmtId="43" fontId="166" fillId="50" borderId="111" xfId="698" applyFont="1" applyFill="1" applyBorder="1" applyAlignment="1" applyProtection="1">
      <alignment horizontal="center"/>
      <protection hidden="1"/>
    </xf>
    <xf numFmtId="43" fontId="166" fillId="50" borderId="84" xfId="698" applyFont="1" applyFill="1" applyBorder="1" applyAlignment="1" applyProtection="1">
      <alignment horizontal="center"/>
      <protection hidden="1"/>
    </xf>
    <xf numFmtId="43" fontId="166" fillId="50" borderId="102" xfId="698" applyFont="1" applyFill="1" applyBorder="1" applyAlignment="1" applyProtection="1">
      <alignment horizontal="center"/>
      <protection hidden="1"/>
    </xf>
    <xf numFmtId="0" fontId="172" fillId="45" borderId="72" xfId="8733" applyFont="1" applyFill="1" applyBorder="1" applyAlignment="1">
      <alignment horizontal="right"/>
    </xf>
    <xf numFmtId="0" fontId="172" fillId="45" borderId="11" xfId="8733" applyFont="1" applyFill="1" applyBorder="1" applyAlignment="1">
      <alignment horizontal="right"/>
    </xf>
    <xf numFmtId="43" fontId="169" fillId="50" borderId="98" xfId="698" applyFont="1" applyFill="1" applyBorder="1" applyAlignment="1" applyProtection="1">
      <alignment horizontal="left"/>
      <protection hidden="1"/>
    </xf>
    <xf numFmtId="43" fontId="169" fillId="50" borderId="13" xfId="698" applyFont="1" applyFill="1" applyBorder="1" applyAlignment="1" applyProtection="1">
      <alignment horizontal="left"/>
      <protection hidden="1"/>
    </xf>
    <xf numFmtId="44" fontId="2" fillId="48" borderId="13" xfId="700" applyFont="1" applyFill="1" applyBorder="1" applyAlignment="1" applyProtection="1">
      <alignment horizontal="center"/>
      <protection locked="0"/>
    </xf>
    <xf numFmtId="0" fontId="172" fillId="48" borderId="9" xfId="8733" applyFont="1" applyFill="1" applyBorder="1" applyAlignment="1">
      <alignment horizontal="center"/>
    </xf>
    <xf numFmtId="0" fontId="172" fillId="48" borderId="6" xfId="8733" applyFont="1" applyFill="1" applyBorder="1" applyAlignment="1">
      <alignment horizontal="center"/>
    </xf>
    <xf numFmtId="0" fontId="172" fillId="48" borderId="82" xfId="8733" applyFont="1" applyFill="1" applyBorder="1" applyAlignment="1">
      <alignment horizontal="center"/>
    </xf>
    <xf numFmtId="0" fontId="2" fillId="48" borderId="3" xfId="8733" applyFill="1" applyBorder="1" applyAlignment="1">
      <alignment horizontal="center"/>
    </xf>
    <xf numFmtId="0" fontId="2" fillId="48" borderId="4" xfId="8733" applyFill="1" applyBorder="1" applyAlignment="1">
      <alignment horizontal="center"/>
    </xf>
    <xf numFmtId="0" fontId="2" fillId="48" borderId="81" xfId="8733" applyFill="1" applyBorder="1" applyAlignment="1">
      <alignment horizontal="center"/>
    </xf>
    <xf numFmtId="168" fontId="174" fillId="44" borderId="11" xfId="700" applyNumberFormat="1" applyFont="1" applyFill="1" applyBorder="1" applyAlignment="1">
      <alignment horizontal="left"/>
    </xf>
    <xf numFmtId="0" fontId="102" fillId="45" borderId="65" xfId="8733" applyFont="1" applyFill="1" applyBorder="1" applyAlignment="1">
      <alignment horizontal="left" wrapText="1"/>
    </xf>
    <xf numFmtId="0" fontId="102" fillId="45" borderId="29" xfId="8733" applyFont="1" applyFill="1" applyBorder="1" applyAlignment="1">
      <alignment horizontal="left" wrapText="1"/>
    </xf>
    <xf numFmtId="0" fontId="102" fillId="45" borderId="31" xfId="8733" applyFont="1" applyFill="1" applyBorder="1" applyAlignment="1">
      <alignment horizontal="left" wrapText="1"/>
    </xf>
    <xf numFmtId="0" fontId="102" fillId="45" borderId="73" xfId="8733" applyFont="1" applyFill="1" applyBorder="1" applyAlignment="1">
      <alignment horizontal="left" wrapText="1"/>
    </xf>
    <xf numFmtId="0" fontId="102" fillId="45" borderId="42" xfId="8733" applyFont="1" applyFill="1" applyBorder="1" applyAlignment="1">
      <alignment horizontal="left" wrapText="1"/>
    </xf>
    <xf numFmtId="0" fontId="102" fillId="45" borderId="44" xfId="8733" applyFont="1" applyFill="1" applyBorder="1" applyAlignment="1">
      <alignment horizontal="left" wrapText="1"/>
    </xf>
    <xf numFmtId="43" fontId="169" fillId="50" borderId="72" xfId="698" applyFont="1" applyFill="1" applyBorder="1" applyAlignment="1" applyProtection="1">
      <alignment horizontal="left"/>
      <protection hidden="1"/>
    </xf>
    <xf numFmtId="43" fontId="169" fillId="50" borderId="11" xfId="698" applyFont="1" applyFill="1" applyBorder="1" applyAlignment="1" applyProtection="1">
      <alignment horizontal="left"/>
      <protection hidden="1"/>
    </xf>
    <xf numFmtId="44" fontId="2" fillId="48" borderId="11" xfId="700" applyFont="1" applyFill="1" applyBorder="1" applyAlignment="1" applyProtection="1">
      <alignment horizontal="center"/>
      <protection locked="0"/>
    </xf>
    <xf numFmtId="0" fontId="102" fillId="45" borderId="67" xfId="8733" applyFont="1" applyFill="1" applyBorder="1" applyAlignment="1">
      <alignment horizontal="center"/>
    </xf>
    <xf numFmtId="0" fontId="102" fillId="45" borderId="68" xfId="8733" applyFont="1" applyFill="1" applyBorder="1" applyAlignment="1">
      <alignment horizontal="center"/>
    </xf>
    <xf numFmtId="0" fontId="166" fillId="45" borderId="68" xfId="8733" applyFont="1" applyFill="1" applyBorder="1" applyAlignment="1">
      <alignment horizontal="center"/>
    </xf>
    <xf numFmtId="0" fontId="166" fillId="45" borderId="71" xfId="8733" applyFont="1" applyFill="1" applyBorder="1" applyAlignment="1">
      <alignment horizontal="center"/>
    </xf>
    <xf numFmtId="0" fontId="173" fillId="51" borderId="11" xfId="8733" applyFont="1" applyFill="1" applyBorder="1" applyAlignment="1">
      <alignment horizontal="center"/>
    </xf>
    <xf numFmtId="0" fontId="173" fillId="51" borderId="76" xfId="8733" applyFont="1" applyFill="1" applyBorder="1" applyAlignment="1">
      <alignment horizontal="center"/>
    </xf>
    <xf numFmtId="0" fontId="174" fillId="45" borderId="72" xfId="8733" applyFont="1" applyFill="1" applyBorder="1" applyAlignment="1">
      <alignment horizontal="right"/>
    </xf>
    <xf numFmtId="0" fontId="174" fillId="45" borderId="11" xfId="8733" applyFont="1" applyFill="1" applyBorder="1" applyAlignment="1">
      <alignment horizontal="right"/>
    </xf>
    <xf numFmtId="168" fontId="174" fillId="48" borderId="11" xfId="700" applyNumberFormat="1" applyFont="1" applyFill="1" applyBorder="1" applyAlignment="1" applyProtection="1">
      <alignment horizontal="left"/>
      <protection locked="0"/>
    </xf>
    <xf numFmtId="168" fontId="172" fillId="44" borderId="11" xfId="700" applyNumberFormat="1" applyFont="1" applyFill="1" applyBorder="1" applyAlignment="1" applyProtection="1">
      <alignment horizontal="left"/>
      <protection locked="0"/>
    </xf>
    <xf numFmtId="0" fontId="102" fillId="45" borderId="71" xfId="8733" applyFont="1" applyFill="1" applyBorder="1" applyAlignment="1">
      <alignment horizontal="center"/>
    </xf>
    <xf numFmtId="0" fontId="166" fillId="45" borderId="67" xfId="8733" applyFont="1" applyFill="1" applyBorder="1" applyAlignment="1">
      <alignment horizontal="left"/>
    </xf>
    <xf numFmtId="0" fontId="166" fillId="45" borderId="68" xfId="8733" applyFont="1" applyFill="1" applyBorder="1" applyAlignment="1">
      <alignment horizontal="left"/>
    </xf>
    <xf numFmtId="0" fontId="166" fillId="45" borderId="71" xfId="8733" applyFont="1" applyFill="1" applyBorder="1" applyAlignment="1">
      <alignment horizontal="left"/>
    </xf>
    <xf numFmtId="0" fontId="102" fillId="45" borderId="72" xfId="8733" applyFont="1" applyFill="1" applyBorder="1" applyAlignment="1">
      <alignment horizontal="center"/>
    </xf>
    <xf numFmtId="0" fontId="102" fillId="45" borderId="11" xfId="8733" applyFont="1" applyFill="1" applyBorder="1" applyAlignment="1">
      <alignment horizontal="center"/>
    </xf>
    <xf numFmtId="0" fontId="102" fillId="45" borderId="76" xfId="8733" applyFont="1" applyFill="1" applyBorder="1" applyAlignment="1">
      <alignment horizontal="center"/>
    </xf>
    <xf numFmtId="0" fontId="172" fillId="48" borderId="72" xfId="8733" applyFont="1" applyFill="1" applyBorder="1" applyAlignment="1" applyProtection="1">
      <alignment horizontal="left" vertical="top"/>
      <protection locked="0"/>
    </xf>
    <xf numFmtId="0" fontId="172" fillId="48" borderId="11" xfId="8733" applyFont="1" applyFill="1" applyBorder="1" applyAlignment="1" applyProtection="1">
      <alignment horizontal="left" vertical="top"/>
      <protection locked="0"/>
    </xf>
    <xf numFmtId="0" fontId="172" fillId="48" borderId="76" xfId="8733" applyFont="1" applyFill="1" applyBorder="1" applyAlignment="1" applyProtection="1">
      <alignment horizontal="left" vertical="top"/>
      <protection locked="0"/>
    </xf>
    <xf numFmtId="0" fontId="172" fillId="48" borderId="69" xfId="8733" applyFont="1" applyFill="1" applyBorder="1" applyAlignment="1" applyProtection="1">
      <alignment horizontal="left" vertical="top"/>
      <protection locked="0"/>
    </xf>
    <xf numFmtId="0" fontId="172" fillId="48" borderId="70" xfId="8733" applyFont="1" applyFill="1" applyBorder="1" applyAlignment="1" applyProtection="1">
      <alignment horizontal="left" vertical="top"/>
      <protection locked="0"/>
    </xf>
    <xf numFmtId="0" fontId="172" fillId="48" borderId="77" xfId="8733" applyFont="1" applyFill="1" applyBorder="1" applyAlignment="1" applyProtection="1">
      <alignment horizontal="left" vertical="top"/>
      <protection locked="0"/>
    </xf>
    <xf numFmtId="14" fontId="172" fillId="48" borderId="11" xfId="8733" applyNumberFormat="1" applyFont="1" applyFill="1" applyBorder="1" applyAlignment="1" applyProtection="1">
      <alignment horizontal="center"/>
      <protection locked="0"/>
    </xf>
    <xf numFmtId="14" fontId="172" fillId="48" borderId="76" xfId="8733" applyNumberFormat="1" applyFont="1" applyFill="1" applyBorder="1" applyAlignment="1" applyProtection="1">
      <alignment horizontal="center"/>
      <protection locked="0"/>
    </xf>
    <xf numFmtId="0" fontId="172" fillId="48" borderId="69" xfId="8733" applyFont="1" applyFill="1" applyBorder="1" applyAlignment="1" applyProtection="1">
      <alignment horizontal="center"/>
      <protection locked="0"/>
    </xf>
    <xf numFmtId="0" fontId="172" fillId="48" borderId="70" xfId="8733" applyFont="1" applyFill="1" applyBorder="1" applyAlignment="1" applyProtection="1">
      <alignment horizontal="center"/>
      <protection locked="0"/>
    </xf>
    <xf numFmtId="14" fontId="172" fillId="48" borderId="70" xfId="8733" applyNumberFormat="1" applyFont="1" applyFill="1" applyBorder="1" applyAlignment="1" applyProtection="1">
      <alignment horizontal="center"/>
      <protection locked="0"/>
    </xf>
    <xf numFmtId="14" fontId="172" fillId="48" borderId="77" xfId="8733" applyNumberFormat="1" applyFont="1" applyFill="1" applyBorder="1" applyAlignment="1" applyProtection="1">
      <alignment horizontal="center"/>
      <protection locked="0"/>
    </xf>
    <xf numFmtId="0" fontId="171" fillId="45" borderId="72" xfId="8733" applyFont="1" applyFill="1" applyBorder="1" applyAlignment="1">
      <alignment horizontal="center"/>
    </xf>
    <xf numFmtId="0" fontId="171" fillId="45" borderId="11" xfId="8733" applyFont="1" applyFill="1" applyBorder="1" applyAlignment="1">
      <alignment horizontal="center"/>
    </xf>
    <xf numFmtId="0" fontId="175" fillId="48" borderId="11" xfId="8733" applyFont="1" applyFill="1" applyBorder="1" applyAlignment="1" applyProtection="1">
      <alignment horizontal="left"/>
      <protection locked="0"/>
    </xf>
    <xf numFmtId="14" fontId="174" fillId="48" borderId="11" xfId="8733" applyNumberFormat="1" applyFont="1" applyFill="1" applyBorder="1" applyAlignment="1" applyProtection="1">
      <alignment horizontal="center"/>
      <protection locked="0"/>
    </xf>
    <xf numFmtId="168" fontId="174" fillId="48" borderId="11" xfId="8734" applyNumberFormat="1" applyFont="1" applyFill="1" applyBorder="1" applyAlignment="1" applyProtection="1">
      <alignment horizontal="center"/>
      <protection locked="0"/>
    </xf>
    <xf numFmtId="168" fontId="174" fillId="48" borderId="76" xfId="8734" applyNumberFormat="1" applyFont="1" applyFill="1" applyBorder="1" applyAlignment="1" applyProtection="1">
      <alignment horizontal="center"/>
      <protection locked="0"/>
    </xf>
    <xf numFmtId="0" fontId="171" fillId="45" borderId="69" xfId="8733" applyFont="1" applyFill="1" applyBorder="1" applyAlignment="1">
      <alignment horizontal="center"/>
    </xf>
    <xf numFmtId="0" fontId="171" fillId="45" borderId="70" xfId="8733" applyFont="1" applyFill="1" applyBorder="1" applyAlignment="1">
      <alignment horizontal="center"/>
    </xf>
    <xf numFmtId="0" fontId="175" fillId="48" borderId="70" xfId="8733" applyFont="1" applyFill="1" applyBorder="1" applyAlignment="1" applyProtection="1">
      <alignment horizontal="left"/>
      <protection locked="0"/>
    </xf>
    <xf numFmtId="0" fontId="174" fillId="48" borderId="70" xfId="8733" applyFont="1" applyFill="1" applyBorder="1" applyAlignment="1" applyProtection="1">
      <alignment horizontal="center"/>
      <protection locked="0"/>
    </xf>
    <xf numFmtId="14" fontId="174" fillId="48" borderId="70" xfId="8733" applyNumberFormat="1" applyFont="1" applyFill="1" applyBorder="1" applyAlignment="1" applyProtection="1">
      <alignment horizontal="center"/>
      <protection locked="0"/>
    </xf>
    <xf numFmtId="168" fontId="174" fillId="48" borderId="70" xfId="8734" applyNumberFormat="1" applyFont="1" applyFill="1" applyBorder="1" applyAlignment="1" applyProtection="1">
      <alignment horizontal="center"/>
      <protection locked="0"/>
    </xf>
    <xf numFmtId="168" fontId="174" fillId="48" borderId="77" xfId="8734" applyNumberFormat="1" applyFont="1" applyFill="1" applyBorder="1" applyAlignment="1" applyProtection="1">
      <alignment horizontal="center"/>
      <protection locked="0"/>
    </xf>
    <xf numFmtId="0" fontId="176" fillId="45" borderId="69" xfId="8733" applyFont="1" applyFill="1" applyBorder="1" applyAlignment="1">
      <alignment horizontal="left"/>
    </xf>
    <xf numFmtId="0" fontId="176" fillId="45" borderId="70" xfId="8733" applyFont="1" applyFill="1" applyBorder="1" applyAlignment="1">
      <alignment horizontal="left"/>
    </xf>
    <xf numFmtId="0" fontId="2" fillId="48" borderId="70" xfId="8733" applyFill="1" applyBorder="1" applyAlignment="1" applyProtection="1">
      <alignment horizontal="center"/>
      <protection locked="0"/>
    </xf>
    <xf numFmtId="0" fontId="2" fillId="48" borderId="77" xfId="8733" applyFill="1" applyBorder="1" applyAlignment="1" applyProtection="1">
      <alignment horizontal="center"/>
      <protection locked="0"/>
    </xf>
    <xf numFmtId="0" fontId="166" fillId="45" borderId="67" xfId="8733" applyFont="1" applyFill="1" applyBorder="1" applyAlignment="1">
      <alignment horizontal="center"/>
    </xf>
    <xf numFmtId="0" fontId="165" fillId="45" borderId="11" xfId="8733" applyFont="1" applyFill="1" applyBorder="1" applyAlignment="1">
      <alignment horizontal="center"/>
    </xf>
    <xf numFmtId="0" fontId="176" fillId="45" borderId="72" xfId="8733" applyFont="1" applyFill="1" applyBorder="1" applyAlignment="1">
      <alignment horizontal="left"/>
    </xf>
    <xf numFmtId="0" fontId="176" fillId="45" borderId="11" xfId="8733" applyFont="1" applyFill="1" applyBorder="1" applyAlignment="1">
      <alignment horizontal="left"/>
    </xf>
    <xf numFmtId="0" fontId="2" fillId="48" borderId="11" xfId="8733" applyFill="1" applyBorder="1" applyAlignment="1" applyProtection="1">
      <alignment horizontal="center"/>
      <protection locked="0"/>
    </xf>
    <xf numFmtId="0" fontId="2" fillId="48" borderId="76" xfId="8733" applyFill="1" applyBorder="1" applyAlignment="1" applyProtection="1">
      <alignment horizontal="center"/>
      <protection locked="0"/>
    </xf>
    <xf numFmtId="0" fontId="165" fillId="45" borderId="11" xfId="8733" applyFont="1" applyFill="1" applyBorder="1" applyAlignment="1">
      <alignment horizontal="center" wrapText="1"/>
    </xf>
    <xf numFmtId="0" fontId="165" fillId="45" borderId="76" xfId="8733" applyFont="1" applyFill="1" applyBorder="1" applyAlignment="1">
      <alignment horizontal="center" wrapText="1"/>
    </xf>
    <xf numFmtId="0" fontId="165" fillId="48" borderId="90" xfId="8733" applyFont="1" applyFill="1" applyBorder="1" applyAlignment="1">
      <alignment horizontal="left"/>
    </xf>
    <xf numFmtId="0" fontId="165" fillId="48" borderId="4" xfId="8733" applyFont="1" applyFill="1" applyBorder="1" applyAlignment="1">
      <alignment horizontal="left"/>
    </xf>
    <xf numFmtId="0" fontId="165" fillId="48" borderId="5" xfId="8733" applyFont="1" applyFill="1" applyBorder="1" applyAlignment="1">
      <alignment horizontal="left"/>
    </xf>
    <xf numFmtId="0" fontId="169" fillId="48" borderId="68" xfId="8733" applyFont="1" applyFill="1" applyBorder="1" applyAlignment="1" applyProtection="1">
      <alignment horizontal="left"/>
      <protection locked="0"/>
    </xf>
    <xf numFmtId="0" fontId="169" fillId="48" borderId="71" xfId="8733" applyFont="1" applyFill="1" applyBorder="1" applyAlignment="1" applyProtection="1">
      <alignment horizontal="left"/>
      <protection locked="0"/>
    </xf>
    <xf numFmtId="0" fontId="165" fillId="45" borderId="72" xfId="8733" applyFont="1" applyFill="1" applyBorder="1" applyAlignment="1">
      <alignment horizontal="left"/>
    </xf>
    <xf numFmtId="0" fontId="165" fillId="45" borderId="11" xfId="8733" applyFont="1" applyFill="1" applyBorder="1" applyAlignment="1">
      <alignment horizontal="left"/>
    </xf>
    <xf numFmtId="0" fontId="177" fillId="48" borderId="11" xfId="8733" applyFont="1" applyFill="1" applyBorder="1" applyAlignment="1" applyProtection="1">
      <alignment horizontal="left"/>
      <protection locked="0"/>
    </xf>
    <xf numFmtId="0" fontId="177" fillId="48" borderId="76" xfId="8733" applyFont="1" applyFill="1" applyBorder="1" applyAlignment="1" applyProtection="1">
      <alignment horizontal="left"/>
      <protection locked="0"/>
    </xf>
    <xf numFmtId="0" fontId="174" fillId="48" borderId="72" xfId="8733" applyFont="1" applyFill="1" applyBorder="1" applyAlignment="1" applyProtection="1">
      <alignment horizontal="left" vertical="top"/>
      <protection locked="0"/>
    </xf>
    <xf numFmtId="0" fontId="174" fillId="48" borderId="11" xfId="8733" applyFont="1" applyFill="1" applyBorder="1" applyAlignment="1" applyProtection="1">
      <alignment horizontal="left" vertical="top"/>
      <protection locked="0"/>
    </xf>
    <xf numFmtId="0" fontId="174" fillId="48" borderId="76" xfId="8733" applyFont="1" applyFill="1" applyBorder="1" applyAlignment="1" applyProtection="1">
      <alignment horizontal="left" vertical="top"/>
      <protection locked="0"/>
    </xf>
    <xf numFmtId="0" fontId="174" fillId="48" borderId="69" xfId="8733" applyFont="1" applyFill="1" applyBorder="1" applyAlignment="1" applyProtection="1">
      <alignment horizontal="left" vertical="top"/>
      <protection locked="0"/>
    </xf>
    <xf numFmtId="0" fontId="174" fillId="48" borderId="70" xfId="8733" applyFont="1" applyFill="1" applyBorder="1" applyAlignment="1" applyProtection="1">
      <alignment horizontal="left" vertical="top"/>
      <protection locked="0"/>
    </xf>
    <xf numFmtId="0" fontId="174" fillId="48" borderId="77" xfId="8733" applyFont="1" applyFill="1" applyBorder="1" applyAlignment="1" applyProtection="1">
      <alignment horizontal="left" vertical="top"/>
      <protection locked="0"/>
    </xf>
    <xf numFmtId="0" fontId="165" fillId="45" borderId="67" xfId="8733" applyFont="1" applyFill="1" applyBorder="1" applyAlignment="1">
      <alignment horizontal="left"/>
    </xf>
    <xf numFmtId="0" fontId="165" fillId="45" borderId="68" xfId="8733" applyFont="1" applyFill="1" applyBorder="1" applyAlignment="1">
      <alignment horizontal="left"/>
    </xf>
    <xf numFmtId="0" fontId="169" fillId="48" borderId="3" xfId="8733" applyFont="1" applyFill="1" applyBorder="1" applyAlignment="1" applyProtection="1">
      <alignment horizontal="center"/>
      <protection locked="0"/>
    </xf>
    <xf numFmtId="0" fontId="169" fillId="48" borderId="4" xfId="8733" applyFont="1" applyFill="1" applyBorder="1" applyAlignment="1" applyProtection="1">
      <alignment horizontal="center"/>
      <protection locked="0"/>
    </xf>
    <xf numFmtId="0" fontId="169" fillId="48" borderId="81" xfId="8733" applyFont="1" applyFill="1" applyBorder="1" applyAlignment="1" applyProtection="1">
      <alignment horizontal="center"/>
      <protection locked="0"/>
    </xf>
    <xf numFmtId="0" fontId="166" fillId="45" borderId="93" xfId="8733" applyFont="1" applyFill="1" applyBorder="1" applyAlignment="1">
      <alignment horizontal="center"/>
    </xf>
    <xf numFmtId="0" fontId="166" fillId="45" borderId="92" xfId="8733" applyFont="1" applyFill="1" applyBorder="1" applyAlignment="1">
      <alignment horizontal="center"/>
    </xf>
    <xf numFmtId="0" fontId="166" fillId="45" borderId="91" xfId="8733" applyFont="1" applyFill="1" applyBorder="1" applyAlignment="1">
      <alignment horizontal="center"/>
    </xf>
    <xf numFmtId="0" fontId="173" fillId="45" borderId="11" xfId="8733" applyFont="1" applyFill="1" applyBorder="1" applyAlignment="1">
      <alignment horizontal="center"/>
    </xf>
    <xf numFmtId="0" fontId="179" fillId="45" borderId="11" xfId="8733" applyFont="1" applyFill="1" applyBorder="1" applyAlignment="1">
      <alignment horizontal="left"/>
    </xf>
    <xf numFmtId="0" fontId="179" fillId="45" borderId="76" xfId="8733" applyFont="1" applyFill="1" applyBorder="1" applyAlignment="1">
      <alignment horizontal="left"/>
    </xf>
    <xf numFmtId="0" fontId="2" fillId="51" borderId="70" xfId="8733" applyFill="1" applyBorder="1" applyAlignment="1" applyProtection="1">
      <alignment horizontal="center"/>
      <protection locked="0"/>
    </xf>
    <xf numFmtId="0" fontId="2" fillId="51" borderId="77" xfId="8733" applyFill="1" applyBorder="1" applyAlignment="1" applyProtection="1">
      <alignment horizontal="center"/>
      <protection locked="0"/>
    </xf>
    <xf numFmtId="0" fontId="102" fillId="45" borderId="67" xfId="8733" applyFont="1" applyFill="1" applyBorder="1" applyAlignment="1" applyProtection="1">
      <alignment horizontal="left" vertical="center" wrapText="1"/>
      <protection locked="0"/>
    </xf>
    <xf numFmtId="0" fontId="102" fillId="45" borderId="68" xfId="8733" applyFont="1" applyFill="1" applyBorder="1" applyAlignment="1" applyProtection="1">
      <alignment horizontal="left" vertical="center" wrapText="1"/>
      <protection locked="0"/>
    </xf>
    <xf numFmtId="0" fontId="102" fillId="45" borderId="72" xfId="8733" applyFont="1" applyFill="1" applyBorder="1" applyAlignment="1" applyProtection="1">
      <alignment horizontal="left" vertical="center" wrapText="1"/>
      <protection locked="0"/>
    </xf>
    <xf numFmtId="0" fontId="102" fillId="45" borderId="11" xfId="8733" applyFont="1" applyFill="1" applyBorder="1" applyAlignment="1" applyProtection="1">
      <alignment horizontal="left" vertical="center" wrapText="1"/>
      <protection locked="0"/>
    </xf>
    <xf numFmtId="0" fontId="169" fillId="48" borderId="68" xfId="8733" applyFont="1" applyFill="1" applyBorder="1" applyAlignment="1" applyProtection="1">
      <alignment horizontal="left" vertical="center" wrapText="1"/>
      <protection locked="0"/>
    </xf>
    <xf numFmtId="0" fontId="169" fillId="48" borderId="71" xfId="8733" applyFont="1" applyFill="1" applyBorder="1" applyAlignment="1" applyProtection="1">
      <alignment horizontal="left" vertical="center" wrapText="1"/>
      <protection locked="0"/>
    </xf>
    <xf numFmtId="0" fontId="169" fillId="48" borderId="11" xfId="8733" applyFont="1" applyFill="1" applyBorder="1" applyAlignment="1" applyProtection="1">
      <alignment horizontal="left" vertical="center" wrapText="1"/>
      <protection locked="0"/>
    </xf>
    <xf numFmtId="0" fontId="169" fillId="48" borderId="76" xfId="8733" applyFont="1" applyFill="1" applyBorder="1" applyAlignment="1" applyProtection="1">
      <alignment horizontal="left" vertical="center" wrapText="1"/>
      <protection locked="0"/>
    </xf>
    <xf numFmtId="0" fontId="172" fillId="48" borderId="72" xfId="8733" applyFont="1" applyFill="1" applyBorder="1" applyAlignment="1" applyProtection="1">
      <alignment horizontal="left" vertical="top" wrapText="1"/>
      <protection locked="0"/>
    </xf>
    <xf numFmtId="0" fontId="172" fillId="48" borderId="11" xfId="8733" applyFont="1" applyFill="1" applyBorder="1" applyAlignment="1" applyProtection="1">
      <alignment horizontal="left" vertical="top" wrapText="1"/>
      <protection locked="0"/>
    </xf>
    <xf numFmtId="0" fontId="172" fillId="48" borderId="69" xfId="8733" applyFont="1" applyFill="1" applyBorder="1" applyAlignment="1" applyProtection="1">
      <alignment horizontal="left" vertical="top" wrapText="1"/>
      <protection locked="0"/>
    </xf>
    <xf numFmtId="0" fontId="172" fillId="48" borderId="70" xfId="8733" applyFont="1" applyFill="1" applyBorder="1" applyAlignment="1" applyProtection="1">
      <alignment horizontal="left" vertical="top" wrapText="1"/>
      <protection locked="0"/>
    </xf>
    <xf numFmtId="0" fontId="169" fillId="48" borderId="11" xfId="8733" applyFont="1" applyFill="1" applyBorder="1" applyAlignment="1" applyProtection="1">
      <alignment horizontal="center" vertical="center" wrapText="1"/>
      <protection locked="0"/>
    </xf>
    <xf numFmtId="0" fontId="169" fillId="48" borderId="76" xfId="8733" applyFont="1" applyFill="1" applyBorder="1" applyAlignment="1" applyProtection="1">
      <alignment horizontal="center" vertical="center" wrapText="1"/>
      <protection locked="0"/>
    </xf>
    <xf numFmtId="0" fontId="169" fillId="48" borderId="70" xfId="8733" applyFont="1" applyFill="1" applyBorder="1" applyAlignment="1" applyProtection="1">
      <alignment horizontal="center" vertical="center" wrapText="1"/>
      <protection locked="0"/>
    </xf>
    <xf numFmtId="0" fontId="169" fillId="48" borderId="77" xfId="8733" applyFont="1" applyFill="1" applyBorder="1" applyAlignment="1" applyProtection="1">
      <alignment horizontal="center" vertical="center" wrapText="1"/>
      <protection locked="0"/>
    </xf>
    <xf numFmtId="0" fontId="102" fillId="45" borderId="67" xfId="8733" applyFont="1" applyFill="1" applyBorder="1" applyAlignment="1">
      <alignment horizontal="left" wrapText="1"/>
    </xf>
    <xf numFmtId="0" fontId="102" fillId="45" borderId="68" xfId="8733" applyFont="1" applyFill="1" applyBorder="1" applyAlignment="1">
      <alignment horizontal="left" wrapText="1"/>
    </xf>
    <xf numFmtId="0" fontId="102" fillId="45" borderId="71" xfId="8733" applyFont="1" applyFill="1" applyBorder="1" applyAlignment="1">
      <alignment horizontal="left" wrapText="1"/>
    </xf>
    <xf numFmtId="0" fontId="102" fillId="45" borderId="72" xfId="8733" applyFont="1" applyFill="1" applyBorder="1" applyAlignment="1">
      <alignment horizontal="left" wrapText="1"/>
    </xf>
    <xf numFmtId="0" fontId="102" fillId="45" borderId="11" xfId="8733" applyFont="1" applyFill="1" applyBorder="1" applyAlignment="1">
      <alignment horizontal="left" wrapText="1"/>
    </xf>
    <xf numFmtId="0" fontId="102" fillId="45" borderId="76" xfId="8733" applyFont="1" applyFill="1" applyBorder="1" applyAlignment="1">
      <alignment horizontal="left" wrapText="1"/>
    </xf>
    <xf numFmtId="0" fontId="102" fillId="45" borderId="65" xfId="8733" applyFont="1" applyFill="1" applyBorder="1" applyAlignment="1">
      <alignment horizontal="center"/>
    </xf>
    <xf numFmtId="0" fontId="102" fillId="45" borderId="29" xfId="8733" applyFont="1" applyFill="1" applyBorder="1" applyAlignment="1">
      <alignment horizontal="center"/>
    </xf>
    <xf numFmtId="0" fontId="102" fillId="45" borderId="31" xfId="8733" applyFont="1" applyFill="1" applyBorder="1" applyAlignment="1">
      <alignment horizontal="center"/>
    </xf>
    <xf numFmtId="0" fontId="173" fillId="45" borderId="69" xfId="8733" applyFont="1" applyFill="1" applyBorder="1" applyAlignment="1">
      <alignment horizontal="center"/>
    </xf>
    <xf numFmtId="0" fontId="173" fillId="45" borderId="70" xfId="8733" applyFont="1" applyFill="1" applyBorder="1" applyAlignment="1">
      <alignment horizontal="center"/>
    </xf>
    <xf numFmtId="0" fontId="169" fillId="48" borderId="3" xfId="8733" applyFont="1" applyFill="1" applyBorder="1" applyAlignment="1">
      <alignment horizontal="center"/>
    </xf>
    <xf numFmtId="0" fontId="169" fillId="48" borderId="4" xfId="8733" applyFont="1" applyFill="1" applyBorder="1" applyAlignment="1">
      <alignment horizontal="center"/>
    </xf>
    <xf numFmtId="0" fontId="169" fillId="48" borderId="81" xfId="8733" applyFont="1" applyFill="1" applyBorder="1" applyAlignment="1">
      <alignment horizontal="center"/>
    </xf>
    <xf numFmtId="0" fontId="173" fillId="45" borderId="72" xfId="8733" applyFont="1" applyFill="1" applyBorder="1" applyAlignment="1">
      <alignment horizontal="center"/>
    </xf>
    <xf numFmtId="10" fontId="2" fillId="48" borderId="94" xfId="8733" applyNumberFormat="1" applyFill="1" applyBorder="1" applyAlignment="1" applyProtection="1">
      <alignment horizontal="center"/>
      <protection locked="0"/>
    </xf>
    <xf numFmtId="10" fontId="2" fillId="48" borderId="86" xfId="8733" applyNumberFormat="1" applyFill="1" applyBorder="1" applyAlignment="1" applyProtection="1">
      <alignment horizontal="center"/>
      <protection locked="0"/>
    </xf>
    <xf numFmtId="10" fontId="2" fillId="48" borderId="85" xfId="8733" applyNumberFormat="1" applyFill="1" applyBorder="1" applyAlignment="1" applyProtection="1">
      <alignment horizontal="center"/>
      <protection locked="0"/>
    </xf>
    <xf numFmtId="0" fontId="173" fillId="45" borderId="11" xfId="8733" applyFont="1" applyFill="1" applyBorder="1" applyAlignment="1">
      <alignment horizontal="center" wrapText="1"/>
    </xf>
    <xf numFmtId="0" fontId="165" fillId="45" borderId="76" xfId="8733" applyFont="1" applyFill="1" applyBorder="1" applyAlignment="1">
      <alignment horizontal="center"/>
    </xf>
    <xf numFmtId="0" fontId="169" fillId="48" borderId="68" xfId="8733" applyFont="1" applyFill="1" applyBorder="1" applyAlignment="1" applyProtection="1">
      <alignment horizontal="left" wrapText="1"/>
      <protection locked="0"/>
    </xf>
    <xf numFmtId="0" fontId="169" fillId="48" borderId="71" xfId="8733" applyFont="1" applyFill="1" applyBorder="1" applyAlignment="1" applyProtection="1">
      <alignment horizontal="left" wrapText="1"/>
      <protection locked="0"/>
    </xf>
    <xf numFmtId="0" fontId="169" fillId="48" borderId="11" xfId="8733" applyFont="1" applyFill="1" applyBorder="1" applyAlignment="1" applyProtection="1">
      <alignment horizontal="left" wrapText="1"/>
      <protection locked="0"/>
    </xf>
    <xf numFmtId="0" fontId="169" fillId="48" borderId="76" xfId="8733" applyFont="1" applyFill="1" applyBorder="1" applyAlignment="1" applyProtection="1">
      <alignment horizontal="left" wrapText="1"/>
      <protection locked="0"/>
    </xf>
    <xf numFmtId="0" fontId="2" fillId="48" borderId="9" xfId="8733" applyFill="1" applyBorder="1" applyAlignment="1" applyProtection="1">
      <alignment horizontal="center"/>
      <protection locked="0"/>
    </xf>
    <xf numFmtId="0" fontId="2" fillId="48" borderId="6" xfId="8733" applyFill="1" applyBorder="1" applyAlignment="1" applyProtection="1">
      <alignment horizontal="center"/>
      <protection locked="0"/>
    </xf>
    <xf numFmtId="0" fontId="2" fillId="48" borderId="82" xfId="8733" applyFill="1" applyBorder="1" applyAlignment="1" applyProtection="1">
      <alignment horizontal="center"/>
      <protection locked="0"/>
    </xf>
    <xf numFmtId="0" fontId="173" fillId="45" borderId="97" xfId="8733" applyFont="1" applyFill="1" applyBorder="1" applyAlignment="1">
      <alignment horizontal="left"/>
    </xf>
    <xf numFmtId="0" fontId="173" fillId="45" borderId="2" xfId="8733" applyFont="1" applyFill="1" applyBorder="1" applyAlignment="1">
      <alignment horizontal="left"/>
    </xf>
    <xf numFmtId="0" fontId="173" fillId="45" borderId="7" xfId="8733" applyFont="1" applyFill="1" applyBorder="1" applyAlignment="1">
      <alignment horizontal="left"/>
    </xf>
    <xf numFmtId="10" fontId="2" fillId="0" borderId="94" xfId="8733" applyNumberFormat="1" applyBorder="1" applyAlignment="1">
      <alignment horizontal="center"/>
    </xf>
    <xf numFmtId="10" fontId="2" fillId="0" borderId="86" xfId="8733" applyNumberFormat="1" applyBorder="1" applyAlignment="1">
      <alignment horizontal="center"/>
    </xf>
    <xf numFmtId="10" fontId="2" fillId="0" borderId="85" xfId="8733" applyNumberFormat="1" applyBorder="1" applyAlignment="1">
      <alignment horizontal="center"/>
    </xf>
    <xf numFmtId="0" fontId="173" fillId="45" borderId="73" xfId="8733" applyFont="1" applyFill="1" applyBorder="1" applyAlignment="1">
      <alignment horizontal="left"/>
    </xf>
    <xf numFmtId="0" fontId="173" fillId="45" borderId="42" xfId="8733" applyFont="1" applyFill="1" applyBorder="1" applyAlignment="1">
      <alignment horizontal="left"/>
    </xf>
    <xf numFmtId="0" fontId="173" fillId="45" borderId="96" xfId="8733" applyFont="1" applyFill="1" applyBorder="1" applyAlignment="1">
      <alignment horizontal="left"/>
    </xf>
    <xf numFmtId="0" fontId="102" fillId="45" borderId="67" xfId="8733" applyFont="1" applyFill="1" applyBorder="1" applyAlignment="1">
      <alignment horizontal="center" wrapText="1"/>
    </xf>
    <xf numFmtId="0" fontId="102" fillId="45" borderId="68" xfId="8733" applyFont="1" applyFill="1" applyBorder="1" applyAlignment="1">
      <alignment horizontal="center" wrapText="1"/>
    </xf>
    <xf numFmtId="0" fontId="102" fillId="45" borderId="71" xfId="8733" applyFont="1" applyFill="1" applyBorder="1" applyAlignment="1">
      <alignment horizontal="center" wrapText="1"/>
    </xf>
    <xf numFmtId="0" fontId="174" fillId="48" borderId="72" xfId="8733" applyFont="1" applyFill="1" applyBorder="1" applyAlignment="1" applyProtection="1">
      <alignment horizontal="right"/>
      <protection locked="0"/>
    </xf>
    <xf numFmtId="0" fontId="174" fillId="48" borderId="11" xfId="8733" applyFont="1" applyFill="1" applyBorder="1" applyAlignment="1" applyProtection="1">
      <alignment horizontal="right"/>
      <protection locked="0"/>
    </xf>
    <xf numFmtId="168" fontId="174" fillId="48" borderId="76" xfId="700" applyNumberFormat="1" applyFont="1" applyFill="1" applyBorder="1" applyAlignment="1" applyProtection="1">
      <alignment horizontal="left"/>
      <protection locked="0"/>
    </xf>
    <xf numFmtId="0" fontId="166" fillId="45" borderId="98" xfId="8733" applyFont="1" applyFill="1" applyBorder="1" applyAlignment="1">
      <alignment horizontal="center"/>
    </xf>
    <xf numFmtId="0" fontId="166" fillId="45" borderId="13" xfId="8733" applyFont="1" applyFill="1" applyBorder="1" applyAlignment="1">
      <alignment horizontal="center"/>
    </xf>
    <xf numFmtId="0" fontId="172" fillId="48" borderId="72" xfId="8733" applyFont="1" applyFill="1" applyBorder="1" applyAlignment="1" applyProtection="1">
      <alignment horizontal="right"/>
      <protection locked="0"/>
    </xf>
    <xf numFmtId="0" fontId="172" fillId="48" borderId="11" xfId="8733" applyFont="1" applyFill="1" applyBorder="1" applyAlignment="1" applyProtection="1">
      <alignment horizontal="right"/>
      <protection locked="0"/>
    </xf>
    <xf numFmtId="0" fontId="166" fillId="45" borderId="89" xfId="8733" applyFont="1" applyFill="1" applyBorder="1" applyAlignment="1">
      <alignment horizontal="right"/>
    </xf>
    <xf numFmtId="0" fontId="166" fillId="45" borderId="43" xfId="8733" applyFont="1" applyFill="1" applyBorder="1" applyAlignment="1">
      <alignment horizontal="right"/>
    </xf>
    <xf numFmtId="168" fontId="166" fillId="45" borderId="43" xfId="8733" applyNumberFormat="1" applyFont="1" applyFill="1" applyBorder="1" applyAlignment="1">
      <alignment horizontal="left"/>
    </xf>
    <xf numFmtId="168" fontId="166" fillId="45" borderId="88" xfId="8733" applyNumberFormat="1" applyFont="1" applyFill="1" applyBorder="1" applyAlignment="1">
      <alignment horizontal="left"/>
    </xf>
    <xf numFmtId="0" fontId="172" fillId="48" borderId="68" xfId="8733" applyFont="1" applyFill="1" applyBorder="1" applyAlignment="1" applyProtection="1">
      <alignment horizontal="left"/>
      <protection locked="0"/>
    </xf>
    <xf numFmtId="0" fontId="172" fillId="48" borderId="71" xfId="8733" applyFont="1" applyFill="1" applyBorder="1" applyAlignment="1" applyProtection="1">
      <alignment horizontal="left"/>
      <protection locked="0"/>
    </xf>
    <xf numFmtId="0" fontId="166" fillId="45" borderId="69" xfId="8733" applyFont="1" applyFill="1" applyBorder="1" applyAlignment="1">
      <alignment horizontal="center"/>
    </xf>
    <xf numFmtId="0" fontId="166" fillId="45" borderId="70" xfId="8733" applyFont="1" applyFill="1" applyBorder="1" applyAlignment="1">
      <alignment horizontal="center"/>
    </xf>
    <xf numFmtId="0" fontId="172" fillId="48" borderId="70" xfId="8733" applyFont="1" applyFill="1" applyBorder="1" applyAlignment="1" applyProtection="1">
      <alignment horizontal="left"/>
      <protection locked="0"/>
    </xf>
    <xf numFmtId="0" fontId="172" fillId="48" borderId="77" xfId="8733" applyFont="1" applyFill="1" applyBorder="1" applyAlignment="1" applyProtection="1">
      <alignment horizontal="left"/>
      <protection locked="0"/>
    </xf>
    <xf numFmtId="0" fontId="169" fillId="48" borderId="74" xfId="8733" applyFont="1" applyFill="1" applyBorder="1" applyAlignment="1" applyProtection="1">
      <alignment horizontal="left"/>
      <protection locked="0"/>
    </xf>
    <xf numFmtId="0" fontId="166" fillId="45" borderId="72" xfId="8733" applyFont="1" applyFill="1" applyBorder="1" applyAlignment="1">
      <alignment horizontal="center"/>
    </xf>
    <xf numFmtId="0" fontId="166" fillId="45" borderId="11" xfId="8733" applyFont="1" applyFill="1" applyBorder="1" applyAlignment="1">
      <alignment horizontal="center"/>
    </xf>
    <xf numFmtId="0" fontId="166" fillId="45" borderId="3" xfId="8733" applyFont="1" applyFill="1" applyBorder="1" applyAlignment="1">
      <alignment horizontal="center"/>
    </xf>
    <xf numFmtId="0" fontId="166" fillId="45" borderId="4" xfId="8733" applyFont="1" applyFill="1" applyBorder="1" applyAlignment="1">
      <alignment horizontal="center"/>
    </xf>
    <xf numFmtId="0" fontId="166" fillId="45" borderId="81" xfId="8733" applyFont="1" applyFill="1" applyBorder="1" applyAlignment="1">
      <alignment horizontal="center"/>
    </xf>
    <xf numFmtId="0" fontId="102" fillId="45" borderId="69" xfId="8733" applyFont="1" applyFill="1" applyBorder="1" applyAlignment="1">
      <alignment horizontal="center"/>
    </xf>
    <xf numFmtId="0" fontId="102" fillId="45" borderId="70" xfId="8733" applyFont="1" applyFill="1" applyBorder="1" applyAlignment="1">
      <alignment horizontal="center"/>
    </xf>
    <xf numFmtId="0" fontId="172" fillId="44" borderId="72" xfId="8733" applyFont="1" applyFill="1" applyBorder="1" applyAlignment="1" applyProtection="1">
      <alignment horizontal="right"/>
      <protection locked="0"/>
    </xf>
    <xf numFmtId="0" fontId="172" fillId="44" borderId="11" xfId="8733" applyFont="1" applyFill="1" applyBorder="1" applyAlignment="1" applyProtection="1">
      <alignment horizontal="right"/>
      <protection locked="0"/>
    </xf>
    <xf numFmtId="0" fontId="172" fillId="44" borderId="76" xfId="8733" applyFont="1" applyFill="1" applyBorder="1" applyAlignment="1" applyProtection="1">
      <alignment horizontal="right"/>
      <protection locked="0"/>
    </xf>
    <xf numFmtId="0" fontId="172" fillId="48" borderId="5" xfId="8733" applyFont="1" applyFill="1" applyBorder="1" applyAlignment="1" applyProtection="1">
      <alignment horizontal="left"/>
      <protection locked="0"/>
    </xf>
    <xf numFmtId="0" fontId="172" fillId="44" borderId="69" xfId="8733" applyFont="1" applyFill="1" applyBorder="1" applyAlignment="1" applyProtection="1">
      <alignment horizontal="right"/>
      <protection locked="0"/>
    </xf>
    <xf numFmtId="0" fontId="172" fillId="44" borderId="70" xfId="8733" applyFont="1" applyFill="1" applyBorder="1" applyAlignment="1" applyProtection="1">
      <alignment horizontal="right"/>
      <protection locked="0"/>
    </xf>
    <xf numFmtId="0" fontId="172" fillId="44" borderId="77" xfId="8733" applyFont="1" applyFill="1" applyBorder="1" applyAlignment="1" applyProtection="1">
      <alignment horizontal="right"/>
      <protection locked="0"/>
    </xf>
    <xf numFmtId="0" fontId="172" fillId="48" borderId="95" xfId="8733" applyFont="1" applyFill="1" applyBorder="1" applyAlignment="1" applyProtection="1">
      <alignment horizontal="left"/>
      <protection locked="0"/>
    </xf>
    <xf numFmtId="0" fontId="166" fillId="45" borderId="65" xfId="8733" applyFont="1" applyFill="1" applyBorder="1" applyAlignment="1">
      <alignment horizontal="center"/>
    </xf>
    <xf numFmtId="0" fontId="166" fillId="45" borderId="29" xfId="8733" applyFont="1" applyFill="1" applyBorder="1" applyAlignment="1">
      <alignment horizontal="center"/>
    </xf>
    <xf numFmtId="0" fontId="166" fillId="45" borderId="31" xfId="8733" applyFont="1" applyFill="1" applyBorder="1" applyAlignment="1">
      <alignment horizontal="center"/>
    </xf>
    <xf numFmtId="168" fontId="172" fillId="48" borderId="11" xfId="8734" applyNumberFormat="1" applyFont="1" applyFill="1" applyBorder="1" applyAlignment="1" applyProtection="1">
      <alignment horizontal="center"/>
      <protection locked="0"/>
    </xf>
    <xf numFmtId="1" fontId="172" fillId="48" borderId="11" xfId="8733" applyNumberFormat="1" applyFont="1" applyFill="1" applyBorder="1" applyAlignment="1" applyProtection="1">
      <alignment horizontal="center"/>
      <protection locked="0"/>
    </xf>
    <xf numFmtId="0" fontId="172" fillId="48" borderId="11" xfId="700" applyNumberFormat="1" applyFont="1" applyFill="1" applyBorder="1" applyAlignment="1" applyProtection="1">
      <alignment horizontal="left"/>
      <protection locked="0"/>
    </xf>
    <xf numFmtId="0" fontId="172" fillId="48" borderId="76" xfId="700" applyNumberFormat="1" applyFont="1" applyFill="1" applyBorder="1" applyAlignment="1" applyProtection="1">
      <alignment horizontal="left"/>
      <protection locked="0"/>
    </xf>
    <xf numFmtId="168" fontId="173" fillId="45" borderId="70" xfId="8734" applyNumberFormat="1" applyFont="1" applyFill="1" applyBorder="1" applyAlignment="1">
      <alignment horizontal="center"/>
    </xf>
    <xf numFmtId="1" fontId="173" fillId="45" borderId="70" xfId="8734" applyNumberFormat="1" applyFont="1" applyFill="1" applyBorder="1" applyAlignment="1">
      <alignment horizontal="center"/>
    </xf>
    <xf numFmtId="0" fontId="173" fillId="45" borderId="70" xfId="8734" applyNumberFormat="1" applyFont="1" applyFill="1" applyBorder="1" applyAlignment="1">
      <alignment horizontal="center"/>
    </xf>
    <xf numFmtId="0" fontId="173" fillId="45" borderId="77" xfId="8734" applyNumberFormat="1" applyFont="1" applyFill="1" applyBorder="1" applyAlignment="1">
      <alignment horizontal="center"/>
    </xf>
    <xf numFmtId="0" fontId="165" fillId="45" borderId="11" xfId="8733" applyFont="1" applyFill="1" applyBorder="1" applyAlignment="1">
      <alignment horizontal="center" vertical="center" wrapText="1"/>
    </xf>
    <xf numFmtId="0" fontId="165" fillId="45" borderId="76" xfId="8733" applyFont="1" applyFill="1" applyBorder="1" applyAlignment="1">
      <alignment horizontal="center" vertical="center" wrapText="1"/>
    </xf>
    <xf numFmtId="1" fontId="177" fillId="48" borderId="70" xfId="8733" applyNumberFormat="1" applyFont="1" applyFill="1" applyBorder="1" applyAlignment="1" applyProtection="1">
      <alignment horizontal="center"/>
      <protection locked="0"/>
    </xf>
    <xf numFmtId="1" fontId="177" fillId="48" borderId="94" xfId="8733" applyNumberFormat="1" applyFont="1" applyFill="1" applyBorder="1" applyAlignment="1" applyProtection="1">
      <alignment horizontal="center"/>
      <protection locked="0"/>
    </xf>
    <xf numFmtId="1" fontId="177" fillId="48" borderId="86" xfId="8733" applyNumberFormat="1" applyFont="1" applyFill="1" applyBorder="1" applyAlignment="1" applyProtection="1">
      <alignment horizontal="center"/>
      <protection locked="0"/>
    </xf>
    <xf numFmtId="1" fontId="177" fillId="48" borderId="95" xfId="8733" applyNumberFormat="1" applyFont="1" applyFill="1" applyBorder="1" applyAlignment="1" applyProtection="1">
      <alignment horizontal="center"/>
      <protection locked="0"/>
    </xf>
    <xf numFmtId="1" fontId="177" fillId="48" borderId="3" xfId="8733" applyNumberFormat="1" applyFont="1" applyFill="1" applyBorder="1" applyAlignment="1" applyProtection="1">
      <alignment horizontal="center"/>
      <protection locked="0"/>
    </xf>
    <xf numFmtId="1" fontId="177" fillId="48" borderId="4" xfId="8733" applyNumberFormat="1" applyFont="1" applyFill="1" applyBorder="1" applyAlignment="1" applyProtection="1">
      <alignment horizontal="center"/>
      <protection locked="0"/>
    </xf>
    <xf numFmtId="1" fontId="177" fillId="48" borderId="5" xfId="8733" applyNumberFormat="1" applyFont="1" applyFill="1" applyBorder="1" applyAlignment="1" applyProtection="1">
      <alignment horizontal="center"/>
      <protection locked="0"/>
    </xf>
    <xf numFmtId="1" fontId="165" fillId="44" borderId="3" xfId="8733" applyNumberFormat="1" applyFont="1" applyFill="1" applyBorder="1" applyAlignment="1">
      <alignment horizontal="center"/>
    </xf>
    <xf numFmtId="1" fontId="165" fillId="44" borderId="4" xfId="8733" applyNumberFormat="1" applyFont="1" applyFill="1" applyBorder="1" applyAlignment="1">
      <alignment horizontal="center"/>
    </xf>
    <xf numFmtId="1" fontId="165" fillId="44" borderId="5" xfId="8733" applyNumberFormat="1" applyFont="1" applyFill="1" applyBorder="1" applyAlignment="1">
      <alignment horizontal="center"/>
    </xf>
    <xf numFmtId="9" fontId="165" fillId="44" borderId="3" xfId="8735" applyFont="1" applyFill="1" applyBorder="1" applyAlignment="1">
      <alignment horizontal="center"/>
    </xf>
    <xf numFmtId="9" fontId="165" fillId="44" borderId="4" xfId="8735" applyFont="1" applyFill="1" applyBorder="1" applyAlignment="1">
      <alignment horizontal="center"/>
    </xf>
    <xf numFmtId="9" fontId="165" fillId="44" borderId="81" xfId="8735" applyFont="1" applyFill="1" applyBorder="1" applyAlignment="1">
      <alignment horizontal="center"/>
    </xf>
    <xf numFmtId="0" fontId="172" fillId="48" borderId="69" xfId="8733" applyFont="1" applyFill="1" applyBorder="1" applyAlignment="1" applyProtection="1">
      <alignment horizontal="right"/>
      <protection locked="0"/>
    </xf>
    <xf numFmtId="0" fontId="172" fillId="48" borderId="70" xfId="8733" applyFont="1" applyFill="1" applyBorder="1" applyAlignment="1" applyProtection="1">
      <alignment horizontal="right"/>
      <protection locked="0"/>
    </xf>
    <xf numFmtId="0" fontId="177" fillId="48" borderId="70" xfId="8733" applyFont="1" applyFill="1" applyBorder="1" applyAlignment="1" applyProtection="1">
      <alignment horizontal="center"/>
      <protection locked="0"/>
    </xf>
    <xf numFmtId="9" fontId="165" fillId="44" borderId="94" xfId="8735" applyFont="1" applyFill="1" applyBorder="1" applyAlignment="1">
      <alignment horizontal="center"/>
    </xf>
    <xf numFmtId="9" fontId="165" fillId="44" borderId="86" xfId="8735" applyFont="1" applyFill="1" applyBorder="1" applyAlignment="1">
      <alignment horizontal="center"/>
    </xf>
    <xf numFmtId="9" fontId="165" fillId="44" borderId="85" xfId="8735" applyFont="1" applyFill="1" applyBorder="1" applyAlignment="1">
      <alignment horizontal="center"/>
    </xf>
    <xf numFmtId="0" fontId="177" fillId="48" borderId="11" xfId="8733" applyFont="1" applyFill="1" applyBorder="1" applyAlignment="1" applyProtection="1">
      <alignment horizontal="center"/>
      <protection locked="0"/>
    </xf>
    <xf numFmtId="1" fontId="177" fillId="48" borderId="11" xfId="8733" applyNumberFormat="1" applyFont="1" applyFill="1" applyBorder="1" applyAlignment="1" applyProtection="1">
      <alignment horizontal="center"/>
      <protection locked="0"/>
    </xf>
    <xf numFmtId="0" fontId="173" fillId="44" borderId="101" xfId="8733" applyFont="1" applyFill="1" applyBorder="1" applyAlignment="1">
      <alignment horizontal="center"/>
    </xf>
    <xf numFmtId="0" fontId="173" fillId="44" borderId="42" xfId="8733" applyFont="1" applyFill="1" applyBorder="1" applyAlignment="1">
      <alignment horizontal="center"/>
    </xf>
    <xf numFmtId="0" fontId="173" fillId="44" borderId="96" xfId="8733" applyFont="1" applyFill="1" applyBorder="1" applyAlignment="1">
      <alignment horizontal="center"/>
    </xf>
    <xf numFmtId="9" fontId="173" fillId="44" borderId="101" xfId="1022" applyFont="1" applyFill="1" applyBorder="1" applyAlignment="1">
      <alignment horizontal="center"/>
    </xf>
    <xf numFmtId="9" fontId="173" fillId="44" borderId="42" xfId="1022" applyFont="1" applyFill="1" applyBorder="1" applyAlignment="1">
      <alignment horizontal="center"/>
    </xf>
    <xf numFmtId="9" fontId="173" fillId="44" borderId="44" xfId="1022" applyFont="1" applyFill="1" applyBorder="1" applyAlignment="1">
      <alignment horizontal="center"/>
    </xf>
    <xf numFmtId="0" fontId="166" fillId="45" borderId="80" xfId="8733" applyFont="1" applyFill="1" applyBorder="1" applyAlignment="1">
      <alignment horizontal="center"/>
    </xf>
    <xf numFmtId="0" fontId="166" fillId="45" borderId="79" xfId="8733" applyFont="1" applyFill="1" applyBorder="1" applyAlignment="1">
      <alignment horizontal="center"/>
    </xf>
    <xf numFmtId="0" fontId="166" fillId="45" borderId="78" xfId="8733" applyFont="1" applyFill="1" applyBorder="1" applyAlignment="1">
      <alignment horizontal="center"/>
    </xf>
    <xf numFmtId="0" fontId="165" fillId="45" borderId="98" xfId="8733" applyFont="1" applyFill="1" applyBorder="1" applyAlignment="1">
      <alignment horizontal="center" vertical="center" wrapText="1"/>
    </xf>
    <xf numFmtId="0" fontId="165" fillId="45" borderId="13" xfId="8733" applyFont="1" applyFill="1" applyBorder="1" applyAlignment="1">
      <alignment horizontal="center" vertical="center"/>
    </xf>
    <xf numFmtId="0" fontId="165" fillId="45" borderId="72" xfId="8733" applyFont="1" applyFill="1" applyBorder="1" applyAlignment="1">
      <alignment horizontal="center" vertical="center"/>
    </xf>
    <xf numFmtId="0" fontId="165" fillId="45" borderId="11" xfId="8733" applyFont="1" applyFill="1" applyBorder="1" applyAlignment="1">
      <alignment horizontal="center" vertical="center"/>
    </xf>
    <xf numFmtId="0" fontId="173" fillId="45" borderId="13" xfId="8733" applyFont="1" applyFill="1" applyBorder="1" applyAlignment="1">
      <alignment horizontal="center" vertical="center" wrapText="1"/>
    </xf>
    <xf numFmtId="0" fontId="173" fillId="45" borderId="13" xfId="8733" applyFont="1" applyFill="1" applyBorder="1" applyAlignment="1">
      <alignment horizontal="center" vertical="center"/>
    </xf>
    <xf numFmtId="0" fontId="173" fillId="45" borderId="11" xfId="8733" applyFont="1" applyFill="1" applyBorder="1" applyAlignment="1">
      <alignment horizontal="center" vertical="center"/>
    </xf>
    <xf numFmtId="0" fontId="173" fillId="45" borderId="9" xfId="8733" applyFont="1" applyFill="1" applyBorder="1" applyAlignment="1">
      <alignment horizontal="center" vertical="center"/>
    </xf>
    <xf numFmtId="0" fontId="173" fillId="45" borderId="3" xfId="8733" applyFont="1" applyFill="1" applyBorder="1" applyAlignment="1">
      <alignment horizontal="center" vertical="center"/>
    </xf>
    <xf numFmtId="0" fontId="165" fillId="45" borderId="80" xfId="8733" applyFont="1" applyFill="1" applyBorder="1" applyAlignment="1">
      <alignment horizontal="center"/>
    </xf>
    <xf numFmtId="0" fontId="165" fillId="45" borderId="79" xfId="8733" applyFont="1" applyFill="1" applyBorder="1" applyAlignment="1">
      <alignment horizontal="center"/>
    </xf>
    <xf numFmtId="0" fontId="165" fillId="45" borderId="78" xfId="8733" applyFont="1" applyFill="1" applyBorder="1" applyAlignment="1">
      <alignment horizontal="center"/>
    </xf>
    <xf numFmtId="0" fontId="165" fillId="45" borderId="65" xfId="8733" applyFont="1" applyFill="1" applyBorder="1" applyAlignment="1">
      <alignment horizontal="center" vertical="center" wrapText="1"/>
    </xf>
    <xf numFmtId="0" fontId="165" fillId="45" borderId="29" xfId="8733" applyFont="1" applyFill="1" applyBorder="1" applyAlignment="1">
      <alignment horizontal="center" vertical="center" wrapText="1"/>
    </xf>
    <xf numFmtId="0" fontId="165" fillId="45" borderId="31" xfId="8733" applyFont="1" applyFill="1" applyBorder="1" applyAlignment="1">
      <alignment horizontal="center" vertical="center" wrapText="1"/>
    </xf>
    <xf numFmtId="0" fontId="165" fillId="45" borderId="73" xfId="8733" applyFont="1" applyFill="1" applyBorder="1" applyAlignment="1">
      <alignment horizontal="center" vertical="center" wrapText="1"/>
    </xf>
    <xf numFmtId="0" fontId="165" fillId="45" borderId="42" xfId="8733" applyFont="1" applyFill="1" applyBorder="1" applyAlignment="1">
      <alignment horizontal="center" vertical="center" wrapText="1"/>
    </xf>
    <xf numFmtId="0" fontId="165" fillId="45" borderId="44" xfId="8733" applyFont="1" applyFill="1" applyBorder="1" applyAlignment="1">
      <alignment horizontal="center" vertical="center" wrapText="1"/>
    </xf>
    <xf numFmtId="9" fontId="173" fillId="48" borderId="13" xfId="8733" applyNumberFormat="1" applyFont="1" applyFill="1" applyBorder="1" applyAlignment="1" applyProtection="1">
      <alignment horizontal="center"/>
      <protection locked="0"/>
    </xf>
    <xf numFmtId="0" fontId="173" fillId="44" borderId="73" xfId="8733" applyFont="1" applyFill="1" applyBorder="1" applyAlignment="1">
      <alignment horizontal="center"/>
    </xf>
    <xf numFmtId="0" fontId="165" fillId="44" borderId="9" xfId="8733" applyFont="1" applyFill="1" applyBorder="1" applyAlignment="1">
      <alignment horizontal="center"/>
    </xf>
    <xf numFmtId="0" fontId="165" fillId="44" borderId="6" xfId="8733" applyFont="1" applyFill="1" applyBorder="1" applyAlignment="1">
      <alignment horizontal="center"/>
    </xf>
    <xf numFmtId="0" fontId="165" fillId="44" borderId="82" xfId="8733" applyFont="1" applyFill="1" applyBorder="1" applyAlignment="1">
      <alignment horizontal="center"/>
    </xf>
    <xf numFmtId="9" fontId="173" fillId="48" borderId="9" xfId="8733" applyNumberFormat="1" applyFont="1" applyFill="1" applyBorder="1" applyAlignment="1" applyProtection="1">
      <alignment horizontal="center"/>
      <protection locked="0"/>
    </xf>
    <xf numFmtId="9" fontId="173" fillId="48" borderId="6" xfId="8733" applyNumberFormat="1" applyFont="1" applyFill="1" applyBorder="1" applyAlignment="1" applyProtection="1">
      <alignment horizontal="center"/>
      <protection locked="0"/>
    </xf>
    <xf numFmtId="9" fontId="173" fillId="48" borderId="10" xfId="8733" applyNumberFormat="1" applyFont="1" applyFill="1" applyBorder="1" applyAlignment="1" applyProtection="1">
      <alignment horizontal="center"/>
      <protection locked="0"/>
    </xf>
    <xf numFmtId="9" fontId="165" fillId="48" borderId="9" xfId="8733" applyNumberFormat="1" applyFont="1" applyFill="1" applyBorder="1" applyAlignment="1" applyProtection="1">
      <alignment horizontal="center"/>
      <protection locked="0"/>
    </xf>
    <xf numFmtId="9" fontId="165" fillId="48" borderId="6" xfId="8733" applyNumberFormat="1" applyFont="1" applyFill="1" applyBorder="1" applyAlignment="1" applyProtection="1">
      <alignment horizontal="center"/>
      <protection locked="0"/>
    </xf>
    <xf numFmtId="9" fontId="165" fillId="48" borderId="10" xfId="8733" applyNumberFormat="1" applyFont="1" applyFill="1" applyBorder="1" applyAlignment="1" applyProtection="1">
      <alignment horizontal="center"/>
      <protection locked="0"/>
    </xf>
    <xf numFmtId="0" fontId="165" fillId="44" borderId="10" xfId="8733" applyFont="1" applyFill="1" applyBorder="1" applyAlignment="1">
      <alignment horizontal="center"/>
    </xf>
    <xf numFmtId="0" fontId="172" fillId="48" borderId="3" xfId="8733" applyFont="1" applyFill="1" applyBorder="1" applyAlignment="1" applyProtection="1">
      <alignment horizontal="center"/>
      <protection locked="0"/>
    </xf>
    <xf numFmtId="0" fontId="172" fillId="48" borderId="4" xfId="8733" applyFont="1" applyFill="1" applyBorder="1" applyAlignment="1" applyProtection="1">
      <alignment horizontal="center"/>
      <protection locked="0"/>
    </xf>
    <xf numFmtId="0" fontId="172" fillId="48" borderId="5" xfId="8733" applyFont="1" applyFill="1" applyBorder="1" applyAlignment="1" applyProtection="1">
      <alignment horizontal="center"/>
      <protection locked="0"/>
    </xf>
    <xf numFmtId="9" fontId="173" fillId="44" borderId="3" xfId="8733" applyNumberFormat="1" applyFont="1" applyFill="1" applyBorder="1" applyAlignment="1">
      <alignment horizontal="center"/>
    </xf>
    <xf numFmtId="9" fontId="173" fillId="44" borderId="4" xfId="8733" applyNumberFormat="1" applyFont="1" applyFill="1" applyBorder="1" applyAlignment="1">
      <alignment horizontal="center"/>
    </xf>
    <xf numFmtId="9" fontId="173" fillId="44" borderId="81" xfId="8733" applyNumberFormat="1" applyFont="1" applyFill="1" applyBorder="1" applyAlignment="1">
      <alignment horizontal="center"/>
    </xf>
    <xf numFmtId="0" fontId="173" fillId="44" borderId="87" xfId="8733" applyFont="1" applyFill="1" applyBorder="1" applyAlignment="1">
      <alignment horizontal="center"/>
    </xf>
    <xf numFmtId="0" fontId="173" fillId="44" borderId="86" xfId="8733" applyFont="1" applyFill="1" applyBorder="1" applyAlignment="1">
      <alignment horizontal="center"/>
    </xf>
    <xf numFmtId="0" fontId="173" fillId="44" borderId="95" xfId="8733" applyFont="1" applyFill="1" applyBorder="1" applyAlignment="1">
      <alignment horizontal="center"/>
    </xf>
    <xf numFmtId="0" fontId="172" fillId="44" borderId="94" xfId="8733" applyFont="1" applyFill="1" applyBorder="1" applyAlignment="1">
      <alignment horizontal="center"/>
    </xf>
    <xf numFmtId="0" fontId="172" fillId="44" borderId="86" xfId="8733" applyFont="1" applyFill="1" applyBorder="1" applyAlignment="1">
      <alignment horizontal="center"/>
    </xf>
    <xf numFmtId="0" fontId="172" fillId="44" borderId="95" xfId="8733" applyFont="1" applyFill="1" applyBorder="1" applyAlignment="1">
      <alignment horizontal="center"/>
    </xf>
    <xf numFmtId="9" fontId="173" fillId="44" borderId="94" xfId="8733" applyNumberFormat="1" applyFont="1" applyFill="1" applyBorder="1" applyAlignment="1">
      <alignment horizontal="center"/>
    </xf>
    <xf numFmtId="9" fontId="173" fillId="44" borderId="86" xfId="8733" applyNumberFormat="1" applyFont="1" applyFill="1" applyBorder="1" applyAlignment="1">
      <alignment horizontal="center"/>
    </xf>
    <xf numFmtId="9" fontId="173" fillId="44" borderId="85" xfId="8733" applyNumberFormat="1" applyFont="1" applyFill="1" applyBorder="1" applyAlignment="1">
      <alignment horizontal="center"/>
    </xf>
    <xf numFmtId="9" fontId="172" fillId="48" borderId="90" xfId="8733" applyNumberFormat="1" applyFont="1" applyFill="1" applyBorder="1" applyAlignment="1" applyProtection="1">
      <alignment horizontal="center"/>
      <protection locked="0"/>
    </xf>
    <xf numFmtId="9" fontId="172" fillId="48" borderId="4" xfId="8733" applyNumberFormat="1" applyFont="1" applyFill="1" applyBorder="1" applyAlignment="1" applyProtection="1">
      <alignment horizontal="center"/>
      <protection locked="0"/>
    </xf>
    <xf numFmtId="9" fontId="172" fillId="48" borderId="5" xfId="8733" applyNumberFormat="1" applyFont="1" applyFill="1" applyBorder="1" applyAlignment="1" applyProtection="1">
      <alignment horizontal="center"/>
      <protection locked="0"/>
    </xf>
    <xf numFmtId="0" fontId="172" fillId="44" borderId="3" xfId="8733" applyFont="1" applyFill="1" applyBorder="1" applyAlignment="1">
      <alignment horizontal="center"/>
    </xf>
    <xf numFmtId="0" fontId="172" fillId="44" borderId="4" xfId="8733" applyFont="1" applyFill="1" applyBorder="1" applyAlignment="1">
      <alignment horizontal="center"/>
    </xf>
    <xf numFmtId="0" fontId="172" fillId="44" borderId="5" xfId="8733" applyFont="1" applyFill="1" applyBorder="1" applyAlignment="1">
      <alignment horizontal="center"/>
    </xf>
    <xf numFmtId="0" fontId="102" fillId="45" borderId="80" xfId="8733" applyFont="1" applyFill="1" applyBorder="1" applyAlignment="1">
      <alignment horizontal="right"/>
    </xf>
    <xf numFmtId="0" fontId="102" fillId="45" borderId="79" xfId="8733" applyFont="1" applyFill="1" applyBorder="1" applyAlignment="1">
      <alignment horizontal="right"/>
    </xf>
    <xf numFmtId="0" fontId="102" fillId="45" borderId="103" xfId="8733" applyFont="1" applyFill="1" applyBorder="1" applyAlignment="1">
      <alignment horizontal="right"/>
    </xf>
    <xf numFmtId="0" fontId="2" fillId="44" borderId="84" xfId="8733" applyFill="1" applyBorder="1" applyAlignment="1">
      <alignment horizontal="center"/>
    </xf>
    <xf numFmtId="0" fontId="2" fillId="44" borderId="102" xfId="8733" applyFill="1" applyBorder="1" applyAlignment="1">
      <alignment horizontal="center"/>
    </xf>
    <xf numFmtId="0" fontId="173" fillId="45" borderId="11" xfId="8733" applyFont="1" applyFill="1" applyBorder="1" applyAlignment="1">
      <alignment horizontal="right"/>
    </xf>
    <xf numFmtId="14" fontId="169" fillId="48" borderId="11" xfId="8733" applyNumberFormat="1" applyFont="1" applyFill="1" applyBorder="1" applyAlignment="1" applyProtection="1">
      <alignment horizontal="center" vertical="center"/>
      <protection locked="0"/>
    </xf>
    <xf numFmtId="0" fontId="169" fillId="48" borderId="11" xfId="8733" applyFont="1" applyFill="1" applyBorder="1" applyAlignment="1" applyProtection="1">
      <alignment horizontal="center" vertical="center"/>
      <protection locked="0"/>
    </xf>
    <xf numFmtId="0" fontId="173" fillId="45" borderId="97" xfId="8733" applyFont="1" applyFill="1" applyBorder="1" applyAlignment="1">
      <alignment horizontal="center"/>
    </xf>
    <xf numFmtId="0" fontId="173" fillId="45" borderId="2" xfId="8733" applyFont="1" applyFill="1" applyBorder="1" applyAlignment="1">
      <alignment horizontal="center"/>
    </xf>
    <xf numFmtId="0" fontId="173" fillId="45" borderId="7" xfId="8733" applyFont="1" applyFill="1" applyBorder="1" applyAlignment="1">
      <alignment horizontal="center"/>
    </xf>
    <xf numFmtId="0" fontId="173" fillId="45" borderId="3" xfId="8733" applyFont="1" applyFill="1" applyBorder="1" applyAlignment="1">
      <alignment horizontal="center"/>
    </xf>
    <xf numFmtId="0" fontId="173" fillId="45" borderId="4" xfId="8733" applyFont="1" applyFill="1" applyBorder="1" applyAlignment="1">
      <alignment horizontal="center"/>
    </xf>
    <xf numFmtId="0" fontId="173" fillId="45" borderId="5" xfId="8733" applyFont="1" applyFill="1" applyBorder="1" applyAlignment="1">
      <alignment horizontal="center"/>
    </xf>
    <xf numFmtId="0" fontId="173" fillId="45" borderId="81" xfId="8733" applyFont="1" applyFill="1" applyBorder="1" applyAlignment="1">
      <alignment horizontal="center"/>
    </xf>
    <xf numFmtId="0" fontId="102" fillId="45" borderId="80" xfId="8733" applyFont="1" applyFill="1" applyBorder="1" applyAlignment="1">
      <alignment horizontal="center"/>
    </xf>
    <xf numFmtId="0" fontId="102" fillId="45" borderId="79" xfId="8733" applyFont="1" applyFill="1" applyBorder="1" applyAlignment="1">
      <alignment horizontal="center"/>
    </xf>
    <xf numFmtId="0" fontId="102" fillId="45" borderId="78" xfId="8733" applyFont="1" applyFill="1" applyBorder="1" applyAlignment="1">
      <alignment horizontal="center"/>
    </xf>
    <xf numFmtId="0" fontId="169" fillId="48" borderId="80" xfId="8733" applyFont="1" applyFill="1" applyBorder="1" applyAlignment="1" applyProtection="1">
      <alignment horizontal="center"/>
      <protection locked="0"/>
    </xf>
    <xf numFmtId="0" fontId="169" fillId="48" borderId="79" xfId="8733" applyFont="1" applyFill="1" applyBorder="1" applyAlignment="1" applyProtection="1">
      <alignment horizontal="center"/>
      <protection locked="0"/>
    </xf>
    <xf numFmtId="0" fontId="169" fillId="48" borderId="78" xfId="8733" applyFont="1" applyFill="1" applyBorder="1" applyAlignment="1" applyProtection="1">
      <alignment horizontal="center"/>
      <protection locked="0"/>
    </xf>
    <xf numFmtId="1" fontId="2" fillId="44" borderId="11" xfId="8733" applyNumberFormat="1" applyFill="1" applyBorder="1" applyAlignment="1">
      <alignment horizontal="center"/>
    </xf>
    <xf numFmtId="0" fontId="2" fillId="44" borderId="11" xfId="8733" applyFill="1" applyBorder="1" applyAlignment="1">
      <alignment horizontal="center"/>
    </xf>
    <xf numFmtId="0" fontId="170" fillId="45" borderId="11" xfId="8733" applyFont="1" applyFill="1" applyBorder="1" applyAlignment="1">
      <alignment horizontal="right" wrapText="1"/>
    </xf>
    <xf numFmtId="0" fontId="176" fillId="45" borderId="11" xfId="8733" applyFont="1" applyFill="1" applyBorder="1" applyAlignment="1">
      <alignment horizontal="right"/>
    </xf>
    <xf numFmtId="14" fontId="169" fillId="48" borderId="11" xfId="8733" applyNumberFormat="1" applyFont="1" applyFill="1" applyBorder="1" applyAlignment="1" applyProtection="1">
      <alignment horizontal="center"/>
      <protection locked="0"/>
    </xf>
    <xf numFmtId="0" fontId="169" fillId="48" borderId="11" xfId="8733" applyFont="1" applyFill="1" applyBorder="1" applyAlignment="1" applyProtection="1">
      <alignment horizontal="center"/>
      <protection locked="0"/>
    </xf>
    <xf numFmtId="168" fontId="174" fillId="44" borderId="11" xfId="8734" applyNumberFormat="1" applyFont="1" applyFill="1" applyBorder="1" applyAlignment="1" applyProtection="1">
      <alignment horizontal="left"/>
    </xf>
    <xf numFmtId="0" fontId="169" fillId="44" borderId="80" xfId="8733" applyFont="1" applyFill="1" applyBorder="1" applyAlignment="1">
      <alignment horizontal="left"/>
    </xf>
    <xf numFmtId="0" fontId="169" fillId="44" borderId="79" xfId="8733" applyFont="1" applyFill="1" applyBorder="1" applyAlignment="1">
      <alignment horizontal="left"/>
    </xf>
    <xf numFmtId="0" fontId="169" fillId="44" borderId="78" xfId="8733" applyFont="1" applyFill="1" applyBorder="1" applyAlignment="1">
      <alignment horizontal="left"/>
    </xf>
    <xf numFmtId="0" fontId="170" fillId="45" borderId="11" xfId="8733" applyFont="1" applyFill="1" applyBorder="1" applyAlignment="1">
      <alignment horizontal="right"/>
    </xf>
    <xf numFmtId="1" fontId="169" fillId="48" borderId="11" xfId="8733" applyNumberFormat="1" applyFont="1" applyFill="1" applyBorder="1" applyAlignment="1" applyProtection="1">
      <alignment horizontal="center"/>
      <protection locked="0"/>
    </xf>
    <xf numFmtId="0" fontId="2" fillId="44" borderId="80" xfId="8733" applyFill="1" applyBorder="1" applyAlignment="1">
      <alignment horizontal="center"/>
    </xf>
    <xf numFmtId="0" fontId="2" fillId="44" borderId="79" xfId="8733" applyFill="1" applyBorder="1" applyAlignment="1">
      <alignment horizontal="center"/>
    </xf>
    <xf numFmtId="0" fontId="2" fillId="44" borderId="78" xfId="8733" applyFill="1" applyBorder="1" applyAlignment="1">
      <alignment horizontal="center"/>
    </xf>
    <xf numFmtId="0" fontId="181" fillId="51" borderId="65" xfId="8733" applyFont="1" applyFill="1" applyBorder="1" applyAlignment="1">
      <alignment horizontal="center"/>
    </xf>
    <xf numFmtId="0" fontId="181" fillId="51" borderId="29" xfId="8733" applyFont="1" applyFill="1" applyBorder="1" applyAlignment="1">
      <alignment horizontal="center"/>
    </xf>
    <xf numFmtId="0" fontId="181" fillId="51" borderId="31" xfId="8733" applyFont="1" applyFill="1" applyBorder="1" applyAlignment="1">
      <alignment horizontal="center"/>
    </xf>
    <xf numFmtId="0" fontId="166" fillId="48" borderId="66" xfId="8733" applyFont="1" applyFill="1" applyBorder="1" applyAlignment="1">
      <alignment horizontal="center"/>
    </xf>
    <xf numFmtId="0" fontId="166" fillId="48" borderId="0" xfId="8733" applyFont="1" applyFill="1" applyAlignment="1">
      <alignment horizontal="center"/>
    </xf>
    <xf numFmtId="0" fontId="166" fillId="48" borderId="41" xfId="8733" applyFont="1" applyFill="1" applyBorder="1" applyAlignment="1">
      <alignment horizontal="center"/>
    </xf>
    <xf numFmtId="165" fontId="122" fillId="0" borderId="55" xfId="4496" applyNumberFormat="1" applyFont="1" applyBorder="1" applyAlignment="1">
      <alignment horizontal="center" vertical="top" wrapText="1"/>
    </xf>
    <xf numFmtId="165" fontId="122" fillId="0" borderId="6" xfId="4496" applyNumberFormat="1" applyFont="1" applyBorder="1" applyAlignment="1">
      <alignment horizontal="center" vertical="top" wrapText="1"/>
    </xf>
    <xf numFmtId="165" fontId="122" fillId="0" borderId="60" xfId="4496" applyNumberFormat="1" applyFont="1" applyBorder="1" applyAlignment="1">
      <alignment horizontal="center" vertical="top" wrapText="1"/>
    </xf>
    <xf numFmtId="165" fontId="122" fillId="0" borderId="4" xfId="4496" applyNumberFormat="1" applyFont="1" applyBorder="1" applyAlignment="1">
      <alignment horizontal="center" vertical="top" wrapText="1"/>
    </xf>
    <xf numFmtId="0" fontId="122" fillId="5" borderId="60" xfId="4496" applyFont="1" applyFill="1" applyBorder="1" applyAlignment="1" applyProtection="1">
      <alignment horizontal="center"/>
      <protection locked="0"/>
    </xf>
    <xf numFmtId="0" fontId="122" fillId="5" borderId="4" xfId="4496" applyFont="1" applyFill="1" applyBorder="1" applyAlignment="1" applyProtection="1">
      <alignment horizontal="center"/>
      <protection locked="0"/>
    </xf>
    <xf numFmtId="0" fontId="122" fillId="5" borderId="6" xfId="4496" applyFont="1" applyFill="1" applyBorder="1" applyAlignment="1" applyProtection="1">
      <alignment horizontal="center"/>
      <protection locked="0"/>
    </xf>
    <xf numFmtId="0" fontId="17" fillId="0" borderId="50" xfId="4495" applyFont="1" applyBorder="1" applyAlignment="1">
      <alignment horizontal="left" vertical="center" wrapText="1"/>
    </xf>
    <xf numFmtId="0" fontId="17" fillId="0" borderId="51" xfId="4495" applyFont="1" applyBorder="1" applyAlignment="1">
      <alignment horizontal="left" vertical="center" wrapText="1"/>
    </xf>
    <xf numFmtId="0" fontId="17" fillId="0" borderId="52" xfId="4495" applyFont="1" applyBorder="1" applyAlignment="1">
      <alignment horizontal="left" vertical="center" wrapText="1"/>
    </xf>
    <xf numFmtId="0" fontId="17" fillId="0" borderId="57" xfId="4495" applyFont="1" applyBorder="1" applyAlignment="1">
      <alignment horizontal="left" vertical="center" wrapText="1"/>
    </xf>
    <xf numFmtId="0" fontId="17" fillId="0" borderId="58" xfId="4495" applyFont="1" applyBorder="1" applyAlignment="1">
      <alignment horizontal="left" vertical="center" wrapText="1"/>
    </xf>
    <xf numFmtId="0" fontId="17" fillId="0" borderId="59" xfId="4495" applyFont="1" applyBorder="1" applyAlignment="1">
      <alignment horizontal="left" vertical="center" wrapText="1"/>
    </xf>
    <xf numFmtId="0" fontId="17" fillId="0" borderId="53" xfId="4495" applyFont="1" applyBorder="1" applyAlignment="1">
      <alignment horizontal="left" vertical="center" wrapText="1"/>
    </xf>
    <xf numFmtId="0" fontId="17" fillId="0" borderId="0" xfId="4495" applyFont="1" applyAlignment="1">
      <alignment horizontal="left" vertical="center" wrapText="1"/>
    </xf>
    <xf numFmtId="0" fontId="17" fillId="0" borderId="54" xfId="4495" applyFont="1" applyBorder="1" applyAlignment="1">
      <alignment horizontal="left" vertical="center" wrapText="1"/>
    </xf>
    <xf numFmtId="0" fontId="24" fillId="0" borderId="0" xfId="4495" applyFont="1" applyAlignment="1">
      <alignment horizontal="right"/>
    </xf>
    <xf numFmtId="0" fontId="122" fillId="0" borderId="50" xfId="4496" applyFont="1" applyBorder="1" applyAlignment="1">
      <alignment horizontal="left" vertical="top" wrapText="1"/>
    </xf>
    <xf numFmtId="0" fontId="122" fillId="0" borderId="51" xfId="4496" applyFont="1" applyBorder="1" applyAlignment="1">
      <alignment horizontal="left" vertical="top" wrapText="1"/>
    </xf>
    <xf numFmtId="0" fontId="122" fillId="0" borderId="52" xfId="4496" applyFont="1" applyBorder="1" applyAlignment="1">
      <alignment horizontal="left" vertical="top" wrapText="1"/>
    </xf>
    <xf numFmtId="0" fontId="122" fillId="0" borderId="53" xfId="4496" applyFont="1" applyBorder="1" applyAlignment="1">
      <alignment horizontal="left" vertical="top" wrapText="1"/>
    </xf>
    <xf numFmtId="0" fontId="122" fillId="0" borderId="0" xfId="4496" applyFont="1" applyAlignment="1">
      <alignment horizontal="left" vertical="top" wrapText="1"/>
    </xf>
    <xf numFmtId="0" fontId="122" fillId="0" borderId="54" xfId="4496" applyFont="1" applyBorder="1" applyAlignment="1">
      <alignment horizontal="left" vertical="top" wrapText="1"/>
    </xf>
    <xf numFmtId="0" fontId="122" fillId="0" borderId="57" xfId="4496" applyFont="1" applyBorder="1" applyAlignment="1">
      <alignment horizontal="left" vertical="top" wrapText="1"/>
    </xf>
    <xf numFmtId="0" fontId="122" fillId="0" borderId="58" xfId="4496" applyFont="1" applyBorder="1" applyAlignment="1">
      <alignment horizontal="left" vertical="top" wrapText="1"/>
    </xf>
    <xf numFmtId="0" fontId="122" fillId="0" borderId="59" xfId="4496" applyFont="1" applyBorder="1" applyAlignment="1">
      <alignment horizontal="left" vertical="top" wrapText="1"/>
    </xf>
    <xf numFmtId="0" fontId="122" fillId="5" borderId="55" xfId="4496" applyFont="1" applyFill="1" applyBorder="1" applyAlignment="1" applyProtection="1">
      <alignment horizontal="center"/>
      <protection locked="0"/>
    </xf>
    <xf numFmtId="0" fontId="122" fillId="0" borderId="47" xfId="4496" applyFont="1" applyBorder="1"/>
    <xf numFmtId="0" fontId="122" fillId="0" borderId="48" xfId="4496" applyFont="1" applyBorder="1"/>
    <xf numFmtId="0" fontId="122" fillId="0" borderId="49" xfId="4496" applyFont="1" applyBorder="1"/>
    <xf numFmtId="0" fontId="17" fillId="0" borderId="47" xfId="4495" applyFont="1" applyBorder="1" applyAlignment="1">
      <alignment horizontal="left" vertical="center" wrapText="1"/>
    </xf>
    <xf numFmtId="0" fontId="17" fillId="0" borderId="48" xfId="4495" applyFont="1" applyBorder="1" applyAlignment="1">
      <alignment horizontal="left" vertical="center" wrapText="1"/>
    </xf>
    <xf numFmtId="0" fontId="17" fillId="0" borderId="49" xfId="4495" applyFont="1" applyBorder="1" applyAlignment="1">
      <alignment horizontal="left" vertical="center" wrapText="1"/>
    </xf>
    <xf numFmtId="0" fontId="122" fillId="0" borderId="55" xfId="4496" applyFont="1" applyBorder="1" applyAlignment="1">
      <alignment horizontal="center" vertical="top" wrapText="1"/>
    </xf>
    <xf numFmtId="0" fontId="122" fillId="0" borderId="6" xfId="4496" applyFont="1" applyBorder="1" applyAlignment="1">
      <alignment horizontal="center" vertical="top" wrapText="1"/>
    </xf>
    <xf numFmtId="0" fontId="23" fillId="3" borderId="2" xfId="4495" applyFont="1" applyFill="1" applyBorder="1" applyAlignment="1">
      <alignment horizontal="center" vertical="center"/>
    </xf>
    <xf numFmtId="0" fontId="23" fillId="3" borderId="16" xfId="4495" applyFont="1" applyFill="1" applyBorder="1" applyAlignment="1">
      <alignment horizontal="center" vertical="center"/>
    </xf>
    <xf numFmtId="0" fontId="24" fillId="0" borderId="48" xfId="4495" applyFont="1" applyBorder="1" applyAlignment="1">
      <alignment horizontal="left" vertical="top"/>
    </xf>
    <xf numFmtId="0" fontId="24" fillId="0" borderId="49" xfId="4495" applyFont="1" applyBorder="1" applyAlignment="1">
      <alignment horizontal="left" vertical="top"/>
    </xf>
    <xf numFmtId="1" fontId="17" fillId="0" borderId="3" xfId="4495" applyNumberFormat="1" applyFont="1" applyBorder="1" applyAlignment="1">
      <alignment horizontal="center"/>
    </xf>
    <xf numFmtId="1" fontId="17" fillId="0" borderId="4" xfId="4495" applyNumberFormat="1" applyFont="1" applyBorder="1" applyAlignment="1">
      <alignment horizontal="center"/>
    </xf>
    <xf numFmtId="1" fontId="17" fillId="0" borderId="5" xfId="4495" applyNumberFormat="1" applyFont="1" applyBorder="1" applyAlignment="1">
      <alignment horizontal="center"/>
    </xf>
    <xf numFmtId="0" fontId="17" fillId="0" borderId="50" xfId="4495" applyFont="1" applyBorder="1" applyAlignment="1">
      <alignment vertical="center" wrapText="1"/>
    </xf>
    <xf numFmtId="0" fontId="17" fillId="0" borderId="51" xfId="4495" applyFont="1" applyBorder="1" applyAlignment="1">
      <alignment vertical="center" wrapText="1"/>
    </xf>
    <xf numFmtId="0" fontId="17" fillId="0" borderId="52" xfId="4495" applyFont="1" applyBorder="1" applyAlignment="1">
      <alignment vertical="center" wrapText="1"/>
    </xf>
    <xf numFmtId="0" fontId="17" fillId="0" borderId="57" xfId="4495" applyFont="1" applyBorder="1" applyAlignment="1">
      <alignment vertical="center" wrapText="1"/>
    </xf>
    <xf numFmtId="0" fontId="17" fillId="0" borderId="58" xfId="4495" applyFont="1" applyBorder="1" applyAlignment="1">
      <alignment vertical="center" wrapText="1"/>
    </xf>
    <xf numFmtId="0" fontId="17" fillId="0" borderId="59" xfId="4495" applyFont="1" applyBorder="1" applyAlignment="1">
      <alignment vertical="center" wrapText="1"/>
    </xf>
    <xf numFmtId="0" fontId="122" fillId="43" borderId="55" xfId="4496" applyFont="1" applyFill="1" applyBorder="1" applyAlignment="1" applyProtection="1">
      <alignment horizontal="left" vertical="top" wrapText="1"/>
      <protection locked="0"/>
    </xf>
    <xf numFmtId="0" fontId="122" fillId="43" borderId="6" xfId="4496" applyFont="1" applyFill="1" applyBorder="1" applyAlignment="1" applyProtection="1">
      <alignment horizontal="left" vertical="top" wrapText="1"/>
      <protection locked="0"/>
    </xf>
    <xf numFmtId="0" fontId="122" fillId="43" borderId="56" xfId="4496" applyFont="1" applyFill="1" applyBorder="1" applyAlignment="1" applyProtection="1">
      <alignment horizontal="left" vertical="top" wrapText="1"/>
      <protection locked="0"/>
    </xf>
    <xf numFmtId="0" fontId="24" fillId="0" borderId="0" xfId="4495" applyFont="1" applyAlignment="1">
      <alignment horizontal="center" vertical="top"/>
    </xf>
    <xf numFmtId="0" fontId="17" fillId="5" borderId="6" xfId="4495" applyFont="1" applyFill="1" applyBorder="1" applyAlignment="1" applyProtection="1">
      <alignment horizontal="left"/>
      <protection locked="0"/>
    </xf>
    <xf numFmtId="168" fontId="122" fillId="0" borderId="55" xfId="4496" applyNumberFormat="1" applyFont="1" applyBorder="1" applyAlignment="1">
      <alignment horizontal="center" vertical="top"/>
    </xf>
    <xf numFmtId="168" fontId="122" fillId="0" borderId="6" xfId="4496" applyNumberFormat="1" applyFont="1" applyBorder="1" applyAlignment="1">
      <alignment horizontal="center" vertical="top"/>
    </xf>
    <xf numFmtId="10" fontId="122" fillId="0" borderId="3" xfId="4496" applyNumberFormat="1" applyFont="1" applyBorder="1" applyAlignment="1">
      <alignment horizontal="center" vertical="top" wrapText="1"/>
    </xf>
    <xf numFmtId="10" fontId="122" fillId="0" borderId="4" xfId="4496" applyNumberFormat="1" applyFont="1" applyBorder="1" applyAlignment="1">
      <alignment horizontal="center" vertical="top" wrapText="1"/>
    </xf>
    <xf numFmtId="10" fontId="122" fillId="0" borderId="5" xfId="4496" applyNumberFormat="1" applyFont="1" applyBorder="1" applyAlignment="1">
      <alignment horizontal="center" vertical="top" wrapText="1"/>
    </xf>
    <xf numFmtId="1" fontId="122" fillId="0" borderId="55" xfId="4496" applyNumberFormat="1" applyFont="1" applyBorder="1" applyAlignment="1">
      <alignment horizontal="center" vertical="top" wrapText="1"/>
    </xf>
    <xf numFmtId="1" fontId="122" fillId="0" borderId="6" xfId="4496" applyNumberFormat="1" applyFont="1" applyBorder="1" applyAlignment="1">
      <alignment horizontal="center" vertical="top" wrapText="1"/>
    </xf>
    <xf numFmtId="168" fontId="122" fillId="43" borderId="55" xfId="4496" applyNumberFormat="1" applyFont="1" applyFill="1" applyBorder="1" applyAlignment="1" applyProtection="1">
      <alignment horizontal="center" vertical="top" wrapText="1"/>
      <protection locked="0"/>
    </xf>
    <xf numFmtId="168" fontId="122" fillId="43" borderId="6" xfId="4496" applyNumberFormat="1" applyFont="1" applyFill="1" applyBorder="1" applyAlignment="1" applyProtection="1">
      <alignment horizontal="center" vertical="top" wrapText="1"/>
      <protection locked="0"/>
    </xf>
    <xf numFmtId="0" fontId="17" fillId="0" borderId="0" xfId="1192" applyAlignment="1">
      <alignment horizontal="right"/>
    </xf>
    <xf numFmtId="0" fontId="17" fillId="5" borderId="6" xfId="1192" applyFill="1" applyBorder="1" applyAlignment="1" applyProtection="1">
      <alignment horizontal="left"/>
      <protection locked="0"/>
    </xf>
    <xf numFmtId="168" fontId="17" fillId="43" borderId="6" xfId="4495" applyNumberFormat="1" applyFont="1" applyFill="1" applyBorder="1" applyAlignment="1" applyProtection="1">
      <alignment horizontal="right"/>
      <protection locked="0"/>
    </xf>
    <xf numFmtId="9" fontId="17" fillId="0" borderId="6" xfId="1192" applyNumberFormat="1" applyBorder="1" applyAlignment="1">
      <alignment horizontal="center"/>
    </xf>
    <xf numFmtId="9" fontId="17" fillId="0" borderId="6" xfId="1192" quotePrefix="1" applyNumberFormat="1" applyBorder="1" applyAlignment="1">
      <alignment horizontal="center"/>
    </xf>
    <xf numFmtId="9" fontId="17" fillId="0" borderId="0" xfId="1192" quotePrefix="1" applyNumberFormat="1" applyAlignment="1">
      <alignment horizontal="center"/>
    </xf>
    <xf numFmtId="1" fontId="17" fillId="5" borderId="2" xfId="1192" applyNumberFormat="1" applyFill="1" applyBorder="1" applyAlignment="1" applyProtection="1">
      <alignment horizontal="center"/>
      <protection locked="0"/>
    </xf>
    <xf numFmtId="9" fontId="17" fillId="5" borderId="4" xfId="1192" applyNumberFormat="1" applyFill="1" applyBorder="1" applyAlignment="1" applyProtection="1">
      <alignment horizontal="left"/>
      <protection locked="0"/>
    </xf>
    <xf numFmtId="168" fontId="17" fillId="0" borderId="0" xfId="1192" applyNumberFormat="1" applyAlignment="1">
      <alignment horizontal="right"/>
    </xf>
    <xf numFmtId="1" fontId="17" fillId="5" borderId="4" xfId="1192" applyNumberFormat="1" applyFill="1" applyBorder="1" applyAlignment="1" applyProtection="1">
      <alignment horizontal="center"/>
      <protection locked="0"/>
    </xf>
    <xf numFmtId="0" fontId="142" fillId="0" borderId="6" xfId="1192" applyFont="1" applyBorder="1" applyAlignment="1">
      <alignment horizontal="center"/>
    </xf>
    <xf numFmtId="168" fontId="17" fillId="5" borderId="4" xfId="1192" applyNumberFormat="1" applyFill="1" applyBorder="1" applyAlignment="1" applyProtection="1">
      <alignment horizontal="center"/>
      <protection locked="0"/>
    </xf>
    <xf numFmtId="0" fontId="17" fillId="0" borderId="6" xfId="1192" applyBorder="1" applyAlignment="1">
      <alignment horizontal="left"/>
    </xf>
    <xf numFmtId="2" fontId="17" fillId="0" borderId="0" xfId="1192" applyNumberFormat="1" applyAlignment="1">
      <alignment horizontal="right"/>
    </xf>
    <xf numFmtId="0" fontId="25" fillId="5" borderId="6" xfId="4495" applyFont="1" applyFill="1" applyBorder="1" applyAlignment="1" applyProtection="1">
      <alignment horizontal="left"/>
      <protection locked="0"/>
    </xf>
    <xf numFmtId="0" fontId="17" fillId="0" borderId="0" xfId="4495" applyFont="1" applyAlignment="1">
      <alignment horizontal="left"/>
    </xf>
    <xf numFmtId="0" fontId="53" fillId="5" borderId="6" xfId="4495" applyFont="1" applyFill="1" applyBorder="1" applyAlignment="1" applyProtection="1">
      <alignment horizontal="left"/>
      <protection locked="0"/>
    </xf>
    <xf numFmtId="0" fontId="17" fillId="5" borderId="6" xfId="4495" applyFont="1" applyFill="1" applyBorder="1" applyAlignment="1" applyProtection="1">
      <alignment horizontal="center"/>
      <protection locked="0"/>
    </xf>
    <xf numFmtId="0" fontId="17" fillId="44" borderId="6" xfId="4495" applyFont="1" applyFill="1" applyBorder="1" applyAlignment="1">
      <alignment horizontal="left"/>
    </xf>
    <xf numFmtId="1" fontId="17" fillId="0" borderId="11" xfId="4495" applyNumberFormat="1" applyFont="1" applyBorder="1" applyAlignment="1">
      <alignment horizontal="center"/>
    </xf>
    <xf numFmtId="0" fontId="17" fillId="0" borderId="11" xfId="4495" applyFont="1" applyBorder="1" applyAlignment="1">
      <alignment horizontal="center"/>
    </xf>
    <xf numFmtId="0" fontId="120" fillId="5" borderId="6" xfId="4495" applyFill="1" applyBorder="1" applyAlignment="1" applyProtection="1">
      <alignment horizontal="center"/>
      <protection locked="0"/>
    </xf>
    <xf numFmtId="0" fontId="24" fillId="0" borderId="0" xfId="4495" applyFont="1" applyAlignment="1">
      <alignment horizontal="left" vertical="top"/>
    </xf>
    <xf numFmtId="0" fontId="120" fillId="0" borderId="0" xfId="4495" applyAlignment="1" applyProtection="1">
      <alignment horizontal="center"/>
      <protection locked="0"/>
    </xf>
    <xf numFmtId="0" fontId="17" fillId="0" borderId="3" xfId="4495" applyFont="1" applyBorder="1" applyAlignment="1">
      <alignment horizontal="center"/>
    </xf>
    <xf numFmtId="0" fontId="17" fillId="0" borderId="4" xfId="4495" applyFont="1" applyBorder="1" applyAlignment="1">
      <alignment horizontal="center"/>
    </xf>
    <xf numFmtId="0" fontId="17" fillId="0" borderId="5" xfId="4495" applyFont="1" applyBorder="1" applyAlignment="1">
      <alignment horizontal="center"/>
    </xf>
    <xf numFmtId="168" fontId="17" fillId="0" borderId="6" xfId="4496" applyNumberFormat="1" applyFont="1" applyBorder="1" applyAlignment="1">
      <alignment horizontal="center"/>
    </xf>
    <xf numFmtId="9" fontId="17" fillId="0" borderId="4" xfId="543" applyNumberFormat="1" applyBorder="1" applyAlignment="1">
      <alignment horizontal="center"/>
    </xf>
    <xf numFmtId="0" fontId="17" fillId="0" borderId="4" xfId="4496" applyFont="1" applyBorder="1" applyAlignment="1">
      <alignment horizontal="center"/>
    </xf>
    <xf numFmtId="0" fontId="17" fillId="0" borderId="5" xfId="4496" applyFont="1" applyBorder="1" applyAlignment="1">
      <alignment horizontal="center"/>
    </xf>
    <xf numFmtId="168" fontId="17" fillId="0" borderId="6" xfId="4495" applyNumberFormat="1" applyFont="1" applyBorder="1" applyAlignment="1">
      <alignment horizontal="right"/>
    </xf>
    <xf numFmtId="168" fontId="118" fillId="0" borderId="6" xfId="4495" applyNumberFormat="1" applyFont="1" applyBorder="1" applyAlignment="1">
      <alignment horizontal="right"/>
    </xf>
    <xf numFmtId="6" fontId="17" fillId="0" borderId="3" xfId="1192" applyNumberFormat="1" applyBorder="1" applyAlignment="1">
      <alignment horizontal="right"/>
    </xf>
    <xf numFmtId="6" fontId="17" fillId="0" borderId="4" xfId="1192" applyNumberFormat="1" applyBorder="1" applyAlignment="1">
      <alignment horizontal="right"/>
    </xf>
    <xf numFmtId="6" fontId="17" fillId="0" borderId="5" xfId="1192" applyNumberFormat="1" applyBorder="1" applyAlignment="1">
      <alignment horizontal="right"/>
    </xf>
    <xf numFmtId="168" fontId="17" fillId="0" borderId="4" xfId="4495" applyNumberFormat="1" applyFont="1" applyBorder="1" applyAlignment="1">
      <alignment horizontal="right"/>
    </xf>
    <xf numFmtId="165" fontId="17" fillId="43" borderId="3" xfId="4495" applyNumberFormat="1" applyFont="1" applyFill="1" applyBorder="1" applyAlignment="1" applyProtection="1">
      <alignment horizontal="center"/>
      <protection locked="0"/>
    </xf>
    <xf numFmtId="165" fontId="17" fillId="43" borderId="4" xfId="4495" applyNumberFormat="1" applyFont="1" applyFill="1" applyBorder="1" applyAlignment="1" applyProtection="1">
      <alignment horizontal="center"/>
      <protection locked="0"/>
    </xf>
    <xf numFmtId="165" fontId="17" fillId="43" borderId="5" xfId="4495" applyNumberFormat="1" applyFont="1" applyFill="1" applyBorder="1" applyAlignment="1" applyProtection="1">
      <alignment horizontal="center"/>
      <protection locked="0"/>
    </xf>
    <xf numFmtId="165" fontId="17" fillId="0" borderId="6" xfId="1192" applyNumberFormat="1" applyBorder="1" applyAlignment="1">
      <alignment horizontal="right"/>
    </xf>
    <xf numFmtId="168" fontId="17" fillId="0" borderId="2" xfId="1192" applyNumberFormat="1" applyBorder="1" applyAlignment="1">
      <alignment horizontal="right"/>
    </xf>
    <xf numFmtId="165" fontId="17" fillId="0" borderId="0" xfId="1192" applyNumberFormat="1" applyAlignment="1">
      <alignment horizontal="right"/>
    </xf>
    <xf numFmtId="0" fontId="17" fillId="0" borderId="53" xfId="4495" applyFont="1" applyBorder="1" applyAlignment="1">
      <alignment horizontal="left" vertical="top" wrapText="1"/>
    </xf>
    <xf numFmtId="0" fontId="17" fillId="0" borderId="0" xfId="4495" applyFont="1" applyAlignment="1">
      <alignment horizontal="left" vertical="top" wrapText="1"/>
    </xf>
    <xf numFmtId="0" fontId="17" fillId="0" borderId="54" xfId="4495" applyFont="1" applyBorder="1" applyAlignment="1">
      <alignment horizontal="left" vertical="top" wrapText="1"/>
    </xf>
    <xf numFmtId="0" fontId="17" fillId="0" borderId="57" xfId="4495" applyFont="1" applyBorder="1" applyAlignment="1">
      <alignment horizontal="left" vertical="top" wrapText="1"/>
    </xf>
    <xf numFmtId="0" fontId="17" fillId="0" borderId="58" xfId="4495" applyFont="1" applyBorder="1" applyAlignment="1">
      <alignment horizontal="left" vertical="top" wrapText="1"/>
    </xf>
    <xf numFmtId="0" fontId="17" fillId="0" borderId="59" xfId="4495" applyFont="1" applyBorder="1" applyAlignment="1">
      <alignment horizontal="left" vertical="top" wrapText="1"/>
    </xf>
    <xf numFmtId="0" fontId="17" fillId="0" borderId="50" xfId="4495" applyFont="1" applyBorder="1" applyAlignment="1">
      <alignment horizontal="left" vertical="top" wrapText="1"/>
    </xf>
    <xf numFmtId="0" fontId="17" fillId="0" borderId="51" xfId="4495" applyFont="1" applyBorder="1" applyAlignment="1">
      <alignment horizontal="left" vertical="top" wrapText="1"/>
    </xf>
    <xf numFmtId="0" fontId="17" fillId="0" borderId="52" xfId="4495" applyFont="1" applyBorder="1" applyAlignment="1">
      <alignment horizontal="left" vertical="top" wrapText="1"/>
    </xf>
    <xf numFmtId="0" fontId="24" fillId="0" borderId="0" xfId="4495" applyFont="1"/>
    <xf numFmtId="0" fontId="17" fillId="43" borderId="53" xfId="4495" applyFont="1" applyFill="1" applyBorder="1" applyAlignment="1" applyProtection="1">
      <alignment vertical="top" wrapText="1"/>
      <protection locked="0"/>
    </xf>
    <xf numFmtId="0" fontId="17" fillId="43" borderId="0" xfId="4495" applyFont="1" applyFill="1" applyAlignment="1" applyProtection="1">
      <alignment vertical="top" wrapText="1"/>
      <protection locked="0"/>
    </xf>
    <xf numFmtId="0" fontId="17" fillId="43" borderId="54" xfId="4495" applyFont="1" applyFill="1" applyBorder="1" applyAlignment="1" applyProtection="1">
      <alignment vertical="top" wrapText="1"/>
      <protection locked="0"/>
    </xf>
    <xf numFmtId="0" fontId="17" fillId="43" borderId="55" xfId="4495" applyFont="1" applyFill="1" applyBorder="1" applyAlignment="1" applyProtection="1">
      <alignment vertical="top" wrapText="1"/>
      <protection locked="0"/>
    </xf>
    <xf numFmtId="0" fontId="17" fillId="43" borderId="6" xfId="4495" applyFont="1" applyFill="1" applyBorder="1" applyAlignment="1" applyProtection="1">
      <alignment vertical="top" wrapText="1"/>
      <protection locked="0"/>
    </xf>
    <xf numFmtId="0" fontId="17" fillId="43" borderId="56" xfId="4495" applyFont="1" applyFill="1" applyBorder="1" applyAlignment="1" applyProtection="1">
      <alignment vertical="top" wrapText="1"/>
      <protection locked="0"/>
    </xf>
    <xf numFmtId="0" fontId="17" fillId="43" borderId="0" xfId="4495" applyFont="1" applyFill="1" applyAlignment="1" applyProtection="1">
      <alignment horizontal="left" vertical="center" wrapText="1"/>
      <protection locked="0"/>
    </xf>
    <xf numFmtId="0" fontId="17" fillId="43" borderId="54" xfId="4495" applyFont="1" applyFill="1" applyBorder="1" applyAlignment="1" applyProtection="1">
      <alignment horizontal="left" vertical="center" wrapText="1"/>
      <protection locked="0"/>
    </xf>
    <xf numFmtId="0" fontId="17" fillId="43" borderId="6" xfId="4495" applyFont="1" applyFill="1" applyBorder="1" applyAlignment="1" applyProtection="1">
      <alignment horizontal="left" vertical="center" wrapText="1"/>
      <protection locked="0"/>
    </xf>
    <xf numFmtId="0" fontId="17" fillId="43" borderId="56" xfId="4495" applyFont="1" applyFill="1" applyBorder="1" applyAlignment="1" applyProtection="1">
      <alignment horizontal="left" vertical="center" wrapText="1"/>
      <protection locked="0"/>
    </xf>
    <xf numFmtId="0" fontId="130" fillId="0" borderId="0" xfId="4495" applyFont="1" applyAlignment="1">
      <alignment horizontal="left" vertical="top" wrapText="1"/>
    </xf>
    <xf numFmtId="0" fontId="120" fillId="5" borderId="55" xfId="4495" applyFill="1" applyBorder="1" applyAlignment="1" applyProtection="1">
      <alignment horizontal="center"/>
      <protection locked="0"/>
    </xf>
    <xf numFmtId="0" fontId="24" fillId="0" borderId="0" xfId="4495" applyFont="1" applyAlignment="1">
      <alignment horizontal="center"/>
    </xf>
    <xf numFmtId="0" fontId="24" fillId="0" borderId="54" xfId="4495" applyFont="1" applyBorder="1" applyAlignment="1">
      <alignment horizontal="center"/>
    </xf>
    <xf numFmtId="0" fontId="25" fillId="0" borderId="51" xfId="4495" applyFont="1" applyBorder="1" applyAlignment="1">
      <alignment horizontal="left" vertical="top" wrapText="1"/>
    </xf>
    <xf numFmtId="0" fontId="25" fillId="0" borderId="0" xfId="4495" applyFont="1" applyAlignment="1">
      <alignment horizontal="left" vertical="top" wrapText="1"/>
    </xf>
    <xf numFmtId="0" fontId="24" fillId="0" borderId="54" xfId="4495" applyFont="1" applyBorder="1" applyAlignment="1">
      <alignment horizontal="center" vertical="top"/>
    </xf>
    <xf numFmtId="0" fontId="120" fillId="5" borderId="62" xfId="4495" applyFill="1" applyBorder="1" applyAlignment="1" applyProtection="1">
      <alignment horizontal="center"/>
      <protection locked="0"/>
    </xf>
    <xf numFmtId="0" fontId="120" fillId="5" borderId="63" xfId="4495" applyFill="1" applyBorder="1" applyAlignment="1" applyProtection="1">
      <alignment horizontal="center"/>
      <protection locked="0"/>
    </xf>
    <xf numFmtId="0" fontId="17" fillId="0" borderId="0" xfId="4495" applyFont="1" applyAlignment="1">
      <alignment horizontal="left" vertical="center" wrapText="1" shrinkToFit="1"/>
    </xf>
    <xf numFmtId="0" fontId="17" fillId="5" borderId="6" xfId="4495" applyFont="1" applyFill="1" applyBorder="1" applyAlignment="1" applyProtection="1">
      <alignment horizontal="center" vertical="center" wrapText="1" shrinkToFit="1"/>
      <protection locked="0"/>
    </xf>
    <xf numFmtId="0" fontId="17" fillId="5" borderId="6" xfId="4495" applyFont="1" applyFill="1" applyBorder="1" applyAlignment="1" applyProtection="1">
      <alignment horizontal="left" wrapText="1" shrinkToFit="1"/>
      <protection locked="0"/>
    </xf>
    <xf numFmtId="0" fontId="17" fillId="43" borderId="6" xfId="1192" applyFill="1" applyBorder="1" applyAlignment="1" applyProtection="1">
      <alignment horizontal="left" vertical="top"/>
      <protection locked="0"/>
    </xf>
    <xf numFmtId="0" fontId="157" fillId="0" borderId="0" xfId="0" applyFont="1" applyAlignment="1" applyProtection="1">
      <alignment horizontal="left"/>
      <protection locked="0"/>
    </xf>
    <xf numFmtId="168" fontId="156" fillId="0" borderId="0" xfId="0" applyNumberFormat="1" applyFont="1" applyAlignment="1">
      <alignment horizontal="center" vertical="top" wrapText="1"/>
    </xf>
    <xf numFmtId="168" fontId="156" fillId="0" borderId="12" xfId="0" applyNumberFormat="1" applyFont="1" applyBorder="1" applyAlignment="1">
      <alignment horizontal="center" vertical="top" wrapText="1"/>
    </xf>
    <xf numFmtId="0" fontId="25" fillId="0" borderId="0" xfId="4495" applyFont="1" applyAlignment="1">
      <alignment horizontal="center"/>
    </xf>
    <xf numFmtId="0" fontId="17" fillId="0" borderId="0" xfId="4495" applyFont="1" applyAlignment="1">
      <alignment wrapText="1"/>
    </xf>
    <xf numFmtId="0" fontId="17" fillId="0" borderId="0" xfId="4495" applyFont="1" applyAlignment="1">
      <alignment horizontal="left" vertical="top" wrapText="1" shrinkToFit="1"/>
    </xf>
    <xf numFmtId="44" fontId="17" fillId="0" borderId="0" xfId="707" applyFont="1" applyFill="1" applyBorder="1" applyAlignment="1" applyProtection="1">
      <alignment horizontal="left" vertical="top" wrapText="1"/>
    </xf>
    <xf numFmtId="0" fontId="24" fillId="0" borderId="0" xfId="4495" applyFont="1" applyAlignment="1">
      <alignment horizontal="left" vertical="top" wrapText="1"/>
    </xf>
    <xf numFmtId="0" fontId="17" fillId="45" borderId="11" xfId="4495" applyFont="1" applyFill="1" applyBorder="1" applyAlignment="1">
      <alignment horizontal="center"/>
    </xf>
    <xf numFmtId="0" fontId="130" fillId="0" borderId="0" xfId="4495" applyFont="1" applyAlignment="1">
      <alignment horizontal="left" vertical="center" wrapText="1"/>
    </xf>
    <xf numFmtId="0" fontId="24" fillId="0" borderId="11" xfId="4495" applyFont="1" applyBorder="1" applyAlignment="1">
      <alignment horizontal="center"/>
    </xf>
    <xf numFmtId="0" fontId="25" fillId="0" borderId="58" xfId="4495" applyFont="1" applyBorder="1" applyAlignment="1">
      <alignment horizontal="left" vertical="top" wrapText="1"/>
    </xf>
    <xf numFmtId="0" fontId="24" fillId="0" borderId="51" xfId="4495" applyFont="1" applyBorder="1" applyAlignment="1">
      <alignment horizontal="center" vertical="top"/>
    </xf>
    <xf numFmtId="0" fontId="24" fillId="0" borderId="52" xfId="4495" applyFont="1" applyBorder="1" applyAlignment="1">
      <alignment horizontal="center" vertical="top"/>
    </xf>
    <xf numFmtId="0" fontId="120" fillId="5" borderId="50" xfId="4495" applyFill="1" applyBorder="1" applyAlignment="1">
      <alignment horizontal="center"/>
    </xf>
    <xf numFmtId="0" fontId="120" fillId="5" borderId="51" xfId="4495" applyFill="1" applyBorder="1" applyAlignment="1">
      <alignment horizontal="center"/>
    </xf>
    <xf numFmtId="0" fontId="53" fillId="0" borderId="51" xfId="4495" applyFont="1" applyBorder="1" applyAlignment="1">
      <alignment horizontal="left" wrapText="1"/>
    </xf>
    <xf numFmtId="0" fontId="53" fillId="0" borderId="0" xfId="4495" applyFont="1" applyAlignment="1">
      <alignment horizontal="left" wrapText="1"/>
    </xf>
    <xf numFmtId="0" fontId="120" fillId="5" borderId="53" xfId="4495" applyFill="1" applyBorder="1" applyAlignment="1">
      <alignment horizontal="center"/>
    </xf>
    <xf numFmtId="0" fontId="120" fillId="5" borderId="0" xfId="4495" applyFill="1" applyAlignment="1">
      <alignment horizontal="center"/>
    </xf>
    <xf numFmtId="0" fontId="120" fillId="5" borderId="55" xfId="4495" applyFill="1" applyBorder="1" applyAlignment="1">
      <alignment horizontal="center"/>
    </xf>
    <xf numFmtId="0" fontId="120" fillId="5" borderId="6" xfId="4495" applyFill="1" applyBorder="1" applyAlignment="1">
      <alignment horizontal="center"/>
    </xf>
    <xf numFmtId="0" fontId="25" fillId="5" borderId="0" xfId="4495" applyFont="1" applyFill="1" applyAlignment="1">
      <alignment horizontal="left" vertical="top" wrapText="1"/>
    </xf>
    <xf numFmtId="0" fontId="25" fillId="5" borderId="58" xfId="4495" applyFont="1" applyFill="1" applyBorder="1" applyAlignment="1">
      <alignment horizontal="left" vertical="top" wrapText="1"/>
    </xf>
    <xf numFmtId="0" fontId="24" fillId="0" borderId="4" xfId="4495" applyFont="1" applyBorder="1" applyAlignment="1">
      <alignment horizontal="left"/>
    </xf>
    <xf numFmtId="0" fontId="24" fillId="0" borderId="5" xfId="4495" applyFont="1" applyBorder="1" applyAlignment="1">
      <alignment horizontal="left"/>
    </xf>
    <xf numFmtId="1" fontId="24" fillId="0" borderId="4" xfId="4495" applyNumberFormat="1" applyFont="1" applyBorder="1" applyAlignment="1">
      <alignment horizontal="center" wrapText="1"/>
    </xf>
    <xf numFmtId="0" fontId="24" fillId="0" borderId="4" xfId="4495" applyFont="1" applyBorder="1" applyAlignment="1">
      <alignment horizontal="center" wrapText="1"/>
    </xf>
    <xf numFmtId="0" fontId="24" fillId="0" borderId="5" xfId="4495" applyFont="1" applyBorder="1" applyAlignment="1">
      <alignment horizontal="center" wrapText="1"/>
    </xf>
    <xf numFmtId="0" fontId="24" fillId="0" borderId="3" xfId="4495" applyFont="1" applyBorder="1" applyAlignment="1">
      <alignment horizontal="center" wrapText="1"/>
    </xf>
    <xf numFmtId="0" fontId="17" fillId="0" borderId="50" xfId="4496" applyFont="1" applyBorder="1" applyAlignment="1">
      <alignment horizontal="left" wrapText="1"/>
    </xf>
    <xf numFmtId="0" fontId="17" fillId="0" borderId="51" xfId="4496" applyFont="1" applyBorder="1" applyAlignment="1">
      <alignment horizontal="left" wrapText="1"/>
    </xf>
    <xf numFmtId="0" fontId="17" fillId="0" borderId="52" xfId="4496" applyFont="1" applyBorder="1" applyAlignment="1">
      <alignment horizontal="left" wrapText="1"/>
    </xf>
    <xf numFmtId="0" fontId="17" fillId="0" borderId="53" xfId="4496" applyFont="1" applyBorder="1" applyAlignment="1">
      <alignment horizontal="left" wrapText="1"/>
    </xf>
    <xf numFmtId="0" fontId="17" fillId="0" borderId="0" xfId="4496" applyFont="1" applyAlignment="1">
      <alignment horizontal="left" wrapText="1"/>
    </xf>
    <xf numFmtId="0" fontId="17" fillId="0" borderId="54" xfId="4496" applyFont="1" applyBorder="1" applyAlignment="1">
      <alignment horizontal="left" wrapText="1"/>
    </xf>
    <xf numFmtId="0" fontId="17" fillId="0" borderId="57" xfId="4496" applyFont="1" applyBorder="1" applyAlignment="1">
      <alignment horizontal="left" wrapText="1"/>
    </xf>
    <xf numFmtId="0" fontId="17" fillId="0" borderId="58" xfId="4496" applyFont="1" applyBorder="1" applyAlignment="1">
      <alignment horizontal="left" wrapText="1"/>
    </xf>
    <xf numFmtId="0" fontId="17" fillId="0" borderId="59" xfId="4496" applyFont="1" applyBorder="1" applyAlignment="1">
      <alignment horizontal="left" wrapText="1"/>
    </xf>
    <xf numFmtId="1" fontId="17" fillId="0" borderId="4" xfId="4496" applyNumberFormat="1" applyFont="1" applyBorder="1" applyAlignment="1">
      <alignment horizontal="center"/>
    </xf>
    <xf numFmtId="1" fontId="17" fillId="0" borderId="5" xfId="4496" applyNumberFormat="1" applyFont="1" applyBorder="1" applyAlignment="1">
      <alignment horizontal="center"/>
    </xf>
    <xf numFmtId="49" fontId="23" fillId="3" borderId="2" xfId="4495" applyNumberFormat="1" applyFont="1" applyFill="1" applyBorder="1" applyAlignment="1">
      <alignment horizontal="center" vertical="center" wrapText="1"/>
    </xf>
    <xf numFmtId="49" fontId="23" fillId="3" borderId="2" xfId="4495" applyNumberFormat="1" applyFont="1" applyFill="1" applyBorder="1" applyAlignment="1">
      <alignment horizontal="center" vertical="center"/>
    </xf>
    <xf numFmtId="49" fontId="23" fillId="3" borderId="0" xfId="4495" applyNumberFormat="1" applyFont="1" applyFill="1" applyAlignment="1">
      <alignment horizontal="center" vertical="center"/>
    </xf>
    <xf numFmtId="0" fontId="24" fillId="0" borderId="1" xfId="4495" applyFont="1" applyBorder="1" applyAlignment="1">
      <alignment horizontal="center" wrapText="1"/>
    </xf>
    <xf numFmtId="0" fontId="24" fillId="0" borderId="2" xfId="4495" applyFont="1" applyBorder="1" applyAlignment="1">
      <alignment horizontal="center" wrapText="1"/>
    </xf>
    <xf numFmtId="0" fontId="24" fillId="0" borderId="7" xfId="4495" applyFont="1" applyBorder="1" applyAlignment="1">
      <alignment horizontal="center" wrapText="1"/>
    </xf>
    <xf numFmtId="0" fontId="24" fillId="0" borderId="9" xfId="4495" applyFont="1" applyBorder="1" applyAlignment="1">
      <alignment horizontal="center" wrapText="1"/>
    </xf>
    <xf numFmtId="0" fontId="24" fillId="0" borderId="6" xfId="4495" applyFont="1" applyBorder="1" applyAlignment="1">
      <alignment horizontal="center" wrapText="1"/>
    </xf>
    <xf numFmtId="0" fontId="24" fillId="0" borderId="10" xfId="4495" applyFont="1" applyBorder="1" applyAlignment="1">
      <alignment horizontal="center" wrapText="1"/>
    </xf>
    <xf numFmtId="1" fontId="24" fillId="0" borderId="11" xfId="4495" applyNumberFormat="1" applyFont="1" applyBorder="1" applyAlignment="1">
      <alignment horizontal="center"/>
    </xf>
    <xf numFmtId="0" fontId="17" fillId="0" borderId="4" xfId="4495" applyFont="1" applyBorder="1" applyAlignment="1">
      <alignment horizontal="left"/>
    </xf>
    <xf numFmtId="0" fontId="17" fillId="0" borderId="5" xfId="4495" applyFont="1" applyBorder="1" applyAlignment="1">
      <alignment horizontal="left"/>
    </xf>
    <xf numFmtId="1" fontId="17" fillId="46" borderId="11" xfId="4495" applyNumberFormat="1" applyFont="1" applyFill="1" applyBorder="1" applyAlignment="1">
      <alignment horizontal="center"/>
    </xf>
    <xf numFmtId="0" fontId="24" fillId="0" borderId="3" xfId="4495" applyFont="1" applyBorder="1" applyAlignment="1">
      <alignment horizontal="left"/>
    </xf>
    <xf numFmtId="0" fontId="17" fillId="5" borderId="11" xfId="4495" applyFont="1" applyFill="1" applyBorder="1" applyAlignment="1" applyProtection="1">
      <alignment horizontal="center"/>
      <protection locked="0"/>
    </xf>
    <xf numFmtId="0" fontId="24" fillId="0" borderId="3" xfId="4495" applyFont="1" applyBorder="1" applyAlignment="1">
      <alignment horizontal="center"/>
    </xf>
    <xf numFmtId="0" fontId="24" fillId="0" borderId="4" xfId="4495" applyFont="1" applyBorder="1" applyAlignment="1">
      <alignment horizontal="center"/>
    </xf>
    <xf numFmtId="0" fontId="24" fillId="0" borderId="5" xfId="4495" applyFont="1" applyBorder="1" applyAlignment="1">
      <alignment horizontal="center"/>
    </xf>
    <xf numFmtId="164" fontId="64" fillId="0" borderId="1" xfId="4495" applyNumberFormat="1" applyFont="1" applyBorder="1" applyAlignment="1">
      <alignment horizontal="right" vertical="center"/>
    </xf>
    <xf numFmtId="164" fontId="64" fillId="0" borderId="2" xfId="4495" applyNumberFormat="1" applyFont="1" applyBorder="1" applyAlignment="1">
      <alignment horizontal="right" vertical="center"/>
    </xf>
    <xf numFmtId="164" fontId="64" fillId="0" borderId="7" xfId="4495" applyNumberFormat="1" applyFont="1" applyBorder="1" applyAlignment="1">
      <alignment horizontal="right" vertical="center"/>
    </xf>
    <xf numFmtId="164" fontId="64" fillId="0" borderId="9" xfId="4495" applyNumberFormat="1" applyFont="1" applyBorder="1" applyAlignment="1">
      <alignment horizontal="right" vertical="center"/>
    </xf>
    <xf numFmtId="164" fontId="64" fillId="0" borderId="6" xfId="4495" applyNumberFormat="1" applyFont="1" applyBorder="1" applyAlignment="1">
      <alignment horizontal="right" vertical="center"/>
    </xf>
    <xf numFmtId="164" fontId="64" fillId="0" borderId="10" xfId="4495" applyNumberFormat="1" applyFont="1" applyBorder="1" applyAlignment="1">
      <alignment horizontal="right" vertical="center"/>
    </xf>
    <xf numFmtId="180" fontId="64" fillId="0" borderId="1" xfId="4495" applyNumberFormat="1" applyFont="1" applyBorder="1" applyAlignment="1">
      <alignment horizontal="center" vertical="center"/>
    </xf>
    <xf numFmtId="180" fontId="64" fillId="0" borderId="2" xfId="4495" applyNumberFormat="1" applyFont="1" applyBorder="1" applyAlignment="1">
      <alignment horizontal="center" vertical="center"/>
    </xf>
    <xf numFmtId="180" fontId="64" fillId="0" borderId="7" xfId="4495" applyNumberFormat="1" applyFont="1" applyBorder="1" applyAlignment="1">
      <alignment horizontal="center" vertical="center"/>
    </xf>
    <xf numFmtId="180" fontId="64" fillId="0" borderId="9" xfId="4495" applyNumberFormat="1" applyFont="1" applyBorder="1" applyAlignment="1">
      <alignment horizontal="center" vertical="center"/>
    </xf>
    <xf numFmtId="180" fontId="64" fillId="0" borderId="6" xfId="4495" applyNumberFormat="1" applyFont="1" applyBorder="1" applyAlignment="1">
      <alignment horizontal="center" vertical="center"/>
    </xf>
    <xf numFmtId="180" fontId="64" fillId="0" borderId="10" xfId="4495" applyNumberFormat="1" applyFont="1" applyBorder="1" applyAlignment="1">
      <alignment horizontal="center" vertical="center"/>
    </xf>
    <xf numFmtId="0" fontId="17" fillId="0" borderId="6" xfId="1192" applyBorder="1" applyAlignment="1">
      <alignment horizontal="right"/>
    </xf>
    <xf numFmtId="0" fontId="122" fillId="0" borderId="50" xfId="4496" applyFont="1" applyBorder="1" applyAlignment="1">
      <alignment horizontal="left" wrapText="1"/>
    </xf>
    <xf numFmtId="0" fontId="122" fillId="0" borderId="51" xfId="4496" applyFont="1" applyBorder="1" applyAlignment="1">
      <alignment horizontal="left" wrapText="1"/>
    </xf>
    <xf numFmtId="0" fontId="122" fillId="0" borderId="52" xfId="4496" applyFont="1" applyBorder="1" applyAlignment="1">
      <alignment horizontal="left" wrapText="1"/>
    </xf>
    <xf numFmtId="0" fontId="122" fillId="0" borderId="57" xfId="4496" applyFont="1" applyBorder="1" applyAlignment="1">
      <alignment horizontal="left" wrapText="1"/>
    </xf>
    <xf numFmtId="0" fontId="122" fillId="0" borderId="58" xfId="4496" applyFont="1" applyBorder="1" applyAlignment="1">
      <alignment horizontal="left" wrapText="1"/>
    </xf>
    <xf numFmtId="0" fontId="122" fillId="0" borderId="59" xfId="4496" applyFont="1" applyBorder="1" applyAlignment="1">
      <alignment horizontal="left" wrapText="1"/>
    </xf>
    <xf numFmtId="0" fontId="120" fillId="0" borderId="53" xfId="4495" applyBorder="1" applyAlignment="1">
      <alignment horizontal="center"/>
    </xf>
    <xf numFmtId="0" fontId="120" fillId="0" borderId="0" xfId="4495" applyAlignment="1">
      <alignment horizontal="center"/>
    </xf>
    <xf numFmtId="0" fontId="25" fillId="5" borderId="0" xfId="4495" applyFont="1" applyFill="1" applyAlignment="1">
      <alignment horizontal="left" vertical="top"/>
    </xf>
    <xf numFmtId="168" fontId="17" fillId="0" borderId="6" xfId="1192" applyNumberFormat="1" applyBorder="1" applyAlignment="1">
      <alignment horizontal="right"/>
    </xf>
    <xf numFmtId="0" fontId="118" fillId="0" borderId="4" xfId="1192" applyFont="1" applyBorder="1" applyAlignment="1">
      <alignment horizontal="left"/>
    </xf>
    <xf numFmtId="168" fontId="17" fillId="43" borderId="6" xfId="543" applyNumberFormat="1" applyFill="1" applyBorder="1" applyAlignment="1" applyProtection="1">
      <alignment horizontal="center"/>
      <protection locked="0"/>
    </xf>
    <xf numFmtId="168" fontId="17" fillId="43" borderId="6" xfId="1192" applyNumberFormat="1" applyFill="1" applyBorder="1" applyAlignment="1" applyProtection="1">
      <alignment horizontal="right"/>
      <protection locked="0"/>
    </xf>
    <xf numFmtId="0" fontId="25" fillId="5" borderId="58" xfId="4495" applyFont="1" applyFill="1" applyBorder="1" applyAlignment="1">
      <alignment horizontal="left"/>
    </xf>
    <xf numFmtId="0" fontId="53" fillId="0" borderId="51" xfId="4495" applyFont="1" applyBorder="1" applyAlignment="1">
      <alignment horizontal="left" vertical="top" wrapText="1"/>
    </xf>
    <xf numFmtId="0" fontId="53" fillId="0" borderId="0" xfId="4495" applyFont="1" applyAlignment="1">
      <alignment horizontal="left" vertical="top" wrapText="1"/>
    </xf>
    <xf numFmtId="9" fontId="25" fillId="5" borderId="58" xfId="4495" applyNumberFormat="1" applyFont="1" applyFill="1" applyBorder="1" applyAlignment="1">
      <alignment horizontal="left"/>
    </xf>
    <xf numFmtId="9" fontId="25" fillId="5" borderId="6" xfId="4495" applyNumberFormat="1" applyFont="1" applyFill="1" applyBorder="1" applyAlignment="1">
      <alignment horizontal="left"/>
    </xf>
    <xf numFmtId="0" fontId="25" fillId="5" borderId="6" xfId="4495" applyFont="1" applyFill="1" applyBorder="1" applyAlignment="1">
      <alignment horizontal="left"/>
    </xf>
    <xf numFmtId="0" fontId="120" fillId="5" borderId="62" xfId="4495" applyFill="1" applyBorder="1" applyAlignment="1">
      <alignment horizontal="center"/>
    </xf>
    <xf numFmtId="0" fontId="120" fillId="5" borderId="63" xfId="4495" applyFill="1" applyBorder="1" applyAlignment="1">
      <alignment horizontal="center"/>
    </xf>
    <xf numFmtId="10" fontId="25" fillId="0" borderId="2" xfId="4495" applyNumberFormat="1" applyFont="1" applyBorder="1" applyAlignment="1">
      <alignment horizontal="center"/>
    </xf>
    <xf numFmtId="4" fontId="25" fillId="0" borderId="0" xfId="4495" applyNumberFormat="1" applyFont="1" applyAlignment="1">
      <alignment horizontal="center"/>
    </xf>
    <xf numFmtId="0" fontId="33" fillId="42" borderId="2" xfId="4495" applyFont="1" applyFill="1" applyBorder="1" applyAlignment="1">
      <alignment horizontal="center"/>
    </xf>
    <xf numFmtId="0" fontId="33" fillId="42" borderId="6" xfId="4495" applyFont="1" applyFill="1" applyBorder="1" applyAlignment="1">
      <alignment horizontal="center"/>
    </xf>
    <xf numFmtId="4" fontId="25" fillId="0" borderId="6" xfId="4495" applyNumberFormat="1" applyFont="1" applyBorder="1" applyAlignment="1">
      <alignment horizontal="center"/>
    </xf>
    <xf numFmtId="168" fontId="17" fillId="0" borderId="4" xfId="1192" applyNumberFormat="1" applyBorder="1" applyAlignment="1">
      <alignment horizontal="right"/>
    </xf>
    <xf numFmtId="168" fontId="17" fillId="0" borderId="4" xfId="4496" applyNumberFormat="1" applyFont="1" applyBorder="1" applyAlignment="1">
      <alignment horizontal="center"/>
    </xf>
    <xf numFmtId="9" fontId="17" fillId="0" borderId="4" xfId="4496" applyNumberFormat="1" applyFont="1" applyBorder="1" applyAlignment="1">
      <alignment horizontal="center"/>
    </xf>
    <xf numFmtId="0" fontId="24" fillId="0" borderId="0" xfId="4495" applyFont="1" applyAlignment="1">
      <alignment horizontal="left" wrapText="1"/>
    </xf>
    <xf numFmtId="164" fontId="17" fillId="0" borderId="50" xfId="4495" applyNumberFormat="1" applyFont="1" applyBorder="1" applyAlignment="1">
      <alignment horizontal="left" vertical="top" wrapText="1"/>
    </xf>
    <xf numFmtId="164" fontId="17" fillId="0" borderId="51" xfId="4495" applyNumberFormat="1" applyFont="1" applyBorder="1" applyAlignment="1">
      <alignment horizontal="left" vertical="top" wrapText="1"/>
    </xf>
    <xf numFmtId="164" fontId="17" fillId="0" borderId="52" xfId="4495" applyNumberFormat="1" applyFont="1" applyBorder="1" applyAlignment="1">
      <alignment horizontal="left" vertical="top" wrapText="1"/>
    </xf>
    <xf numFmtId="164" fontId="17" fillId="0" borderId="53" xfId="4495" applyNumberFormat="1" applyFont="1" applyBorder="1" applyAlignment="1">
      <alignment horizontal="left" vertical="top" wrapText="1"/>
    </xf>
    <xf numFmtId="164" fontId="17" fillId="0" borderId="0" xfId="4495" applyNumberFormat="1" applyFont="1" applyAlignment="1">
      <alignment horizontal="left" vertical="top" wrapText="1"/>
    </xf>
    <xf numFmtId="164" fontId="17" fillId="0" borderId="54" xfId="4495" applyNumberFormat="1" applyFont="1" applyBorder="1" applyAlignment="1">
      <alignment horizontal="left" vertical="top" wrapText="1"/>
    </xf>
    <xf numFmtId="164" fontId="17" fillId="0" borderId="57" xfId="4495" applyNumberFormat="1" applyFont="1" applyBorder="1" applyAlignment="1">
      <alignment horizontal="left" vertical="top" wrapText="1"/>
    </xf>
    <xf numFmtId="164" fontId="17" fillId="0" borderId="58" xfId="4495" applyNumberFormat="1" applyFont="1" applyBorder="1" applyAlignment="1">
      <alignment horizontal="left" vertical="top" wrapText="1"/>
    </xf>
    <xf numFmtId="164" fontId="17" fillId="0" borderId="59" xfId="4495" applyNumberFormat="1" applyFont="1" applyBorder="1" applyAlignment="1">
      <alignment horizontal="left" vertical="top" wrapText="1"/>
    </xf>
    <xf numFmtId="4" fontId="25" fillId="0" borderId="3" xfId="4495" applyNumberFormat="1" applyFont="1" applyBorder="1" applyAlignment="1">
      <alignment horizontal="center"/>
    </xf>
    <xf numFmtId="4" fontId="25" fillId="0" borderId="4" xfId="4495" applyNumberFormat="1" applyFont="1" applyBorder="1" applyAlignment="1">
      <alignment horizontal="center"/>
    </xf>
    <xf numFmtId="4" fontId="25" fillId="0" borderId="5" xfId="4495" applyNumberFormat="1" applyFont="1" applyBorder="1" applyAlignment="1">
      <alignment horizontal="center"/>
    </xf>
    <xf numFmtId="165" fontId="122" fillId="0" borderId="3" xfId="4496" applyNumberFormat="1" applyFont="1" applyBorder="1" applyAlignment="1">
      <alignment horizontal="center" vertical="top" wrapText="1"/>
    </xf>
    <xf numFmtId="165" fontId="122" fillId="0" borderId="5" xfId="4496" applyNumberFormat="1" applyFont="1" applyBorder="1" applyAlignment="1">
      <alignment horizontal="center" vertical="top" wrapText="1"/>
    </xf>
    <xf numFmtId="3" fontId="17" fillId="43" borderId="6" xfId="1192" applyNumberFormat="1" applyFill="1" applyBorder="1" applyAlignment="1" applyProtection="1">
      <alignment horizontal="right"/>
      <protection locked="0"/>
    </xf>
    <xf numFmtId="0" fontId="142" fillId="0" borderId="0" xfId="1192" applyFont="1" applyAlignment="1">
      <alignment horizontal="center"/>
    </xf>
    <xf numFmtId="0" fontId="98" fillId="0" borderId="69" xfId="4496" applyFont="1" applyBorder="1" applyAlignment="1">
      <alignment horizontal="right"/>
    </xf>
    <xf numFmtId="0" fontId="98" fillId="0" borderId="70" xfId="4496" applyFont="1" applyBorder="1" applyAlignment="1">
      <alignment horizontal="right"/>
    </xf>
    <xf numFmtId="0" fontId="98" fillId="0" borderId="11" xfId="4496" applyFont="1" applyBorder="1"/>
    <xf numFmtId="0" fontId="98" fillId="0" borderId="76" xfId="4496" applyFont="1" applyBorder="1"/>
    <xf numFmtId="0" fontId="98" fillId="0" borderId="70" xfId="4496" applyFont="1" applyBorder="1"/>
    <xf numFmtId="0" fontId="98" fillId="0" borderId="77" xfId="4496" applyFont="1" applyBorder="1"/>
    <xf numFmtId="0" fontId="98" fillId="0" borderId="68" xfId="4496" applyFont="1" applyBorder="1"/>
    <xf numFmtId="0" fontId="98" fillId="0" borderId="71" xfId="4496" applyFont="1" applyBorder="1"/>
    <xf numFmtId="0" fontId="98" fillId="0" borderId="67" xfId="4496" applyFont="1" applyBorder="1" applyAlignment="1">
      <alignment horizontal="right"/>
    </xf>
    <xf numFmtId="0" fontId="98" fillId="0" borderId="68" xfId="4496" applyFont="1" applyBorder="1" applyAlignment="1">
      <alignment horizontal="right"/>
    </xf>
    <xf numFmtId="0" fontId="98" fillId="0" borderId="0" xfId="4496" applyFont="1" applyAlignment="1">
      <alignment horizontal="left" wrapText="1" indent="1"/>
    </xf>
    <xf numFmtId="49" fontId="136" fillId="3" borderId="0" xfId="1192" applyNumberFormat="1" applyFont="1" applyFill="1" applyAlignment="1">
      <alignment horizontal="center" vertical="center"/>
    </xf>
    <xf numFmtId="0" fontId="98" fillId="0" borderId="11" xfId="4496" applyFont="1" applyBorder="1" applyAlignment="1">
      <alignment horizontal="left" indent="1"/>
    </xf>
    <xf numFmtId="0" fontId="98" fillId="0" borderId="11" xfId="4496" applyFont="1" applyBorder="1" applyAlignment="1">
      <alignment horizontal="left" indent="2"/>
    </xf>
    <xf numFmtId="0" fontId="137" fillId="45" borderId="3" xfId="4496" applyFont="1" applyFill="1" applyBorder="1" applyAlignment="1">
      <alignment horizontal="center" vertical="center"/>
    </xf>
    <xf numFmtId="0" fontId="137" fillId="45" borderId="4" xfId="4496" applyFont="1" applyFill="1" applyBorder="1" applyAlignment="1">
      <alignment horizontal="center" vertical="center"/>
    </xf>
    <xf numFmtId="0" fontId="137" fillId="45" borderId="5" xfId="4496" applyFont="1" applyFill="1" applyBorder="1" applyAlignment="1">
      <alignment horizontal="center" vertical="center"/>
    </xf>
    <xf numFmtId="9" fontId="137" fillId="45" borderId="3" xfId="4499" applyFont="1" applyFill="1" applyBorder="1" applyAlignment="1" applyProtection="1">
      <alignment horizontal="center" vertical="center"/>
    </xf>
    <xf numFmtId="9" fontId="137" fillId="45" borderId="4" xfId="4499" applyFont="1" applyFill="1" applyBorder="1" applyAlignment="1" applyProtection="1">
      <alignment horizontal="center" vertical="center"/>
    </xf>
    <xf numFmtId="9" fontId="137" fillId="45" borderId="5" xfId="4499" applyFont="1" applyFill="1" applyBorder="1" applyAlignment="1" applyProtection="1">
      <alignment horizontal="center" vertical="center"/>
    </xf>
    <xf numFmtId="168" fontId="98" fillId="0" borderId="11" xfId="4499" applyNumberFormat="1" applyFont="1" applyFill="1" applyBorder="1" applyAlignment="1" applyProtection="1">
      <alignment horizontal="left" vertical="center" indent="1"/>
    </xf>
    <xf numFmtId="49" fontId="98" fillId="45" borderId="15" xfId="4496" applyNumberFormat="1" applyFont="1" applyFill="1" applyBorder="1" applyAlignment="1">
      <alignment horizontal="center" vertical="center" wrapText="1"/>
    </xf>
    <xf numFmtId="49" fontId="98" fillId="45" borderId="13" xfId="4496" applyNumberFormat="1" applyFont="1" applyFill="1" applyBorder="1" applyAlignment="1">
      <alignment horizontal="center" vertical="center" wrapText="1"/>
    </xf>
    <xf numFmtId="0" fontId="137" fillId="0" borderId="68" xfId="4496" applyFont="1" applyBorder="1" applyAlignment="1">
      <alignment horizontal="left" indent="1"/>
    </xf>
    <xf numFmtId="168" fontId="98" fillId="0" borderId="70" xfId="4499" applyNumberFormat="1" applyFont="1" applyFill="1" applyBorder="1" applyAlignment="1" applyProtection="1">
      <alignment horizontal="left" vertical="center" indent="1"/>
    </xf>
    <xf numFmtId="0" fontId="98" fillId="0" borderId="72" xfId="4496" applyFont="1" applyBorder="1" applyAlignment="1">
      <alignment horizontal="right"/>
    </xf>
    <xf numFmtId="0" fontId="98" fillId="0" borderId="11" xfId="4496" applyFont="1" applyBorder="1" applyAlignment="1">
      <alignment horizontal="right"/>
    </xf>
    <xf numFmtId="168" fontId="98" fillId="0" borderId="13" xfId="4499" applyNumberFormat="1" applyFont="1" applyFill="1" applyBorder="1" applyAlignment="1" applyProtection="1">
      <alignment horizontal="left" vertical="center" indent="1"/>
    </xf>
    <xf numFmtId="0" fontId="98" fillId="0" borderId="3" xfId="4496" applyFont="1" applyBorder="1" applyAlignment="1">
      <alignment horizontal="left" indent="1"/>
    </xf>
    <xf numFmtId="0" fontId="98" fillId="0" borderId="4" xfId="4496" applyFont="1" applyBorder="1" applyAlignment="1">
      <alignment horizontal="left" indent="1"/>
    </xf>
    <xf numFmtId="0" fontId="98" fillId="0" borderId="5" xfId="4496" applyFont="1" applyBorder="1" applyAlignment="1">
      <alignment horizontal="left" indent="1"/>
    </xf>
    <xf numFmtId="0" fontId="98" fillId="0" borderId="3" xfId="4496" applyFont="1" applyBorder="1" applyAlignment="1">
      <alignment horizontal="left" indent="2"/>
    </xf>
    <xf numFmtId="0" fontId="98" fillId="0" borderId="4" xfId="4496" applyFont="1" applyBorder="1" applyAlignment="1">
      <alignment horizontal="left" indent="2"/>
    </xf>
    <xf numFmtId="0" fontId="98" fillId="0" borderId="5" xfId="4496" applyFont="1" applyBorder="1" applyAlignment="1">
      <alignment horizontal="left" indent="2"/>
    </xf>
    <xf numFmtId="0" fontId="137" fillId="0" borderId="3" xfId="4496" applyFont="1" applyBorder="1" applyAlignment="1">
      <alignment horizontal="center"/>
    </xf>
    <xf numFmtId="0" fontId="137" fillId="0" borderId="4" xfId="4496" applyFont="1" applyBorder="1" applyAlignment="1">
      <alignment horizontal="center"/>
    </xf>
    <xf numFmtId="0" fontId="137" fillId="0" borderId="5" xfId="4496" applyFont="1" applyBorder="1" applyAlignment="1">
      <alignment horizontal="center"/>
    </xf>
    <xf numFmtId="0" fontId="98" fillId="0" borderId="0" xfId="4496" applyFont="1" applyAlignment="1">
      <alignment wrapText="1"/>
    </xf>
    <xf numFmtId="0" fontId="137" fillId="0" borderId="75" xfId="4496" applyFont="1" applyBorder="1" applyAlignment="1">
      <alignment horizontal="center" vertical="top" wrapText="1"/>
    </xf>
    <xf numFmtId="0" fontId="137" fillId="0" borderId="74" xfId="4496" applyFont="1" applyBorder="1" applyAlignment="1">
      <alignment horizontal="center" vertical="top" wrapText="1"/>
    </xf>
    <xf numFmtId="0" fontId="98" fillId="0" borderId="0" xfId="4496" applyFont="1" applyAlignment="1">
      <alignment horizontal="left" wrapText="1"/>
    </xf>
    <xf numFmtId="0" fontId="98" fillId="0" borderId="0" xfId="4496" applyFont="1" applyAlignment="1">
      <alignment horizontal="center" vertical="center" wrapText="1"/>
    </xf>
    <xf numFmtId="0" fontId="98" fillId="43" borderId="0" xfId="4496" applyFont="1" applyFill="1" applyAlignment="1" applyProtection="1">
      <alignment horizontal="left" vertical="top" wrapText="1"/>
      <protection locked="0"/>
    </xf>
    <xf numFmtId="0" fontId="98" fillId="43" borderId="6" xfId="4496" applyFont="1" applyFill="1" applyBorder="1" applyAlignment="1" applyProtection="1">
      <alignment horizontal="left" vertical="top" wrapText="1"/>
      <protection locked="0"/>
    </xf>
    <xf numFmtId="168" fontId="17" fillId="0" borderId="11" xfId="569" applyNumberFormat="1" applyBorder="1"/>
    <xf numFmtId="168" fontId="17" fillId="0" borderId="3" xfId="569" applyNumberFormat="1" applyBorder="1"/>
    <xf numFmtId="168" fontId="17" fillId="0" borderId="4" xfId="569" applyNumberFormat="1" applyBorder="1"/>
    <xf numFmtId="168" fontId="17" fillId="0" borderId="5" xfId="569" applyNumberFormat="1" applyBorder="1"/>
    <xf numFmtId="168" fontId="17" fillId="0" borderId="11" xfId="569" applyNumberFormat="1" applyBorder="1" applyAlignment="1">
      <alignment wrapText="1"/>
    </xf>
    <xf numFmtId="168" fontId="17" fillId="0" borderId="11" xfId="569" applyNumberFormat="1" applyBorder="1" applyAlignment="1">
      <alignment horizontal="right"/>
    </xf>
    <xf numFmtId="9" fontId="17" fillId="0" borderId="15" xfId="569" applyNumberFormat="1" applyBorder="1" applyAlignment="1">
      <alignment horizontal="center"/>
    </xf>
    <xf numFmtId="168" fontId="17" fillId="0" borderId="11" xfId="569" applyNumberFormat="1" applyBorder="1" applyAlignment="1">
      <alignment horizontal="center"/>
    </xf>
    <xf numFmtId="0" fontId="17" fillId="0" borderId="11" xfId="569" applyBorder="1" applyAlignment="1">
      <alignment horizontal="center"/>
    </xf>
    <xf numFmtId="176" fontId="17" fillId="5" borderId="3" xfId="569" applyNumberFormat="1" applyFill="1" applyBorder="1" applyAlignment="1" applyProtection="1">
      <alignment horizontal="right"/>
      <protection locked="0"/>
    </xf>
    <xf numFmtId="176" fontId="17" fillId="5" borderId="4" xfId="569" applyNumberFormat="1" applyFill="1" applyBorder="1" applyAlignment="1" applyProtection="1">
      <alignment horizontal="right"/>
      <protection locked="0"/>
    </xf>
    <xf numFmtId="176" fontId="17" fillId="5" borderId="5" xfId="569" applyNumberFormat="1" applyFill="1" applyBorder="1" applyAlignment="1" applyProtection="1">
      <alignment horizontal="right"/>
      <protection locked="0"/>
    </xf>
    <xf numFmtId="0" fontId="107" fillId="0" borderId="0" xfId="0" applyFont="1" applyAlignment="1">
      <alignment horizontal="left" vertical="top" wrapText="1"/>
    </xf>
    <xf numFmtId="0" fontId="24" fillId="0" borderId="3" xfId="569" applyFont="1" applyBorder="1" applyAlignment="1">
      <alignment horizontal="right"/>
    </xf>
    <xf numFmtId="0" fontId="24" fillId="0" borderId="4" xfId="569" applyFont="1" applyBorder="1" applyAlignment="1">
      <alignment horizontal="right"/>
    </xf>
    <xf numFmtId="0" fontId="24" fillId="0" borderId="5" xfId="569" applyFont="1" applyBorder="1" applyAlignment="1">
      <alignment horizontal="right"/>
    </xf>
    <xf numFmtId="0" fontId="24" fillId="0" borderId="6" xfId="569" applyFont="1" applyBorder="1" applyAlignment="1">
      <alignment horizontal="center"/>
    </xf>
    <xf numFmtId="168" fontId="17" fillId="0" borderId="3" xfId="569" applyNumberFormat="1" applyBorder="1" applyAlignment="1">
      <alignment horizontal="center"/>
    </xf>
    <xf numFmtId="0" fontId="17" fillId="0" borderId="4" xfId="569" applyBorder="1" applyAlignment="1">
      <alignment horizontal="center"/>
    </xf>
    <xf numFmtId="0" fontId="17" fillId="0" borderId="5" xfId="569" applyBorder="1" applyAlignment="1">
      <alignment horizontal="center"/>
    </xf>
    <xf numFmtId="0" fontId="107" fillId="0" borderId="0" xfId="569" applyFont="1" applyAlignment="1">
      <alignment horizontal="left" wrapText="1"/>
    </xf>
    <xf numFmtId="168" fontId="17" fillId="0" borderId="3" xfId="569" applyNumberFormat="1" applyBorder="1" applyAlignment="1">
      <alignment horizontal="right"/>
    </xf>
    <xf numFmtId="168" fontId="17" fillId="0" borderId="4" xfId="569" applyNumberFormat="1" applyBorder="1" applyAlignment="1">
      <alignment horizontal="right"/>
    </xf>
    <xf numFmtId="168" fontId="17" fillId="0" borderId="5" xfId="569" applyNumberFormat="1" applyBorder="1" applyAlignment="1">
      <alignment horizontal="right"/>
    </xf>
    <xf numFmtId="0" fontId="24" fillId="0" borderId="16" xfId="271" applyFont="1" applyBorder="1" applyAlignment="1">
      <alignment horizontal="center"/>
    </xf>
    <xf numFmtId="168" fontId="17" fillId="0" borderId="4" xfId="569" applyNumberFormat="1" applyBorder="1" applyAlignment="1">
      <alignment horizontal="center"/>
    </xf>
    <xf numFmtId="168" fontId="17" fillId="0" borderId="5" xfId="569" applyNumberFormat="1" applyBorder="1" applyAlignment="1">
      <alignment horizontal="center"/>
    </xf>
    <xf numFmtId="0" fontId="24" fillId="0" borderId="11" xfId="569" applyFont="1" applyBorder="1" applyAlignment="1">
      <alignment horizontal="center" wrapText="1"/>
    </xf>
    <xf numFmtId="0" fontId="24" fillId="0" borderId="11" xfId="569" applyFont="1" applyBorder="1" applyAlignment="1">
      <alignment horizontal="center"/>
    </xf>
    <xf numFmtId="165" fontId="17" fillId="0" borderId="11" xfId="569" applyNumberFormat="1" applyBorder="1" applyAlignment="1" applyProtection="1">
      <alignment horizontal="center"/>
      <protection locked="0"/>
    </xf>
    <xf numFmtId="0" fontId="53" fillId="0" borderId="0" xfId="569" applyFont="1" applyAlignment="1">
      <alignment horizontal="left"/>
    </xf>
    <xf numFmtId="5" fontId="17" fillId="0" borderId="5" xfId="569" applyNumberFormat="1" applyBorder="1" applyAlignment="1">
      <alignment horizontal="center"/>
    </xf>
    <xf numFmtId="5" fontId="17" fillId="0" borderId="11" xfId="569" applyNumberFormat="1" applyBorder="1" applyAlignment="1">
      <alignment horizontal="center"/>
    </xf>
    <xf numFmtId="5" fontId="17" fillId="0" borderId="3" xfId="569" applyNumberFormat="1" applyBorder="1" applyAlignment="1">
      <alignment horizontal="center"/>
    </xf>
    <xf numFmtId="5" fontId="17" fillId="0" borderId="4" xfId="569" applyNumberFormat="1" applyBorder="1" applyAlignment="1">
      <alignment horizontal="center"/>
    </xf>
    <xf numFmtId="168" fontId="17" fillId="5" borderId="5" xfId="569" applyNumberFormat="1" applyFill="1" applyBorder="1" applyAlignment="1" applyProtection="1">
      <alignment horizontal="center"/>
      <protection locked="0"/>
    </xf>
    <xf numFmtId="168" fontId="17" fillId="5" borderId="11" xfId="569" applyNumberFormat="1" applyFill="1" applyBorder="1" applyAlignment="1" applyProtection="1">
      <alignment horizontal="center"/>
      <protection locked="0"/>
    </xf>
    <xf numFmtId="9" fontId="17" fillId="0" borderId="5" xfId="569" applyNumberFormat="1" applyBorder="1" applyAlignment="1">
      <alignment horizontal="center"/>
    </xf>
    <xf numFmtId="9" fontId="17" fillId="0" borderId="11" xfId="569" applyNumberFormat="1" applyBorder="1" applyAlignment="1">
      <alignment horizontal="center"/>
    </xf>
    <xf numFmtId="9" fontId="17" fillId="0" borderId="9" xfId="569" applyNumberFormat="1" applyBorder="1" applyAlignment="1">
      <alignment horizontal="center" vertical="center"/>
    </xf>
    <xf numFmtId="9" fontId="17" fillId="0" borderId="6" xfId="569" applyNumberFormat="1" applyBorder="1" applyAlignment="1">
      <alignment horizontal="center" vertical="center"/>
    </xf>
    <xf numFmtId="9" fontId="17" fillId="0" borderId="10" xfId="569" applyNumberFormat="1" applyBorder="1" applyAlignment="1">
      <alignment horizontal="center" vertical="center"/>
    </xf>
    <xf numFmtId="168" fontId="17" fillId="2" borderId="3" xfId="569" applyNumberFormat="1" applyFill="1" applyBorder="1" applyAlignment="1">
      <alignment horizontal="center"/>
    </xf>
    <xf numFmtId="168" fontId="17" fillId="2" borderId="4" xfId="569" applyNumberFormat="1" applyFill="1" applyBorder="1" applyAlignment="1">
      <alignment horizontal="center"/>
    </xf>
    <xf numFmtId="168" fontId="17" fillId="2" borderId="5" xfId="569" applyNumberFormat="1" applyFill="1" applyBorder="1" applyAlignment="1">
      <alignment horizontal="center"/>
    </xf>
    <xf numFmtId="168" fontId="17" fillId="5" borderId="10" xfId="569" applyNumberFormat="1" applyFill="1" applyBorder="1" applyAlignment="1" applyProtection="1">
      <alignment horizontal="center"/>
      <protection locked="0"/>
    </xf>
    <xf numFmtId="168" fontId="17" fillId="5" borderId="13" xfId="569" applyNumberFormat="1" applyFill="1" applyBorder="1" applyAlignment="1" applyProtection="1">
      <alignment horizontal="center"/>
      <protection locked="0"/>
    </xf>
    <xf numFmtId="0" fontId="23" fillId="3" borderId="2" xfId="569" applyFont="1" applyFill="1" applyBorder="1" applyAlignment="1">
      <alignment horizontal="center" vertical="center"/>
    </xf>
    <xf numFmtId="0" fontId="23" fillId="3" borderId="16" xfId="569" applyFont="1" applyFill="1" applyBorder="1" applyAlignment="1">
      <alignment horizontal="center" vertical="center"/>
    </xf>
    <xf numFmtId="168" fontId="17" fillId="0" borderId="7" xfId="569" applyNumberFormat="1" applyBorder="1" applyAlignment="1">
      <alignment horizontal="center"/>
    </xf>
    <xf numFmtId="168" fontId="17" fillId="0" borderId="15" xfId="569" applyNumberFormat="1" applyBorder="1" applyAlignment="1">
      <alignment horizontal="center"/>
    </xf>
    <xf numFmtId="0" fontId="24" fillId="0" borderId="3" xfId="569" applyFont="1" applyBorder="1" applyAlignment="1">
      <alignment horizontal="left"/>
    </xf>
    <xf numFmtId="0" fontId="24" fillId="0" borderId="5" xfId="569" applyFont="1" applyBorder="1" applyAlignment="1">
      <alignment horizontal="left"/>
    </xf>
    <xf numFmtId="0" fontId="25" fillId="0" borderId="4" xfId="569" applyFont="1" applyBorder="1" applyAlignment="1">
      <alignment horizontal="left"/>
    </xf>
    <xf numFmtId="0" fontId="25" fillId="0" borderId="5" xfId="569" applyFont="1" applyBorder="1" applyAlignment="1">
      <alignment horizontal="left"/>
    </xf>
    <xf numFmtId="179" fontId="24" fillId="0" borderId="0" xfId="569" applyNumberFormat="1" applyFont="1" applyAlignment="1">
      <alignment horizontal="center" wrapText="1"/>
    </xf>
    <xf numFmtId="164" fontId="24" fillId="0" borderId="0" xfId="569" applyNumberFormat="1" applyFont="1" applyAlignment="1">
      <alignment horizontal="center" wrapText="1"/>
    </xf>
    <xf numFmtId="0" fontId="17" fillId="0" borderId="3" xfId="569" applyBorder="1" applyAlignment="1">
      <alignment horizontal="right"/>
    </xf>
    <xf numFmtId="0" fontId="17" fillId="0" borderId="4" xfId="569" applyBorder="1" applyAlignment="1">
      <alignment horizontal="right"/>
    </xf>
    <xf numFmtId="0" fontId="17" fillId="0" borderId="5" xfId="569" applyBorder="1" applyAlignment="1">
      <alignment horizontal="right"/>
    </xf>
    <xf numFmtId="0" fontId="25" fillId="0" borderId="3" xfId="569" applyFont="1" applyBorder="1" applyAlignment="1">
      <alignment horizontal="right"/>
    </xf>
    <xf numFmtId="0" fontId="25" fillId="0" borderId="4" xfId="569" applyFont="1" applyBorder="1" applyAlignment="1">
      <alignment horizontal="right"/>
    </xf>
    <xf numFmtId="0" fontId="25" fillId="0" borderId="5" xfId="569" applyFont="1" applyBorder="1" applyAlignment="1">
      <alignment horizontal="right"/>
    </xf>
    <xf numFmtId="0" fontId="22" fillId="0" borderId="6" xfId="271" applyFont="1" applyBorder="1" applyAlignment="1">
      <alignment horizontal="center"/>
    </xf>
    <xf numFmtId="0" fontId="22" fillId="0" borderId="0" xfId="0" applyFont="1" applyAlignment="1" applyProtection="1">
      <alignment wrapText="1"/>
      <protection locked="0"/>
    </xf>
    <xf numFmtId="3" fontId="17" fillId="0" borderId="0" xfId="0" applyNumberFormat="1" applyFont="1" applyAlignment="1">
      <alignment horizontal="left" vertical="top" wrapText="1"/>
    </xf>
    <xf numFmtId="3" fontId="26" fillId="0" borderId="0" xfId="0" applyNumberFormat="1" applyFont="1" applyAlignment="1">
      <alignment horizontal="left" vertical="top" wrapText="1"/>
    </xf>
    <xf numFmtId="0" fontId="17" fillId="43" borderId="0" xfId="0" applyFont="1" applyFill="1" applyAlignment="1">
      <alignment horizontal="left"/>
    </xf>
  </cellXfs>
  <cellStyles count="17177">
    <cellStyle name="20% - Accent1" xfId="1" builtinId="30" customBuiltin="1"/>
    <cellStyle name="20% - Accent1 10" xfId="4504" xr:uid="{00000000-0005-0000-0000-000001000000}"/>
    <cellStyle name="20% - Accent1 10 2" xfId="12954" xr:uid="{AC5C0174-07BB-440D-BB57-F51F2467D42C}"/>
    <cellStyle name="20% - Accent1 11" xfId="8736" xr:uid="{AF4B0AED-16AF-46AE-B3BB-6B9C47CE0E8D}"/>
    <cellStyle name="20% - Accent1 2" xfId="2" xr:uid="{00000000-0005-0000-0000-000002000000}"/>
    <cellStyle name="20% - Accent1 2 10" xfId="8737" xr:uid="{73B99AD8-331D-40FD-BFED-055C47237E68}"/>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2 2 2" xfId="15516" xr:uid="{5EF21924-BF0A-4309-943A-6379649CCC54}"/>
    <cellStyle name="20% - Accent1 2 2 2 2 2 3" xfId="11298" xr:uid="{AE92A455-05D4-4552-8544-F19C9EA0B755}"/>
    <cellStyle name="20% - Accent1 2 2 2 2 3" xfId="4921" xr:uid="{00000000-0005-0000-0000-000008000000}"/>
    <cellStyle name="20% - Accent1 2 2 2 2 3 2" xfId="13371" xr:uid="{AA479759-CF38-4EB5-9C69-9496B7D977B5}"/>
    <cellStyle name="20% - Accent1 2 2 2 2 4" xfId="9153" xr:uid="{26FFCD35-9D06-41F3-A3C9-11C98B8446F4}"/>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2 2 2" xfId="15929" xr:uid="{863C5440-FE00-464C-A04E-A9FC22FC2589}"/>
    <cellStyle name="20% - Accent1 2 2 2 3 2 3" xfId="11711" xr:uid="{48CBA0E4-3DBB-4AA2-BC2C-37F19DF45F5A}"/>
    <cellStyle name="20% - Accent1 2 2 2 3 3" xfId="5334" xr:uid="{00000000-0005-0000-0000-00000C000000}"/>
    <cellStyle name="20% - Accent1 2 2 2 3 3 2" xfId="13784" xr:uid="{1B2F37C5-E5EE-4329-8C19-833E1189F22E}"/>
    <cellStyle name="20% - Accent1 2 2 2 3 4" xfId="9566" xr:uid="{E920D69B-1B10-45B1-8C01-9F1B9CAC0AA1}"/>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2 2 2" xfId="16342" xr:uid="{EB20C3D1-EC44-419A-8A3A-D5A5F72E2D53}"/>
    <cellStyle name="20% - Accent1 2 2 2 4 2 3" xfId="12124" xr:uid="{F3ADEA35-A9F5-4434-A571-AA37EA6A4483}"/>
    <cellStyle name="20% - Accent1 2 2 2 4 3" xfId="5747" xr:uid="{00000000-0005-0000-0000-000010000000}"/>
    <cellStyle name="20% - Accent1 2 2 2 4 3 2" xfId="14197" xr:uid="{72462BCB-99FD-4743-8F4D-7CD60E9899C8}"/>
    <cellStyle name="20% - Accent1 2 2 2 4 4" xfId="9979" xr:uid="{1DAEFFFE-0ACE-440E-8987-D4943C1AD3FF}"/>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2 2 2" xfId="16755" xr:uid="{534D626B-9EEB-402E-A842-3B117E5696F0}"/>
    <cellStyle name="20% - Accent1 2 2 2 5 2 3" xfId="12537" xr:uid="{D22132BB-D07E-4F43-B1C2-E290A33FD48F}"/>
    <cellStyle name="20% - Accent1 2 2 2 5 3" xfId="6160" xr:uid="{00000000-0005-0000-0000-000014000000}"/>
    <cellStyle name="20% - Accent1 2 2 2 5 3 2" xfId="14610" xr:uid="{CF6B36EA-E8F6-4833-904A-D32BA5D98EE2}"/>
    <cellStyle name="20% - Accent1 2 2 2 5 4" xfId="10392" xr:uid="{E7BD2645-4362-47A6-8FE1-FDCA11DADF5F}"/>
    <cellStyle name="20% - Accent1 2 2 2 6" xfId="2267" xr:uid="{00000000-0005-0000-0000-000015000000}"/>
    <cellStyle name="20% - Accent1 2 2 2 6 2" xfId="6573" xr:uid="{00000000-0005-0000-0000-000016000000}"/>
    <cellStyle name="20% - Accent1 2 2 2 6 2 2" xfId="15023" xr:uid="{C5A37ADC-4FF5-4546-B4DB-3DA3F7F11AEA}"/>
    <cellStyle name="20% - Accent1 2 2 2 6 3" xfId="10805" xr:uid="{E1B34636-6EB3-4C7C-9198-5E74AE66907C}"/>
    <cellStyle name="20% - Accent1 2 2 2 7" xfId="4507" xr:uid="{00000000-0005-0000-0000-000017000000}"/>
    <cellStyle name="20% - Accent1 2 2 2 7 2" xfId="12957" xr:uid="{36BB155E-F3F9-4424-A1BF-C9D54C86F0F7}"/>
    <cellStyle name="20% - Accent1 2 2 2 8" xfId="8739" xr:uid="{B093992F-1F98-499F-BB62-7F22651C6552}"/>
    <cellStyle name="20% - Accent1 2 2 3" xfId="572" xr:uid="{00000000-0005-0000-0000-000018000000}"/>
    <cellStyle name="20% - Accent1 2 2 3 2" xfId="2843" xr:uid="{00000000-0005-0000-0000-000019000000}"/>
    <cellStyle name="20% - Accent1 2 2 3 2 2" xfId="7065" xr:uid="{00000000-0005-0000-0000-00001A000000}"/>
    <cellStyle name="20% - Accent1 2 2 3 2 2 2" xfId="15515" xr:uid="{361E4F12-FB55-4243-88B4-2946D4362D3E}"/>
    <cellStyle name="20% - Accent1 2 2 3 2 3" xfId="11297" xr:uid="{2ED4C18E-EE97-4986-BA2F-A809745BB95A}"/>
    <cellStyle name="20% - Accent1 2 2 3 3" xfId="4920" xr:uid="{00000000-0005-0000-0000-00001B000000}"/>
    <cellStyle name="20% - Accent1 2 2 3 3 2" xfId="13370" xr:uid="{7A6F99C8-DCB5-477D-A83D-0658EB041AED}"/>
    <cellStyle name="20% - Accent1 2 2 3 4" xfId="9152" xr:uid="{C4C68B7A-0169-479C-8734-0BA2A4202E13}"/>
    <cellStyle name="20% - Accent1 2 2 4" xfId="1025" xr:uid="{00000000-0005-0000-0000-00001C000000}"/>
    <cellStyle name="20% - Accent1 2 2 4 2" xfId="3256" xr:uid="{00000000-0005-0000-0000-00001D000000}"/>
    <cellStyle name="20% - Accent1 2 2 4 2 2" xfId="7478" xr:uid="{00000000-0005-0000-0000-00001E000000}"/>
    <cellStyle name="20% - Accent1 2 2 4 2 2 2" xfId="15928" xr:uid="{25662EEA-4E79-482F-9B35-541D685F3361}"/>
    <cellStyle name="20% - Accent1 2 2 4 2 3" xfId="11710" xr:uid="{FAB61542-50F7-4BE7-B700-92F2DF1B6748}"/>
    <cellStyle name="20% - Accent1 2 2 4 3" xfId="5333" xr:uid="{00000000-0005-0000-0000-00001F000000}"/>
    <cellStyle name="20% - Accent1 2 2 4 3 2" xfId="13783" xr:uid="{513AD0F0-0364-4F63-9BF6-DC1C310AF911}"/>
    <cellStyle name="20% - Accent1 2 2 4 4" xfId="9565" xr:uid="{694C9C18-5364-4472-92E2-96A9E1416C7C}"/>
    <cellStyle name="20% - Accent1 2 2 5" xfId="1439" xr:uid="{00000000-0005-0000-0000-000020000000}"/>
    <cellStyle name="20% - Accent1 2 2 5 2" xfId="3669" xr:uid="{00000000-0005-0000-0000-000021000000}"/>
    <cellStyle name="20% - Accent1 2 2 5 2 2" xfId="7891" xr:uid="{00000000-0005-0000-0000-000022000000}"/>
    <cellStyle name="20% - Accent1 2 2 5 2 2 2" xfId="16341" xr:uid="{17F1901C-CEE1-4BD6-98BE-966A895ABE01}"/>
    <cellStyle name="20% - Accent1 2 2 5 2 3" xfId="12123" xr:uid="{399CA046-10DA-42AC-BFF2-1A588167A77F}"/>
    <cellStyle name="20% - Accent1 2 2 5 3" xfId="5746" xr:uid="{00000000-0005-0000-0000-000023000000}"/>
    <cellStyle name="20% - Accent1 2 2 5 3 2" xfId="14196" xr:uid="{D43F41DA-F112-42A7-9FBA-3D538F1E9327}"/>
    <cellStyle name="20% - Accent1 2 2 5 4" xfId="9978" xr:uid="{9A8662E4-2773-47B7-B91B-D7DAFC2F0430}"/>
    <cellStyle name="20% - Accent1 2 2 6" xfId="1853" xr:uid="{00000000-0005-0000-0000-000024000000}"/>
    <cellStyle name="20% - Accent1 2 2 6 2" xfId="4082" xr:uid="{00000000-0005-0000-0000-000025000000}"/>
    <cellStyle name="20% - Accent1 2 2 6 2 2" xfId="8304" xr:uid="{00000000-0005-0000-0000-000026000000}"/>
    <cellStyle name="20% - Accent1 2 2 6 2 2 2" xfId="16754" xr:uid="{79E414A1-5C55-472F-80B3-F16DCA8A2E42}"/>
    <cellStyle name="20% - Accent1 2 2 6 2 3" xfId="12536" xr:uid="{F45F44BC-6B19-4DB1-99F6-0BAE1E255059}"/>
    <cellStyle name="20% - Accent1 2 2 6 3" xfId="6159" xr:uid="{00000000-0005-0000-0000-000027000000}"/>
    <cellStyle name="20% - Accent1 2 2 6 3 2" xfId="14609" xr:uid="{55583C4B-C611-4BD2-9DD0-CDDA8DAE3F47}"/>
    <cellStyle name="20% - Accent1 2 2 6 4" xfId="10391" xr:uid="{776A3F0B-4DEA-4367-AAB3-92317AC541FA}"/>
    <cellStyle name="20% - Accent1 2 2 7" xfId="2266" xr:uid="{00000000-0005-0000-0000-000028000000}"/>
    <cellStyle name="20% - Accent1 2 2 7 2" xfId="6572" xr:uid="{00000000-0005-0000-0000-000029000000}"/>
    <cellStyle name="20% - Accent1 2 2 7 2 2" xfId="15022" xr:uid="{9525DF14-FC4F-49CB-AF05-0CB2A95BB875}"/>
    <cellStyle name="20% - Accent1 2 2 7 3" xfId="10804" xr:uid="{2D73F26E-8C13-48BF-AF5E-94F4FEDB587F}"/>
    <cellStyle name="20% - Accent1 2 2 8" xfId="4506" xr:uid="{00000000-0005-0000-0000-00002A000000}"/>
    <cellStyle name="20% - Accent1 2 2 8 2" xfId="12956" xr:uid="{C0F78E38-D4AF-4907-AF2A-BCCBD7F50965}"/>
    <cellStyle name="20% - Accent1 2 2 9" xfId="8738" xr:uid="{77EB3BF6-C090-4651-B2BE-95EAAACBE5C1}"/>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2 2 2" xfId="15517" xr:uid="{EFAA1D0D-02A0-40E7-AD54-77FFFEE47CDB}"/>
    <cellStyle name="20% - Accent1 2 3 2 2 3" xfId="11299" xr:uid="{9234D598-22EF-4E91-BE5A-A02E720E42A4}"/>
    <cellStyle name="20% - Accent1 2 3 2 3" xfId="4922" xr:uid="{00000000-0005-0000-0000-00002F000000}"/>
    <cellStyle name="20% - Accent1 2 3 2 3 2" xfId="13372" xr:uid="{BA1094E2-A81C-47DC-87E7-761A72FA7FE4}"/>
    <cellStyle name="20% - Accent1 2 3 2 4" xfId="9154" xr:uid="{C03530D7-605A-46A1-AF1C-D92CBC91AE89}"/>
    <cellStyle name="20% - Accent1 2 3 3" xfId="1027" xr:uid="{00000000-0005-0000-0000-000030000000}"/>
    <cellStyle name="20% - Accent1 2 3 3 2" xfId="3258" xr:uid="{00000000-0005-0000-0000-000031000000}"/>
    <cellStyle name="20% - Accent1 2 3 3 2 2" xfId="7480" xr:uid="{00000000-0005-0000-0000-000032000000}"/>
    <cellStyle name="20% - Accent1 2 3 3 2 2 2" xfId="15930" xr:uid="{B12AA896-2E08-44B4-9A8E-22289FDE0199}"/>
    <cellStyle name="20% - Accent1 2 3 3 2 3" xfId="11712" xr:uid="{4E607201-2DD9-4014-807B-C4468E42610F}"/>
    <cellStyle name="20% - Accent1 2 3 3 3" xfId="5335" xr:uid="{00000000-0005-0000-0000-000033000000}"/>
    <cellStyle name="20% - Accent1 2 3 3 3 2" xfId="13785" xr:uid="{510A554B-041D-4844-AA12-CF2F441E5174}"/>
    <cellStyle name="20% - Accent1 2 3 3 4" xfId="9567" xr:uid="{0C754B63-A409-46DF-947E-F8CABFBBA13B}"/>
    <cellStyle name="20% - Accent1 2 3 4" xfId="1441" xr:uid="{00000000-0005-0000-0000-000034000000}"/>
    <cellStyle name="20% - Accent1 2 3 4 2" xfId="3671" xr:uid="{00000000-0005-0000-0000-000035000000}"/>
    <cellStyle name="20% - Accent1 2 3 4 2 2" xfId="7893" xr:uid="{00000000-0005-0000-0000-000036000000}"/>
    <cellStyle name="20% - Accent1 2 3 4 2 2 2" xfId="16343" xr:uid="{9B04765A-1049-451B-AF10-9A0E999735BE}"/>
    <cellStyle name="20% - Accent1 2 3 4 2 3" xfId="12125" xr:uid="{2D4BB190-33F4-49C4-AAF0-B4D1C897EF22}"/>
    <cellStyle name="20% - Accent1 2 3 4 3" xfId="5748" xr:uid="{00000000-0005-0000-0000-000037000000}"/>
    <cellStyle name="20% - Accent1 2 3 4 3 2" xfId="14198" xr:uid="{EA5043F8-EE57-4BE3-BF3B-E3EA2B787C27}"/>
    <cellStyle name="20% - Accent1 2 3 4 4" xfId="9980" xr:uid="{BC4CD1DE-5ACC-4280-9EBF-0D50201CEB4F}"/>
    <cellStyle name="20% - Accent1 2 3 5" xfId="1855" xr:uid="{00000000-0005-0000-0000-000038000000}"/>
    <cellStyle name="20% - Accent1 2 3 5 2" xfId="4084" xr:uid="{00000000-0005-0000-0000-000039000000}"/>
    <cellStyle name="20% - Accent1 2 3 5 2 2" xfId="8306" xr:uid="{00000000-0005-0000-0000-00003A000000}"/>
    <cellStyle name="20% - Accent1 2 3 5 2 2 2" xfId="16756" xr:uid="{4E7249AC-0F71-4EE8-8829-2BEA51209B87}"/>
    <cellStyle name="20% - Accent1 2 3 5 2 3" xfId="12538" xr:uid="{1A434786-839D-49F6-843C-6E11B4C29510}"/>
    <cellStyle name="20% - Accent1 2 3 5 3" xfId="6161" xr:uid="{00000000-0005-0000-0000-00003B000000}"/>
    <cellStyle name="20% - Accent1 2 3 5 3 2" xfId="14611" xr:uid="{C5E294AF-CA3D-4C87-8DD4-3A9DB08C0414}"/>
    <cellStyle name="20% - Accent1 2 3 5 4" xfId="10393" xr:uid="{E156775C-4B84-4F4A-8843-192416EB7343}"/>
    <cellStyle name="20% - Accent1 2 3 6" xfId="2268" xr:uid="{00000000-0005-0000-0000-00003C000000}"/>
    <cellStyle name="20% - Accent1 2 3 6 2" xfId="6574" xr:uid="{00000000-0005-0000-0000-00003D000000}"/>
    <cellStyle name="20% - Accent1 2 3 6 2 2" xfId="15024" xr:uid="{32CD0AD1-8DAA-4046-8298-2E0255B26FDB}"/>
    <cellStyle name="20% - Accent1 2 3 6 3" xfId="10806" xr:uid="{6A3D1510-704F-4848-9352-0AD2B7E32110}"/>
    <cellStyle name="20% - Accent1 2 3 7" xfId="4508" xr:uid="{00000000-0005-0000-0000-00003E000000}"/>
    <cellStyle name="20% - Accent1 2 3 7 2" xfId="12958" xr:uid="{6827DDE7-E5B5-4826-B094-394F097A01BD}"/>
    <cellStyle name="20% - Accent1 2 3 8" xfId="8740" xr:uid="{7536E0BD-807F-4F44-9330-62F16D406B2F}"/>
    <cellStyle name="20% - Accent1 2 4" xfId="571" xr:uid="{00000000-0005-0000-0000-00003F000000}"/>
    <cellStyle name="20% - Accent1 2 4 2" xfId="2842" xr:uid="{00000000-0005-0000-0000-000040000000}"/>
    <cellStyle name="20% - Accent1 2 4 2 2" xfId="7064" xr:uid="{00000000-0005-0000-0000-000041000000}"/>
    <cellStyle name="20% - Accent1 2 4 2 2 2" xfId="15514" xr:uid="{DD24E83A-C577-4F4A-AE32-83AC8969C832}"/>
    <cellStyle name="20% - Accent1 2 4 2 3" xfId="11296" xr:uid="{B4BD502B-78C1-4D65-94A2-F820F5A22CFF}"/>
    <cellStyle name="20% - Accent1 2 4 3" xfId="4919" xr:uid="{00000000-0005-0000-0000-000042000000}"/>
    <cellStyle name="20% - Accent1 2 4 3 2" xfId="13369" xr:uid="{F98940EC-A558-40E9-9B67-09E32F62F6FE}"/>
    <cellStyle name="20% - Accent1 2 4 4" xfId="9151" xr:uid="{968D8CC6-C597-4376-A4D5-EB3BD9D3C18C}"/>
    <cellStyle name="20% - Accent1 2 5" xfId="1024" xr:uid="{00000000-0005-0000-0000-000043000000}"/>
    <cellStyle name="20% - Accent1 2 5 2" xfId="3255" xr:uid="{00000000-0005-0000-0000-000044000000}"/>
    <cellStyle name="20% - Accent1 2 5 2 2" xfId="7477" xr:uid="{00000000-0005-0000-0000-000045000000}"/>
    <cellStyle name="20% - Accent1 2 5 2 2 2" xfId="15927" xr:uid="{33DADFD4-66CC-4270-8381-D2DA10CCA771}"/>
    <cellStyle name="20% - Accent1 2 5 2 3" xfId="11709" xr:uid="{4B635609-C26C-4F98-9DCD-7416C59C831F}"/>
    <cellStyle name="20% - Accent1 2 5 3" xfId="5332" xr:uid="{00000000-0005-0000-0000-000046000000}"/>
    <cellStyle name="20% - Accent1 2 5 3 2" xfId="13782" xr:uid="{0167FF86-5B95-4698-9DC0-601A4CB646B2}"/>
    <cellStyle name="20% - Accent1 2 5 4" xfId="9564" xr:uid="{FB9F1BEB-4DA2-4C60-BB89-0A5D2D3B9501}"/>
    <cellStyle name="20% - Accent1 2 6" xfId="1438" xr:uid="{00000000-0005-0000-0000-000047000000}"/>
    <cellStyle name="20% - Accent1 2 6 2" xfId="3668" xr:uid="{00000000-0005-0000-0000-000048000000}"/>
    <cellStyle name="20% - Accent1 2 6 2 2" xfId="7890" xr:uid="{00000000-0005-0000-0000-000049000000}"/>
    <cellStyle name="20% - Accent1 2 6 2 2 2" xfId="16340" xr:uid="{7AD3598E-639E-4A6D-9376-A4111AD435B2}"/>
    <cellStyle name="20% - Accent1 2 6 2 3" xfId="12122" xr:uid="{BFA247B3-4781-49AD-953B-E299E64E0027}"/>
    <cellStyle name="20% - Accent1 2 6 3" xfId="5745" xr:uid="{00000000-0005-0000-0000-00004A000000}"/>
    <cellStyle name="20% - Accent1 2 6 3 2" xfId="14195" xr:uid="{12DB0884-8721-4AB8-A2A8-2659166DA57D}"/>
    <cellStyle name="20% - Accent1 2 6 4" xfId="9977" xr:uid="{120B4989-74F0-49FD-B54F-063F1E0B7B55}"/>
    <cellStyle name="20% - Accent1 2 7" xfId="1852" xr:uid="{00000000-0005-0000-0000-00004B000000}"/>
    <cellStyle name="20% - Accent1 2 7 2" xfId="4081" xr:uid="{00000000-0005-0000-0000-00004C000000}"/>
    <cellStyle name="20% - Accent1 2 7 2 2" xfId="8303" xr:uid="{00000000-0005-0000-0000-00004D000000}"/>
    <cellStyle name="20% - Accent1 2 7 2 2 2" xfId="16753" xr:uid="{CCC7425F-65DB-427C-9249-0F97EB5C5183}"/>
    <cellStyle name="20% - Accent1 2 7 2 3" xfId="12535" xr:uid="{EB637CD4-35EC-41E6-AD2B-B5882AF42136}"/>
    <cellStyle name="20% - Accent1 2 7 3" xfId="6158" xr:uid="{00000000-0005-0000-0000-00004E000000}"/>
    <cellStyle name="20% - Accent1 2 7 3 2" xfId="14608" xr:uid="{192DD175-B6C8-4631-884C-246C02D85900}"/>
    <cellStyle name="20% - Accent1 2 7 4" xfId="10390" xr:uid="{9FB72A50-48E7-4045-860C-5E569B3396AA}"/>
    <cellStyle name="20% - Accent1 2 8" xfId="2265" xr:uid="{00000000-0005-0000-0000-00004F000000}"/>
    <cellStyle name="20% - Accent1 2 8 2" xfId="6571" xr:uid="{00000000-0005-0000-0000-000050000000}"/>
    <cellStyle name="20% - Accent1 2 8 2 2" xfId="15021" xr:uid="{4314B36F-F460-4D7B-8EAB-A9B4CC26DD02}"/>
    <cellStyle name="20% - Accent1 2 8 3" xfId="10803" xr:uid="{B8CE9921-2194-4BE1-B3A5-5F3F17B5964B}"/>
    <cellStyle name="20% - Accent1 2 9" xfId="4505" xr:uid="{00000000-0005-0000-0000-000051000000}"/>
    <cellStyle name="20% - Accent1 2 9 2" xfId="12955" xr:uid="{CF2B0F6C-E548-4206-88DD-4644510E25BE}"/>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2 2 2" xfId="15519" xr:uid="{D1BAC4BB-31C5-47D8-91D2-9617455E57F9}"/>
    <cellStyle name="20% - Accent1 3 2 2 2 3" xfId="11301" xr:uid="{A8D6041A-8051-487D-ACD0-B6CA24637640}"/>
    <cellStyle name="20% - Accent1 3 2 2 3" xfId="4924" xr:uid="{00000000-0005-0000-0000-000057000000}"/>
    <cellStyle name="20% - Accent1 3 2 2 3 2" xfId="13374" xr:uid="{9996031C-17B3-4824-9B4E-DC745CA17FA4}"/>
    <cellStyle name="20% - Accent1 3 2 2 4" xfId="9156" xr:uid="{5B1069DA-E2EF-4EC8-A496-75CC78798378}"/>
    <cellStyle name="20% - Accent1 3 2 3" xfId="1029" xr:uid="{00000000-0005-0000-0000-000058000000}"/>
    <cellStyle name="20% - Accent1 3 2 3 2" xfId="3260" xr:uid="{00000000-0005-0000-0000-000059000000}"/>
    <cellStyle name="20% - Accent1 3 2 3 2 2" xfId="7482" xr:uid="{00000000-0005-0000-0000-00005A000000}"/>
    <cellStyle name="20% - Accent1 3 2 3 2 2 2" xfId="15932" xr:uid="{2487436E-6FD4-4A66-A8C4-38CA56C1D5EF}"/>
    <cellStyle name="20% - Accent1 3 2 3 2 3" xfId="11714" xr:uid="{DBED67E1-473C-484E-9DD9-89E3048D66C4}"/>
    <cellStyle name="20% - Accent1 3 2 3 3" xfId="5337" xr:uid="{00000000-0005-0000-0000-00005B000000}"/>
    <cellStyle name="20% - Accent1 3 2 3 3 2" xfId="13787" xr:uid="{83F875C9-D567-4BB2-8BB2-9892BC03EA95}"/>
    <cellStyle name="20% - Accent1 3 2 3 4" xfId="9569" xr:uid="{BB215D15-FEA5-4785-8E85-0DB4D4489D03}"/>
    <cellStyle name="20% - Accent1 3 2 4" xfId="1443" xr:uid="{00000000-0005-0000-0000-00005C000000}"/>
    <cellStyle name="20% - Accent1 3 2 4 2" xfId="3673" xr:uid="{00000000-0005-0000-0000-00005D000000}"/>
    <cellStyle name="20% - Accent1 3 2 4 2 2" xfId="7895" xr:uid="{00000000-0005-0000-0000-00005E000000}"/>
    <cellStyle name="20% - Accent1 3 2 4 2 2 2" xfId="16345" xr:uid="{9428CB75-0261-47EC-82CB-C280CEDCA5BD}"/>
    <cellStyle name="20% - Accent1 3 2 4 2 3" xfId="12127" xr:uid="{2B23C5B7-0F7F-4D6D-BFCE-2D2B5CAE473F}"/>
    <cellStyle name="20% - Accent1 3 2 4 3" xfId="5750" xr:uid="{00000000-0005-0000-0000-00005F000000}"/>
    <cellStyle name="20% - Accent1 3 2 4 3 2" xfId="14200" xr:uid="{53FBC46A-AD38-4BEF-B20F-8A0ADCD77ADA}"/>
    <cellStyle name="20% - Accent1 3 2 4 4" xfId="9982" xr:uid="{A23708C8-B4A3-4E27-8B9A-B62658F9A054}"/>
    <cellStyle name="20% - Accent1 3 2 5" xfId="1857" xr:uid="{00000000-0005-0000-0000-000060000000}"/>
    <cellStyle name="20% - Accent1 3 2 5 2" xfId="4086" xr:uid="{00000000-0005-0000-0000-000061000000}"/>
    <cellStyle name="20% - Accent1 3 2 5 2 2" xfId="8308" xr:uid="{00000000-0005-0000-0000-000062000000}"/>
    <cellStyle name="20% - Accent1 3 2 5 2 2 2" xfId="16758" xr:uid="{BDE98D90-ECB7-4C72-8FF4-ED5955D71FD9}"/>
    <cellStyle name="20% - Accent1 3 2 5 2 3" xfId="12540" xr:uid="{8B0AE5F7-A08B-4D02-9AD9-2CCBDC7442AC}"/>
    <cellStyle name="20% - Accent1 3 2 5 3" xfId="6163" xr:uid="{00000000-0005-0000-0000-000063000000}"/>
    <cellStyle name="20% - Accent1 3 2 5 3 2" xfId="14613" xr:uid="{A6241182-E01F-4AAC-82A5-6BE826206875}"/>
    <cellStyle name="20% - Accent1 3 2 5 4" xfId="10395" xr:uid="{70E62199-6D64-4764-B76E-E4B5E640D5C4}"/>
    <cellStyle name="20% - Accent1 3 2 6" xfId="2270" xr:uid="{00000000-0005-0000-0000-000064000000}"/>
    <cellStyle name="20% - Accent1 3 2 6 2" xfId="6576" xr:uid="{00000000-0005-0000-0000-000065000000}"/>
    <cellStyle name="20% - Accent1 3 2 6 2 2" xfId="15026" xr:uid="{4135D2A4-167E-4EEF-A384-0313D4E76700}"/>
    <cellStyle name="20% - Accent1 3 2 6 3" xfId="10808" xr:uid="{019A0807-A4C3-4114-8701-45B9CE48998B}"/>
    <cellStyle name="20% - Accent1 3 2 7" xfId="4510" xr:uid="{00000000-0005-0000-0000-000066000000}"/>
    <cellStyle name="20% - Accent1 3 2 7 2" xfId="12960" xr:uid="{3A36E2B0-0991-4A32-9C26-554E60B83241}"/>
    <cellStyle name="20% - Accent1 3 2 8" xfId="8742" xr:uid="{3B7ABC6E-CDA1-4FEC-BA45-18F0B845297C}"/>
    <cellStyle name="20% - Accent1 3 3" xfId="575" xr:uid="{00000000-0005-0000-0000-000067000000}"/>
    <cellStyle name="20% - Accent1 3 3 2" xfId="2846" xr:uid="{00000000-0005-0000-0000-000068000000}"/>
    <cellStyle name="20% - Accent1 3 3 2 2" xfId="7068" xr:uid="{00000000-0005-0000-0000-000069000000}"/>
    <cellStyle name="20% - Accent1 3 3 2 2 2" xfId="15518" xr:uid="{2215BEE9-EBF0-41F7-ABD9-D1BCC5BD6BE7}"/>
    <cellStyle name="20% - Accent1 3 3 2 3" xfId="11300" xr:uid="{FDE093FF-76C0-4F43-9EA0-1B464943EEDD}"/>
    <cellStyle name="20% - Accent1 3 3 3" xfId="4923" xr:uid="{00000000-0005-0000-0000-00006A000000}"/>
    <cellStyle name="20% - Accent1 3 3 3 2" xfId="13373" xr:uid="{9F10958C-E247-4D49-9AC8-470BAB9BF26F}"/>
    <cellStyle name="20% - Accent1 3 3 4" xfId="9155" xr:uid="{1DD4163F-DF7B-4D96-95A9-08C1F422E2FD}"/>
    <cellStyle name="20% - Accent1 3 4" xfId="1028" xr:uid="{00000000-0005-0000-0000-00006B000000}"/>
    <cellStyle name="20% - Accent1 3 4 2" xfId="3259" xr:uid="{00000000-0005-0000-0000-00006C000000}"/>
    <cellStyle name="20% - Accent1 3 4 2 2" xfId="7481" xr:uid="{00000000-0005-0000-0000-00006D000000}"/>
    <cellStyle name="20% - Accent1 3 4 2 2 2" xfId="15931" xr:uid="{D8AA5723-134D-4533-8E95-EF5601B6B79D}"/>
    <cellStyle name="20% - Accent1 3 4 2 3" xfId="11713" xr:uid="{26D7B873-A235-4836-B150-1E1F27C3AA50}"/>
    <cellStyle name="20% - Accent1 3 4 3" xfId="5336" xr:uid="{00000000-0005-0000-0000-00006E000000}"/>
    <cellStyle name="20% - Accent1 3 4 3 2" xfId="13786" xr:uid="{4B5DDD1C-13E7-4439-8024-9846034FB1C7}"/>
    <cellStyle name="20% - Accent1 3 4 4" xfId="9568" xr:uid="{E42BEE20-CE7D-4B11-9FF7-84C9E232F868}"/>
    <cellStyle name="20% - Accent1 3 5" xfId="1442" xr:uid="{00000000-0005-0000-0000-00006F000000}"/>
    <cellStyle name="20% - Accent1 3 5 2" xfId="3672" xr:uid="{00000000-0005-0000-0000-000070000000}"/>
    <cellStyle name="20% - Accent1 3 5 2 2" xfId="7894" xr:uid="{00000000-0005-0000-0000-000071000000}"/>
    <cellStyle name="20% - Accent1 3 5 2 2 2" xfId="16344" xr:uid="{DA649FCB-4DDC-42CC-9A06-2DBEDC728DAA}"/>
    <cellStyle name="20% - Accent1 3 5 2 3" xfId="12126" xr:uid="{63004F82-6B27-430F-BC31-DC9C1C9E0ECF}"/>
    <cellStyle name="20% - Accent1 3 5 3" xfId="5749" xr:uid="{00000000-0005-0000-0000-000072000000}"/>
    <cellStyle name="20% - Accent1 3 5 3 2" xfId="14199" xr:uid="{EEB90E88-D28B-481B-B060-491A48E72977}"/>
    <cellStyle name="20% - Accent1 3 5 4" xfId="9981" xr:uid="{B8D0C58B-F9BB-4EBC-9321-12DB98CF134E}"/>
    <cellStyle name="20% - Accent1 3 6" xfId="1856" xr:uid="{00000000-0005-0000-0000-000073000000}"/>
    <cellStyle name="20% - Accent1 3 6 2" xfId="4085" xr:uid="{00000000-0005-0000-0000-000074000000}"/>
    <cellStyle name="20% - Accent1 3 6 2 2" xfId="8307" xr:uid="{00000000-0005-0000-0000-000075000000}"/>
    <cellStyle name="20% - Accent1 3 6 2 2 2" xfId="16757" xr:uid="{0939EEFB-A61F-47EB-8C7A-B2DB46474501}"/>
    <cellStyle name="20% - Accent1 3 6 2 3" xfId="12539" xr:uid="{40B90C7E-E1B6-444B-BADE-B7C829717F5D}"/>
    <cellStyle name="20% - Accent1 3 6 3" xfId="6162" xr:uid="{00000000-0005-0000-0000-000076000000}"/>
    <cellStyle name="20% - Accent1 3 6 3 2" xfId="14612" xr:uid="{21BD3BE4-B31D-43BC-B1F9-612EDE9DFC02}"/>
    <cellStyle name="20% - Accent1 3 6 4" xfId="10394" xr:uid="{DEB1C9D1-FA5D-4CE0-9AAB-6926127E078D}"/>
    <cellStyle name="20% - Accent1 3 7" xfId="2269" xr:uid="{00000000-0005-0000-0000-000077000000}"/>
    <cellStyle name="20% - Accent1 3 7 2" xfId="6575" xr:uid="{00000000-0005-0000-0000-000078000000}"/>
    <cellStyle name="20% - Accent1 3 7 2 2" xfId="15025" xr:uid="{4BD500EB-2B1E-4221-8A0C-7D352659D0D4}"/>
    <cellStyle name="20% - Accent1 3 7 3" xfId="10807" xr:uid="{5805B8F3-31C1-4A5E-AE62-350725AE9AF5}"/>
    <cellStyle name="20% - Accent1 3 8" xfId="4509" xr:uid="{00000000-0005-0000-0000-000079000000}"/>
    <cellStyle name="20% - Accent1 3 8 2" xfId="12959" xr:uid="{5D4437FA-6BF3-4EF6-8CCD-C02944FE0F23}"/>
    <cellStyle name="20% - Accent1 3 9" xfId="8741" xr:uid="{314B7E4F-1128-4A64-8A40-7A4FE7A76A80}"/>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2 2 2" xfId="15520" xr:uid="{FAE3C20F-73D1-4C4C-8E7D-F6A43AAE5F1D}"/>
    <cellStyle name="20% - Accent1 4 2 2 3" xfId="11302" xr:uid="{7BEE0CB8-622A-425D-855F-CB78E8E1AB63}"/>
    <cellStyle name="20% - Accent1 4 2 3" xfId="4925" xr:uid="{00000000-0005-0000-0000-00007E000000}"/>
    <cellStyle name="20% - Accent1 4 2 3 2" xfId="13375" xr:uid="{4C35AFD7-1044-493C-A595-8BE96C8CF9E2}"/>
    <cellStyle name="20% - Accent1 4 2 4" xfId="9157" xr:uid="{19E643D1-E33F-4CDE-9349-4479EB0C8EC2}"/>
    <cellStyle name="20% - Accent1 4 3" xfId="1030" xr:uid="{00000000-0005-0000-0000-00007F000000}"/>
    <cellStyle name="20% - Accent1 4 3 2" xfId="3261" xr:uid="{00000000-0005-0000-0000-000080000000}"/>
    <cellStyle name="20% - Accent1 4 3 2 2" xfId="7483" xr:uid="{00000000-0005-0000-0000-000081000000}"/>
    <cellStyle name="20% - Accent1 4 3 2 2 2" xfId="15933" xr:uid="{14DF9176-CC45-4728-9F9E-CD5FFFA3039F}"/>
    <cellStyle name="20% - Accent1 4 3 2 3" xfId="11715" xr:uid="{A91FCE74-697A-48AA-821E-F1128DC9D3C6}"/>
    <cellStyle name="20% - Accent1 4 3 3" xfId="5338" xr:uid="{00000000-0005-0000-0000-000082000000}"/>
    <cellStyle name="20% - Accent1 4 3 3 2" xfId="13788" xr:uid="{4526058F-0DDD-4528-8CEF-F5F0530201C5}"/>
    <cellStyle name="20% - Accent1 4 3 4" xfId="9570" xr:uid="{2194EA73-4971-4EBC-B070-9D45634F784B}"/>
    <cellStyle name="20% - Accent1 4 4" xfId="1444" xr:uid="{00000000-0005-0000-0000-000083000000}"/>
    <cellStyle name="20% - Accent1 4 4 2" xfId="3674" xr:uid="{00000000-0005-0000-0000-000084000000}"/>
    <cellStyle name="20% - Accent1 4 4 2 2" xfId="7896" xr:uid="{00000000-0005-0000-0000-000085000000}"/>
    <cellStyle name="20% - Accent1 4 4 2 2 2" xfId="16346" xr:uid="{85B46547-3A0F-4A95-AC94-487CD280127E}"/>
    <cellStyle name="20% - Accent1 4 4 2 3" xfId="12128" xr:uid="{345B0CF8-1C1B-4615-9DBC-54727E112E5E}"/>
    <cellStyle name="20% - Accent1 4 4 3" xfId="5751" xr:uid="{00000000-0005-0000-0000-000086000000}"/>
    <cellStyle name="20% - Accent1 4 4 3 2" xfId="14201" xr:uid="{21B80D16-466F-4713-8A06-7DD16FDF7443}"/>
    <cellStyle name="20% - Accent1 4 4 4" xfId="9983" xr:uid="{24E9BAFC-3AA3-487A-A64D-CFCAEDD8EF2D}"/>
    <cellStyle name="20% - Accent1 4 5" xfId="1858" xr:uid="{00000000-0005-0000-0000-000087000000}"/>
    <cellStyle name="20% - Accent1 4 5 2" xfId="4087" xr:uid="{00000000-0005-0000-0000-000088000000}"/>
    <cellStyle name="20% - Accent1 4 5 2 2" xfId="8309" xr:uid="{00000000-0005-0000-0000-000089000000}"/>
    <cellStyle name="20% - Accent1 4 5 2 2 2" xfId="16759" xr:uid="{B0C3454B-0C82-4CBD-B052-B8237118CA4C}"/>
    <cellStyle name="20% - Accent1 4 5 2 3" xfId="12541" xr:uid="{922E9D05-48C0-4E1F-8AE9-0F00E785E50B}"/>
    <cellStyle name="20% - Accent1 4 5 3" xfId="6164" xr:uid="{00000000-0005-0000-0000-00008A000000}"/>
    <cellStyle name="20% - Accent1 4 5 3 2" xfId="14614" xr:uid="{522D8EF7-2F95-419D-8F68-E50E98CA8B32}"/>
    <cellStyle name="20% - Accent1 4 5 4" xfId="10396" xr:uid="{69C741E9-F2FF-4D0D-AB11-4C206FD8AA5A}"/>
    <cellStyle name="20% - Accent1 4 6" xfId="2271" xr:uid="{00000000-0005-0000-0000-00008B000000}"/>
    <cellStyle name="20% - Accent1 4 6 2" xfId="6577" xr:uid="{00000000-0005-0000-0000-00008C000000}"/>
    <cellStyle name="20% - Accent1 4 6 2 2" xfId="15027" xr:uid="{4A1A86AC-7340-4A86-B576-D01FC3D5895F}"/>
    <cellStyle name="20% - Accent1 4 6 3" xfId="10809" xr:uid="{0F98A6F4-BC72-49AA-962B-0E1DADFF93A0}"/>
    <cellStyle name="20% - Accent1 4 7" xfId="4511" xr:uid="{00000000-0005-0000-0000-00008D000000}"/>
    <cellStyle name="20% - Accent1 4 7 2" xfId="12961" xr:uid="{D577FF17-0CA8-401C-9962-D5334F941D89}"/>
    <cellStyle name="20% - Accent1 4 8" xfId="8743" xr:uid="{20E57E60-F536-4952-B2E3-651000E088DA}"/>
    <cellStyle name="20% - Accent1 5" xfId="570" xr:uid="{00000000-0005-0000-0000-00008E000000}"/>
    <cellStyle name="20% - Accent1 5 2" xfId="2841" xr:uid="{00000000-0005-0000-0000-00008F000000}"/>
    <cellStyle name="20% - Accent1 5 2 2" xfId="7063" xr:uid="{00000000-0005-0000-0000-000090000000}"/>
    <cellStyle name="20% - Accent1 5 2 2 2" xfId="15513" xr:uid="{69B544CF-8D61-47E1-A8B1-6CEA4E0BE0ED}"/>
    <cellStyle name="20% - Accent1 5 2 3" xfId="11295" xr:uid="{A1ADFA31-C18D-40AB-B134-591F9EB170C4}"/>
    <cellStyle name="20% - Accent1 5 3" xfId="4918" xr:uid="{00000000-0005-0000-0000-000091000000}"/>
    <cellStyle name="20% - Accent1 5 3 2" xfId="13368" xr:uid="{9556F252-EE6E-469A-A19B-5B3C16958C8C}"/>
    <cellStyle name="20% - Accent1 5 4" xfId="9150" xr:uid="{8AFB4361-31E1-4DE0-A934-60B522B65129}"/>
    <cellStyle name="20% - Accent1 6" xfId="1023" xr:uid="{00000000-0005-0000-0000-000092000000}"/>
    <cellStyle name="20% - Accent1 6 2" xfId="3254" xr:uid="{00000000-0005-0000-0000-000093000000}"/>
    <cellStyle name="20% - Accent1 6 2 2" xfId="7476" xr:uid="{00000000-0005-0000-0000-000094000000}"/>
    <cellStyle name="20% - Accent1 6 2 2 2" xfId="15926" xr:uid="{BA495293-6045-47F1-BF5B-EC2B2E517841}"/>
    <cellStyle name="20% - Accent1 6 2 3" xfId="11708" xr:uid="{7664A175-009D-45DB-9BC6-241EB609BBE3}"/>
    <cellStyle name="20% - Accent1 6 3" xfId="5331" xr:uid="{00000000-0005-0000-0000-000095000000}"/>
    <cellStyle name="20% - Accent1 6 3 2" xfId="13781" xr:uid="{6E1AA766-E985-41AF-ACCC-BA796BFBACCB}"/>
    <cellStyle name="20% - Accent1 6 4" xfId="9563" xr:uid="{8C9B9BB8-7996-4D63-9B26-86ECA091B3BD}"/>
    <cellStyle name="20% - Accent1 7" xfId="1437" xr:uid="{00000000-0005-0000-0000-000096000000}"/>
    <cellStyle name="20% - Accent1 7 2" xfId="3667" xr:uid="{00000000-0005-0000-0000-000097000000}"/>
    <cellStyle name="20% - Accent1 7 2 2" xfId="7889" xr:uid="{00000000-0005-0000-0000-000098000000}"/>
    <cellStyle name="20% - Accent1 7 2 2 2" xfId="16339" xr:uid="{2FD94119-49BC-4438-A2C1-A4EE083EF977}"/>
    <cellStyle name="20% - Accent1 7 2 3" xfId="12121" xr:uid="{C7145B61-1212-4925-BCCF-28B3D1C93D45}"/>
    <cellStyle name="20% - Accent1 7 3" xfId="5744" xr:uid="{00000000-0005-0000-0000-000099000000}"/>
    <cellStyle name="20% - Accent1 7 3 2" xfId="14194" xr:uid="{E655861E-5640-4455-9D3D-FDF51599478F}"/>
    <cellStyle name="20% - Accent1 7 4" xfId="9976" xr:uid="{E7AD0FD9-4354-499A-8043-2302F9CFF7FF}"/>
    <cellStyle name="20% - Accent1 8" xfId="1851" xr:uid="{00000000-0005-0000-0000-00009A000000}"/>
    <cellStyle name="20% - Accent1 8 2" xfId="4080" xr:uid="{00000000-0005-0000-0000-00009B000000}"/>
    <cellStyle name="20% - Accent1 8 2 2" xfId="8302" xr:uid="{00000000-0005-0000-0000-00009C000000}"/>
    <cellStyle name="20% - Accent1 8 2 2 2" xfId="16752" xr:uid="{A36C5449-69AE-433A-AFAC-B9B500E26933}"/>
    <cellStyle name="20% - Accent1 8 2 3" xfId="12534" xr:uid="{DBBCFA19-96CC-48F9-847D-8CFF51AB2E01}"/>
    <cellStyle name="20% - Accent1 8 3" xfId="6157" xr:uid="{00000000-0005-0000-0000-00009D000000}"/>
    <cellStyle name="20% - Accent1 8 3 2" xfId="14607" xr:uid="{34619E73-8A2F-4B90-94C1-7A7CE831EE0F}"/>
    <cellStyle name="20% - Accent1 8 4" xfId="10389" xr:uid="{2267CAAB-64CF-4ED8-A27E-F14CA51BA054}"/>
    <cellStyle name="20% - Accent1 9" xfId="2264" xr:uid="{00000000-0005-0000-0000-00009E000000}"/>
    <cellStyle name="20% - Accent1 9 2" xfId="6570" xr:uid="{00000000-0005-0000-0000-00009F000000}"/>
    <cellStyle name="20% - Accent1 9 2 2" xfId="15020" xr:uid="{A58D8944-9D41-4B3C-9112-1E2F9A195AAF}"/>
    <cellStyle name="20% - Accent1 9 3" xfId="10802" xr:uid="{E852FA0A-75FB-4E4B-879A-0F963A628186}"/>
    <cellStyle name="20% - Accent2" xfId="9" builtinId="34" customBuiltin="1"/>
    <cellStyle name="20% - Accent2 10" xfId="4512" xr:uid="{00000000-0005-0000-0000-0000A1000000}"/>
    <cellStyle name="20% - Accent2 10 2" xfId="12962" xr:uid="{3F66A970-4D24-47CC-8EFA-659ED4B42B4E}"/>
    <cellStyle name="20% - Accent2 11" xfId="8744" xr:uid="{23C426DD-A36B-43B7-B91A-D28509B8C5B4}"/>
    <cellStyle name="20% - Accent2 2" xfId="10" xr:uid="{00000000-0005-0000-0000-0000A2000000}"/>
    <cellStyle name="20% - Accent2 2 10" xfId="8745" xr:uid="{7DB1AAE3-5B18-49DF-8722-BA6A7F9A112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2 2 2" xfId="15524" xr:uid="{37D6CE81-70DD-4319-9C4E-AFBADADC835A}"/>
    <cellStyle name="20% - Accent2 2 2 2 2 2 3" xfId="11306" xr:uid="{CFB29B82-43C2-43CD-BDDE-C67CFB0A28A7}"/>
    <cellStyle name="20% - Accent2 2 2 2 2 3" xfId="4929" xr:uid="{00000000-0005-0000-0000-0000A8000000}"/>
    <cellStyle name="20% - Accent2 2 2 2 2 3 2" xfId="13379" xr:uid="{666D836F-82C7-4CD1-8418-CCDD36597EC7}"/>
    <cellStyle name="20% - Accent2 2 2 2 2 4" xfId="9161" xr:uid="{A78839CA-578D-4CCB-99B2-2A740C1FA2CF}"/>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2 2 2" xfId="15937" xr:uid="{0CFE26E3-FDF5-4DC9-B587-DFD4E95C4EC7}"/>
    <cellStyle name="20% - Accent2 2 2 2 3 2 3" xfId="11719" xr:uid="{F7FA3480-6892-4853-8061-580AC5E7C40D}"/>
    <cellStyle name="20% - Accent2 2 2 2 3 3" xfId="5342" xr:uid="{00000000-0005-0000-0000-0000AC000000}"/>
    <cellStyle name="20% - Accent2 2 2 2 3 3 2" xfId="13792" xr:uid="{AF4C2656-4729-40C4-854B-26E896360375}"/>
    <cellStyle name="20% - Accent2 2 2 2 3 4" xfId="9574" xr:uid="{940949D5-0DCC-4B67-A7F3-0788738CF4D1}"/>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2 2 2" xfId="16350" xr:uid="{34EC12CC-1705-43CE-9F4F-7DF2946E85BD}"/>
    <cellStyle name="20% - Accent2 2 2 2 4 2 3" xfId="12132" xr:uid="{11ADCBC9-D603-4A82-A01E-7D6ED4152E7B}"/>
    <cellStyle name="20% - Accent2 2 2 2 4 3" xfId="5755" xr:uid="{00000000-0005-0000-0000-0000B0000000}"/>
    <cellStyle name="20% - Accent2 2 2 2 4 3 2" xfId="14205" xr:uid="{A4A0B2D0-7117-4A07-A69A-F2243528E186}"/>
    <cellStyle name="20% - Accent2 2 2 2 4 4" xfId="9987" xr:uid="{9B4CC422-EAE2-413A-A527-D0E29B5E8B3F}"/>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2 2 2" xfId="16763" xr:uid="{C7BD2435-6C7D-4B42-870D-C7200B717539}"/>
    <cellStyle name="20% - Accent2 2 2 2 5 2 3" xfId="12545" xr:uid="{92C2C6A1-90B5-40C5-B0EE-0211BF359C19}"/>
    <cellStyle name="20% - Accent2 2 2 2 5 3" xfId="6168" xr:uid="{00000000-0005-0000-0000-0000B4000000}"/>
    <cellStyle name="20% - Accent2 2 2 2 5 3 2" xfId="14618" xr:uid="{279C235D-2012-4E6A-A3FD-4D5CED8DC51C}"/>
    <cellStyle name="20% - Accent2 2 2 2 5 4" xfId="10400" xr:uid="{C28E4F08-6A60-4AE2-A380-B503F8D44B11}"/>
    <cellStyle name="20% - Accent2 2 2 2 6" xfId="2275" xr:uid="{00000000-0005-0000-0000-0000B5000000}"/>
    <cellStyle name="20% - Accent2 2 2 2 6 2" xfId="6581" xr:uid="{00000000-0005-0000-0000-0000B6000000}"/>
    <cellStyle name="20% - Accent2 2 2 2 6 2 2" xfId="15031" xr:uid="{5E55545F-130D-4432-8534-60E0678DF3EB}"/>
    <cellStyle name="20% - Accent2 2 2 2 6 3" xfId="10813" xr:uid="{583F34EA-D481-4CB3-A029-5A80EAA15735}"/>
    <cellStyle name="20% - Accent2 2 2 2 7" xfId="4515" xr:uid="{00000000-0005-0000-0000-0000B7000000}"/>
    <cellStyle name="20% - Accent2 2 2 2 7 2" xfId="12965" xr:uid="{88DF7A56-1E8D-4CC3-B679-FE0C5D20456C}"/>
    <cellStyle name="20% - Accent2 2 2 2 8" xfId="8747" xr:uid="{EEFB00F4-6C2D-480B-B84A-57B729046AC6}"/>
    <cellStyle name="20% - Accent2 2 2 3" xfId="580" xr:uid="{00000000-0005-0000-0000-0000B8000000}"/>
    <cellStyle name="20% - Accent2 2 2 3 2" xfId="2851" xr:uid="{00000000-0005-0000-0000-0000B9000000}"/>
    <cellStyle name="20% - Accent2 2 2 3 2 2" xfId="7073" xr:uid="{00000000-0005-0000-0000-0000BA000000}"/>
    <cellStyle name="20% - Accent2 2 2 3 2 2 2" xfId="15523" xr:uid="{FE372749-CA41-45B6-8AD3-0D3C4D5690FC}"/>
    <cellStyle name="20% - Accent2 2 2 3 2 3" xfId="11305" xr:uid="{E0AA7E00-C8BF-4ADD-AF64-908BBBEA19B7}"/>
    <cellStyle name="20% - Accent2 2 2 3 3" xfId="4928" xr:uid="{00000000-0005-0000-0000-0000BB000000}"/>
    <cellStyle name="20% - Accent2 2 2 3 3 2" xfId="13378" xr:uid="{B2E7F1E4-C024-4043-91B6-6020E119319E}"/>
    <cellStyle name="20% - Accent2 2 2 3 4" xfId="9160" xr:uid="{91CDE189-1CA1-4A71-BE56-1A86E8D1613C}"/>
    <cellStyle name="20% - Accent2 2 2 4" xfId="1033" xr:uid="{00000000-0005-0000-0000-0000BC000000}"/>
    <cellStyle name="20% - Accent2 2 2 4 2" xfId="3264" xr:uid="{00000000-0005-0000-0000-0000BD000000}"/>
    <cellStyle name="20% - Accent2 2 2 4 2 2" xfId="7486" xr:uid="{00000000-0005-0000-0000-0000BE000000}"/>
    <cellStyle name="20% - Accent2 2 2 4 2 2 2" xfId="15936" xr:uid="{6BE4CA51-41EF-451D-9DA0-06F1A8493686}"/>
    <cellStyle name="20% - Accent2 2 2 4 2 3" xfId="11718" xr:uid="{329A155E-84D8-4651-8EB2-BE25E567257F}"/>
    <cellStyle name="20% - Accent2 2 2 4 3" xfId="5341" xr:uid="{00000000-0005-0000-0000-0000BF000000}"/>
    <cellStyle name="20% - Accent2 2 2 4 3 2" xfId="13791" xr:uid="{5D2D0A02-17B9-49A8-8695-BEAF6F05D2E5}"/>
    <cellStyle name="20% - Accent2 2 2 4 4" xfId="9573" xr:uid="{30EED60E-0214-4DA0-967F-A24A5C0EB84E}"/>
    <cellStyle name="20% - Accent2 2 2 5" xfId="1447" xr:uid="{00000000-0005-0000-0000-0000C0000000}"/>
    <cellStyle name="20% - Accent2 2 2 5 2" xfId="3677" xr:uid="{00000000-0005-0000-0000-0000C1000000}"/>
    <cellStyle name="20% - Accent2 2 2 5 2 2" xfId="7899" xr:uid="{00000000-0005-0000-0000-0000C2000000}"/>
    <cellStyle name="20% - Accent2 2 2 5 2 2 2" xfId="16349" xr:uid="{A83B2017-CDED-44F5-AA51-E03FF43D0451}"/>
    <cellStyle name="20% - Accent2 2 2 5 2 3" xfId="12131" xr:uid="{85263A90-D420-4C65-9E1B-7A31C8E9CED3}"/>
    <cellStyle name="20% - Accent2 2 2 5 3" xfId="5754" xr:uid="{00000000-0005-0000-0000-0000C3000000}"/>
    <cellStyle name="20% - Accent2 2 2 5 3 2" xfId="14204" xr:uid="{B27AB1DC-D474-4DE6-B9A2-78BE18B1DDAC}"/>
    <cellStyle name="20% - Accent2 2 2 5 4" xfId="9986" xr:uid="{3F0727A1-B482-4C47-AF1A-EC720E581180}"/>
    <cellStyle name="20% - Accent2 2 2 6" xfId="1861" xr:uid="{00000000-0005-0000-0000-0000C4000000}"/>
    <cellStyle name="20% - Accent2 2 2 6 2" xfId="4090" xr:uid="{00000000-0005-0000-0000-0000C5000000}"/>
    <cellStyle name="20% - Accent2 2 2 6 2 2" xfId="8312" xr:uid="{00000000-0005-0000-0000-0000C6000000}"/>
    <cellStyle name="20% - Accent2 2 2 6 2 2 2" xfId="16762" xr:uid="{8C43D56F-BD0E-4358-9F94-FAB5F63C8095}"/>
    <cellStyle name="20% - Accent2 2 2 6 2 3" xfId="12544" xr:uid="{37F170F5-9601-44F0-B699-67A4A28C7DEB}"/>
    <cellStyle name="20% - Accent2 2 2 6 3" xfId="6167" xr:uid="{00000000-0005-0000-0000-0000C7000000}"/>
    <cellStyle name="20% - Accent2 2 2 6 3 2" xfId="14617" xr:uid="{F0BC225A-3740-4890-86FE-59EB62B0D210}"/>
    <cellStyle name="20% - Accent2 2 2 6 4" xfId="10399" xr:uid="{03FEFACC-7418-47E7-BF3F-7187EC0A8F0F}"/>
    <cellStyle name="20% - Accent2 2 2 7" xfId="2274" xr:uid="{00000000-0005-0000-0000-0000C8000000}"/>
    <cellStyle name="20% - Accent2 2 2 7 2" xfId="6580" xr:uid="{00000000-0005-0000-0000-0000C9000000}"/>
    <cellStyle name="20% - Accent2 2 2 7 2 2" xfId="15030" xr:uid="{BE287AB0-4BD9-45E6-B2F6-0B3135828082}"/>
    <cellStyle name="20% - Accent2 2 2 7 3" xfId="10812" xr:uid="{1B644F97-4660-411C-9BF4-53EEA0166CA0}"/>
    <cellStyle name="20% - Accent2 2 2 8" xfId="4514" xr:uid="{00000000-0005-0000-0000-0000CA000000}"/>
    <cellStyle name="20% - Accent2 2 2 8 2" xfId="12964" xr:uid="{F128634D-205C-4925-BF5A-B1E801B546F6}"/>
    <cellStyle name="20% - Accent2 2 2 9" xfId="8746" xr:uid="{CB65ACBE-5A59-4C4E-801C-1C9165F82ADD}"/>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2 2 2" xfId="15525" xr:uid="{F6553BF7-2ACC-45A1-BE83-78AF29930EE4}"/>
    <cellStyle name="20% - Accent2 2 3 2 2 3" xfId="11307" xr:uid="{E1FB40F9-855A-4AFA-95A8-62CCB2B2E78C}"/>
    <cellStyle name="20% - Accent2 2 3 2 3" xfId="4930" xr:uid="{00000000-0005-0000-0000-0000CF000000}"/>
    <cellStyle name="20% - Accent2 2 3 2 3 2" xfId="13380" xr:uid="{35B5D41E-42C9-42CA-B09A-69008FA41CE8}"/>
    <cellStyle name="20% - Accent2 2 3 2 4" xfId="9162" xr:uid="{834DF853-D588-40F6-8617-FDDC5B80F575}"/>
    <cellStyle name="20% - Accent2 2 3 3" xfId="1035" xr:uid="{00000000-0005-0000-0000-0000D0000000}"/>
    <cellStyle name="20% - Accent2 2 3 3 2" xfId="3266" xr:uid="{00000000-0005-0000-0000-0000D1000000}"/>
    <cellStyle name="20% - Accent2 2 3 3 2 2" xfId="7488" xr:uid="{00000000-0005-0000-0000-0000D2000000}"/>
    <cellStyle name="20% - Accent2 2 3 3 2 2 2" xfId="15938" xr:uid="{310371DF-1DCC-45EB-B538-BFB8BC197436}"/>
    <cellStyle name="20% - Accent2 2 3 3 2 3" xfId="11720" xr:uid="{8E0AA2B3-5CBA-4EE6-8119-3A7DC32B7CDE}"/>
    <cellStyle name="20% - Accent2 2 3 3 3" xfId="5343" xr:uid="{00000000-0005-0000-0000-0000D3000000}"/>
    <cellStyle name="20% - Accent2 2 3 3 3 2" xfId="13793" xr:uid="{0B2B13B4-7B16-4829-979B-C76229449D2F}"/>
    <cellStyle name="20% - Accent2 2 3 3 4" xfId="9575" xr:uid="{6F51F227-F7E7-4663-BACE-8CEE076C9AA7}"/>
    <cellStyle name="20% - Accent2 2 3 4" xfId="1449" xr:uid="{00000000-0005-0000-0000-0000D4000000}"/>
    <cellStyle name="20% - Accent2 2 3 4 2" xfId="3679" xr:uid="{00000000-0005-0000-0000-0000D5000000}"/>
    <cellStyle name="20% - Accent2 2 3 4 2 2" xfId="7901" xr:uid="{00000000-0005-0000-0000-0000D6000000}"/>
    <cellStyle name="20% - Accent2 2 3 4 2 2 2" xfId="16351" xr:uid="{87AC24B2-23FE-401E-891A-883BC11624B0}"/>
    <cellStyle name="20% - Accent2 2 3 4 2 3" xfId="12133" xr:uid="{CC3D11C4-4096-4727-8721-CE4A263DA2CA}"/>
    <cellStyle name="20% - Accent2 2 3 4 3" xfId="5756" xr:uid="{00000000-0005-0000-0000-0000D7000000}"/>
    <cellStyle name="20% - Accent2 2 3 4 3 2" xfId="14206" xr:uid="{E88AF39B-9195-4CB0-A2B1-41819A964D35}"/>
    <cellStyle name="20% - Accent2 2 3 4 4" xfId="9988" xr:uid="{C5B85924-DC9F-441B-A80A-DEB43F361605}"/>
    <cellStyle name="20% - Accent2 2 3 5" xfId="1863" xr:uid="{00000000-0005-0000-0000-0000D8000000}"/>
    <cellStyle name="20% - Accent2 2 3 5 2" xfId="4092" xr:uid="{00000000-0005-0000-0000-0000D9000000}"/>
    <cellStyle name="20% - Accent2 2 3 5 2 2" xfId="8314" xr:uid="{00000000-0005-0000-0000-0000DA000000}"/>
    <cellStyle name="20% - Accent2 2 3 5 2 2 2" xfId="16764" xr:uid="{43BC5A3A-B244-4E5F-A2BE-5AB0388CBEF1}"/>
    <cellStyle name="20% - Accent2 2 3 5 2 3" xfId="12546" xr:uid="{9FA4540E-51CA-4DC8-8BE3-979E4E2C4554}"/>
    <cellStyle name="20% - Accent2 2 3 5 3" xfId="6169" xr:uid="{00000000-0005-0000-0000-0000DB000000}"/>
    <cellStyle name="20% - Accent2 2 3 5 3 2" xfId="14619" xr:uid="{16D0C93E-CA85-458C-B90E-BD2FFB479C91}"/>
    <cellStyle name="20% - Accent2 2 3 5 4" xfId="10401" xr:uid="{4E73516A-B89D-4FDB-AEDD-E2CE8A11630D}"/>
    <cellStyle name="20% - Accent2 2 3 6" xfId="2276" xr:uid="{00000000-0005-0000-0000-0000DC000000}"/>
    <cellStyle name="20% - Accent2 2 3 6 2" xfId="6582" xr:uid="{00000000-0005-0000-0000-0000DD000000}"/>
    <cellStyle name="20% - Accent2 2 3 6 2 2" xfId="15032" xr:uid="{F00FFEEE-5648-4435-9FD1-B8F702458126}"/>
    <cellStyle name="20% - Accent2 2 3 6 3" xfId="10814" xr:uid="{467A375F-AB2C-4FAC-A497-5494B16653EA}"/>
    <cellStyle name="20% - Accent2 2 3 7" xfId="4516" xr:uid="{00000000-0005-0000-0000-0000DE000000}"/>
    <cellStyle name="20% - Accent2 2 3 7 2" xfId="12966" xr:uid="{FC121567-1D49-4A96-BD17-E34AD15A13D2}"/>
    <cellStyle name="20% - Accent2 2 3 8" xfId="8748" xr:uid="{E9A75D59-D6E1-4FDE-8D84-233862F2F9CE}"/>
    <cellStyle name="20% - Accent2 2 4" xfId="579" xr:uid="{00000000-0005-0000-0000-0000DF000000}"/>
    <cellStyle name="20% - Accent2 2 4 2" xfId="2850" xr:uid="{00000000-0005-0000-0000-0000E0000000}"/>
    <cellStyle name="20% - Accent2 2 4 2 2" xfId="7072" xr:uid="{00000000-0005-0000-0000-0000E1000000}"/>
    <cellStyle name="20% - Accent2 2 4 2 2 2" xfId="15522" xr:uid="{999C83CA-D1DF-4B4E-B1AC-89DFA0A2735A}"/>
    <cellStyle name="20% - Accent2 2 4 2 3" xfId="11304" xr:uid="{76C2C9AB-466D-4A7A-922D-EAA5C0399DB1}"/>
    <cellStyle name="20% - Accent2 2 4 3" xfId="4927" xr:uid="{00000000-0005-0000-0000-0000E2000000}"/>
    <cellStyle name="20% - Accent2 2 4 3 2" xfId="13377" xr:uid="{C45BA12E-D4BD-4673-B8FC-DD9017113D55}"/>
    <cellStyle name="20% - Accent2 2 4 4" xfId="9159" xr:uid="{CA24EA6E-6281-4ED6-B794-3410B14A158B}"/>
    <cellStyle name="20% - Accent2 2 5" xfId="1032" xr:uid="{00000000-0005-0000-0000-0000E3000000}"/>
    <cellStyle name="20% - Accent2 2 5 2" xfId="3263" xr:uid="{00000000-0005-0000-0000-0000E4000000}"/>
    <cellStyle name="20% - Accent2 2 5 2 2" xfId="7485" xr:uid="{00000000-0005-0000-0000-0000E5000000}"/>
    <cellStyle name="20% - Accent2 2 5 2 2 2" xfId="15935" xr:uid="{81CD1E89-EB8B-462B-8F72-AC6A25619EB8}"/>
    <cellStyle name="20% - Accent2 2 5 2 3" xfId="11717" xr:uid="{F8121F05-218F-4786-A18E-4B7593852768}"/>
    <cellStyle name="20% - Accent2 2 5 3" xfId="5340" xr:uid="{00000000-0005-0000-0000-0000E6000000}"/>
    <cellStyle name="20% - Accent2 2 5 3 2" xfId="13790" xr:uid="{0E6C331C-828F-4436-99FF-384C634AD2E7}"/>
    <cellStyle name="20% - Accent2 2 5 4" xfId="9572" xr:uid="{AB46301C-BB23-46C0-A006-0E46EB21B6A7}"/>
    <cellStyle name="20% - Accent2 2 6" xfId="1446" xr:uid="{00000000-0005-0000-0000-0000E7000000}"/>
    <cellStyle name="20% - Accent2 2 6 2" xfId="3676" xr:uid="{00000000-0005-0000-0000-0000E8000000}"/>
    <cellStyle name="20% - Accent2 2 6 2 2" xfId="7898" xr:uid="{00000000-0005-0000-0000-0000E9000000}"/>
    <cellStyle name="20% - Accent2 2 6 2 2 2" xfId="16348" xr:uid="{E5FFE7C5-585A-4FEB-B36F-CC08B63BD696}"/>
    <cellStyle name="20% - Accent2 2 6 2 3" xfId="12130" xr:uid="{896ACDDD-0CB0-4F91-A341-B395AABBA594}"/>
    <cellStyle name="20% - Accent2 2 6 3" xfId="5753" xr:uid="{00000000-0005-0000-0000-0000EA000000}"/>
    <cellStyle name="20% - Accent2 2 6 3 2" xfId="14203" xr:uid="{716727F6-84A7-4C69-A5B8-B6D1DD24D65F}"/>
    <cellStyle name="20% - Accent2 2 6 4" xfId="9985" xr:uid="{5DEAA684-EB36-4A10-82B8-C1C8CCE71D15}"/>
    <cellStyle name="20% - Accent2 2 7" xfId="1860" xr:uid="{00000000-0005-0000-0000-0000EB000000}"/>
    <cellStyle name="20% - Accent2 2 7 2" xfId="4089" xr:uid="{00000000-0005-0000-0000-0000EC000000}"/>
    <cellStyle name="20% - Accent2 2 7 2 2" xfId="8311" xr:uid="{00000000-0005-0000-0000-0000ED000000}"/>
    <cellStyle name="20% - Accent2 2 7 2 2 2" xfId="16761" xr:uid="{76346200-1FD6-4A99-B172-E8F9F6CE36A8}"/>
    <cellStyle name="20% - Accent2 2 7 2 3" xfId="12543" xr:uid="{80F8730E-ADFE-4D31-93A7-D5B02DE83547}"/>
    <cellStyle name="20% - Accent2 2 7 3" xfId="6166" xr:uid="{00000000-0005-0000-0000-0000EE000000}"/>
    <cellStyle name="20% - Accent2 2 7 3 2" xfId="14616" xr:uid="{4BE808D4-EEE9-4735-B095-445BD9EF149A}"/>
    <cellStyle name="20% - Accent2 2 7 4" xfId="10398" xr:uid="{A298ECA2-AFC6-4E76-A7EB-76459A7FAF40}"/>
    <cellStyle name="20% - Accent2 2 8" xfId="2273" xr:uid="{00000000-0005-0000-0000-0000EF000000}"/>
    <cellStyle name="20% - Accent2 2 8 2" xfId="6579" xr:uid="{00000000-0005-0000-0000-0000F0000000}"/>
    <cellStyle name="20% - Accent2 2 8 2 2" xfId="15029" xr:uid="{A0511811-8C1B-4CC5-92F1-26FADBA0016A}"/>
    <cellStyle name="20% - Accent2 2 8 3" xfId="10811" xr:uid="{61489D75-9F23-4CEF-AA70-0956643AA999}"/>
    <cellStyle name="20% - Accent2 2 9" xfId="4513" xr:uid="{00000000-0005-0000-0000-0000F1000000}"/>
    <cellStyle name="20% - Accent2 2 9 2" xfId="12963" xr:uid="{7031EA10-2E09-4FD7-9A2C-AE4631F7F349}"/>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2 2 2" xfId="15527" xr:uid="{9A8072CB-D4A1-4E7F-8FBC-161D530AFAF3}"/>
    <cellStyle name="20% - Accent2 3 2 2 2 3" xfId="11309" xr:uid="{7E7B0184-7B93-4B48-BBBE-81D8D5FD9B85}"/>
    <cellStyle name="20% - Accent2 3 2 2 3" xfId="4932" xr:uid="{00000000-0005-0000-0000-0000F7000000}"/>
    <cellStyle name="20% - Accent2 3 2 2 3 2" xfId="13382" xr:uid="{09FD194A-3D36-40BB-A50F-DFBE85A33E46}"/>
    <cellStyle name="20% - Accent2 3 2 2 4" xfId="9164" xr:uid="{AD6F055E-DDA3-4D5F-9D78-DDDB1B1EA7E3}"/>
    <cellStyle name="20% - Accent2 3 2 3" xfId="1037" xr:uid="{00000000-0005-0000-0000-0000F8000000}"/>
    <cellStyle name="20% - Accent2 3 2 3 2" xfId="3268" xr:uid="{00000000-0005-0000-0000-0000F9000000}"/>
    <cellStyle name="20% - Accent2 3 2 3 2 2" xfId="7490" xr:uid="{00000000-0005-0000-0000-0000FA000000}"/>
    <cellStyle name="20% - Accent2 3 2 3 2 2 2" xfId="15940" xr:uid="{3AA1E916-FA2C-41C3-8BB8-46A585F2CE02}"/>
    <cellStyle name="20% - Accent2 3 2 3 2 3" xfId="11722" xr:uid="{03EC0A58-9778-4F5A-BFC3-804C1F8E543E}"/>
    <cellStyle name="20% - Accent2 3 2 3 3" xfId="5345" xr:uid="{00000000-0005-0000-0000-0000FB000000}"/>
    <cellStyle name="20% - Accent2 3 2 3 3 2" xfId="13795" xr:uid="{33897294-6BF5-44B4-B59C-92BD0F0112F6}"/>
    <cellStyle name="20% - Accent2 3 2 3 4" xfId="9577" xr:uid="{F644D85D-CAA3-4B6D-BDC5-A0739AD4D25F}"/>
    <cellStyle name="20% - Accent2 3 2 4" xfId="1451" xr:uid="{00000000-0005-0000-0000-0000FC000000}"/>
    <cellStyle name="20% - Accent2 3 2 4 2" xfId="3681" xr:uid="{00000000-0005-0000-0000-0000FD000000}"/>
    <cellStyle name="20% - Accent2 3 2 4 2 2" xfId="7903" xr:uid="{00000000-0005-0000-0000-0000FE000000}"/>
    <cellStyle name="20% - Accent2 3 2 4 2 2 2" xfId="16353" xr:uid="{93145C75-9B1D-47E8-9E4E-A3037BBB38C1}"/>
    <cellStyle name="20% - Accent2 3 2 4 2 3" xfId="12135" xr:uid="{D5C03D15-27D2-49E2-ADDA-1E8C5B2ECEF5}"/>
    <cellStyle name="20% - Accent2 3 2 4 3" xfId="5758" xr:uid="{00000000-0005-0000-0000-0000FF000000}"/>
    <cellStyle name="20% - Accent2 3 2 4 3 2" xfId="14208" xr:uid="{66A67921-B806-48BA-AE04-97352F7D8C80}"/>
    <cellStyle name="20% - Accent2 3 2 4 4" xfId="9990" xr:uid="{747F06A7-0B19-4CE7-BFC2-8482D1CBFBDE}"/>
    <cellStyle name="20% - Accent2 3 2 5" xfId="1865" xr:uid="{00000000-0005-0000-0000-000000010000}"/>
    <cellStyle name="20% - Accent2 3 2 5 2" xfId="4094" xr:uid="{00000000-0005-0000-0000-000001010000}"/>
    <cellStyle name="20% - Accent2 3 2 5 2 2" xfId="8316" xr:uid="{00000000-0005-0000-0000-000002010000}"/>
    <cellStyle name="20% - Accent2 3 2 5 2 2 2" xfId="16766" xr:uid="{7104A27F-22FF-40D1-9A52-8B42D4A188AD}"/>
    <cellStyle name="20% - Accent2 3 2 5 2 3" xfId="12548" xr:uid="{7E97B08A-E83F-4717-8388-E1D0ED876130}"/>
    <cellStyle name="20% - Accent2 3 2 5 3" xfId="6171" xr:uid="{00000000-0005-0000-0000-000003010000}"/>
    <cellStyle name="20% - Accent2 3 2 5 3 2" xfId="14621" xr:uid="{85AD2317-2278-42D9-8C5B-22D505CB492D}"/>
    <cellStyle name="20% - Accent2 3 2 5 4" xfId="10403" xr:uid="{2FAB1ED6-E5EC-489B-B4B4-78D514B2083B}"/>
    <cellStyle name="20% - Accent2 3 2 6" xfId="2278" xr:uid="{00000000-0005-0000-0000-000004010000}"/>
    <cellStyle name="20% - Accent2 3 2 6 2" xfId="6584" xr:uid="{00000000-0005-0000-0000-000005010000}"/>
    <cellStyle name="20% - Accent2 3 2 6 2 2" xfId="15034" xr:uid="{AA4B4CF8-0CD7-48FF-B3C3-21440D8C34E6}"/>
    <cellStyle name="20% - Accent2 3 2 6 3" xfId="10816" xr:uid="{6B2F1B44-9392-47E9-B1E2-8187600C8AA5}"/>
    <cellStyle name="20% - Accent2 3 2 7" xfId="4518" xr:uid="{00000000-0005-0000-0000-000006010000}"/>
    <cellStyle name="20% - Accent2 3 2 7 2" xfId="12968" xr:uid="{8DF17337-21BB-4516-A4BC-979BBACF9020}"/>
    <cellStyle name="20% - Accent2 3 2 8" xfId="8750" xr:uid="{EC8CA1BC-841D-4607-AD74-A9A2E5FD3AA8}"/>
    <cellStyle name="20% - Accent2 3 3" xfId="583" xr:uid="{00000000-0005-0000-0000-000007010000}"/>
    <cellStyle name="20% - Accent2 3 3 2" xfId="2854" xr:uid="{00000000-0005-0000-0000-000008010000}"/>
    <cellStyle name="20% - Accent2 3 3 2 2" xfId="7076" xr:uid="{00000000-0005-0000-0000-000009010000}"/>
    <cellStyle name="20% - Accent2 3 3 2 2 2" xfId="15526" xr:uid="{D90858FE-E0AE-4E89-B456-C45ECD345DAD}"/>
    <cellStyle name="20% - Accent2 3 3 2 3" xfId="11308" xr:uid="{99AC9A1E-61F3-4B42-9F54-417D232D25C2}"/>
    <cellStyle name="20% - Accent2 3 3 3" xfId="4931" xr:uid="{00000000-0005-0000-0000-00000A010000}"/>
    <cellStyle name="20% - Accent2 3 3 3 2" xfId="13381" xr:uid="{63A03D73-3626-4506-B1A3-4B7754032054}"/>
    <cellStyle name="20% - Accent2 3 3 4" xfId="9163" xr:uid="{63F1F5DC-0F47-4DC1-93EC-1E13181AEAE6}"/>
    <cellStyle name="20% - Accent2 3 4" xfId="1036" xr:uid="{00000000-0005-0000-0000-00000B010000}"/>
    <cellStyle name="20% - Accent2 3 4 2" xfId="3267" xr:uid="{00000000-0005-0000-0000-00000C010000}"/>
    <cellStyle name="20% - Accent2 3 4 2 2" xfId="7489" xr:uid="{00000000-0005-0000-0000-00000D010000}"/>
    <cellStyle name="20% - Accent2 3 4 2 2 2" xfId="15939" xr:uid="{C900586D-0FDB-4EB1-97E8-F3B73E1C9699}"/>
    <cellStyle name="20% - Accent2 3 4 2 3" xfId="11721" xr:uid="{B31C8B30-E9A0-4D45-B46B-4FA678E4236C}"/>
    <cellStyle name="20% - Accent2 3 4 3" xfId="5344" xr:uid="{00000000-0005-0000-0000-00000E010000}"/>
    <cellStyle name="20% - Accent2 3 4 3 2" xfId="13794" xr:uid="{091711B4-38E4-4D1E-8C7C-2125EB541D6F}"/>
    <cellStyle name="20% - Accent2 3 4 4" xfId="9576" xr:uid="{0BBA1E3F-AD0C-4C08-A798-92A8EB31779A}"/>
    <cellStyle name="20% - Accent2 3 5" xfId="1450" xr:uid="{00000000-0005-0000-0000-00000F010000}"/>
    <cellStyle name="20% - Accent2 3 5 2" xfId="3680" xr:uid="{00000000-0005-0000-0000-000010010000}"/>
    <cellStyle name="20% - Accent2 3 5 2 2" xfId="7902" xr:uid="{00000000-0005-0000-0000-000011010000}"/>
    <cellStyle name="20% - Accent2 3 5 2 2 2" xfId="16352" xr:uid="{443FE7BF-D9B5-43BC-A286-F3E036620A47}"/>
    <cellStyle name="20% - Accent2 3 5 2 3" xfId="12134" xr:uid="{1567CD97-6653-400F-B530-174366044621}"/>
    <cellStyle name="20% - Accent2 3 5 3" xfId="5757" xr:uid="{00000000-0005-0000-0000-000012010000}"/>
    <cellStyle name="20% - Accent2 3 5 3 2" xfId="14207" xr:uid="{C0666ECB-1EDA-4248-9788-E5C39822C387}"/>
    <cellStyle name="20% - Accent2 3 5 4" xfId="9989" xr:uid="{BD5697A3-DA74-4BD7-93D9-F51C204F42FA}"/>
    <cellStyle name="20% - Accent2 3 6" xfId="1864" xr:uid="{00000000-0005-0000-0000-000013010000}"/>
    <cellStyle name="20% - Accent2 3 6 2" xfId="4093" xr:uid="{00000000-0005-0000-0000-000014010000}"/>
    <cellStyle name="20% - Accent2 3 6 2 2" xfId="8315" xr:uid="{00000000-0005-0000-0000-000015010000}"/>
    <cellStyle name="20% - Accent2 3 6 2 2 2" xfId="16765" xr:uid="{64786171-C41E-4B2E-9325-E3FB24BAC49B}"/>
    <cellStyle name="20% - Accent2 3 6 2 3" xfId="12547" xr:uid="{FEE46670-B768-4912-AADA-16D626F1EEEC}"/>
    <cellStyle name="20% - Accent2 3 6 3" xfId="6170" xr:uid="{00000000-0005-0000-0000-000016010000}"/>
    <cellStyle name="20% - Accent2 3 6 3 2" xfId="14620" xr:uid="{3CC9F600-26DC-4FBC-8470-FD15C793C21A}"/>
    <cellStyle name="20% - Accent2 3 6 4" xfId="10402" xr:uid="{ABC052C5-9039-4F20-9B39-72BAED8DE473}"/>
    <cellStyle name="20% - Accent2 3 7" xfId="2277" xr:uid="{00000000-0005-0000-0000-000017010000}"/>
    <cellStyle name="20% - Accent2 3 7 2" xfId="6583" xr:uid="{00000000-0005-0000-0000-000018010000}"/>
    <cellStyle name="20% - Accent2 3 7 2 2" xfId="15033" xr:uid="{F10FC521-9687-4B79-82B6-E8F9943763ED}"/>
    <cellStyle name="20% - Accent2 3 7 3" xfId="10815" xr:uid="{A0D5DA46-4C62-4A97-814B-2A36F11FD358}"/>
    <cellStyle name="20% - Accent2 3 8" xfId="4517" xr:uid="{00000000-0005-0000-0000-000019010000}"/>
    <cellStyle name="20% - Accent2 3 8 2" xfId="12967" xr:uid="{DC0DD92C-171D-455F-9107-B12DEF349F53}"/>
    <cellStyle name="20% - Accent2 3 9" xfId="8749" xr:uid="{331C8ACD-BF25-4C05-BB36-173EFF1E0897}"/>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2 2 2" xfId="15528" xr:uid="{A77EB87F-59CE-417A-B517-666935C52C9E}"/>
    <cellStyle name="20% - Accent2 4 2 2 3" xfId="11310" xr:uid="{337CF8C0-121E-4814-B7B3-4B4F94C0C185}"/>
    <cellStyle name="20% - Accent2 4 2 3" xfId="4933" xr:uid="{00000000-0005-0000-0000-00001E010000}"/>
    <cellStyle name="20% - Accent2 4 2 3 2" xfId="13383" xr:uid="{2ED650BE-BA68-416C-BF20-2E10AD3F2580}"/>
    <cellStyle name="20% - Accent2 4 2 4" xfId="9165" xr:uid="{C3D4A188-0CB6-4B52-9577-9D417181887B}"/>
    <cellStyle name="20% - Accent2 4 3" xfId="1038" xr:uid="{00000000-0005-0000-0000-00001F010000}"/>
    <cellStyle name="20% - Accent2 4 3 2" xfId="3269" xr:uid="{00000000-0005-0000-0000-000020010000}"/>
    <cellStyle name="20% - Accent2 4 3 2 2" xfId="7491" xr:uid="{00000000-0005-0000-0000-000021010000}"/>
    <cellStyle name="20% - Accent2 4 3 2 2 2" xfId="15941" xr:uid="{B3020E10-100C-4B9A-BCA7-3E697E288A90}"/>
    <cellStyle name="20% - Accent2 4 3 2 3" xfId="11723" xr:uid="{29318FFC-477F-478C-B172-AA5DC5C56405}"/>
    <cellStyle name="20% - Accent2 4 3 3" xfId="5346" xr:uid="{00000000-0005-0000-0000-000022010000}"/>
    <cellStyle name="20% - Accent2 4 3 3 2" xfId="13796" xr:uid="{5D56188A-5597-40B8-A81D-B8D2D0CDDBFC}"/>
    <cellStyle name="20% - Accent2 4 3 4" xfId="9578" xr:uid="{996D0E1A-58AF-47EE-89BD-455C99AEBE3E}"/>
    <cellStyle name="20% - Accent2 4 4" xfId="1452" xr:uid="{00000000-0005-0000-0000-000023010000}"/>
    <cellStyle name="20% - Accent2 4 4 2" xfId="3682" xr:uid="{00000000-0005-0000-0000-000024010000}"/>
    <cellStyle name="20% - Accent2 4 4 2 2" xfId="7904" xr:uid="{00000000-0005-0000-0000-000025010000}"/>
    <cellStyle name="20% - Accent2 4 4 2 2 2" xfId="16354" xr:uid="{512609DA-C3CC-43EB-B271-AF88D149FD02}"/>
    <cellStyle name="20% - Accent2 4 4 2 3" xfId="12136" xr:uid="{257F2754-C67C-4936-9744-327255731F85}"/>
    <cellStyle name="20% - Accent2 4 4 3" xfId="5759" xr:uid="{00000000-0005-0000-0000-000026010000}"/>
    <cellStyle name="20% - Accent2 4 4 3 2" xfId="14209" xr:uid="{D147540E-6317-432E-A701-788934ADF915}"/>
    <cellStyle name="20% - Accent2 4 4 4" xfId="9991" xr:uid="{F8BD9C1E-AC46-4377-BA1E-DAFE15BCA395}"/>
    <cellStyle name="20% - Accent2 4 5" xfId="1866" xr:uid="{00000000-0005-0000-0000-000027010000}"/>
    <cellStyle name="20% - Accent2 4 5 2" xfId="4095" xr:uid="{00000000-0005-0000-0000-000028010000}"/>
    <cellStyle name="20% - Accent2 4 5 2 2" xfId="8317" xr:uid="{00000000-0005-0000-0000-000029010000}"/>
    <cellStyle name="20% - Accent2 4 5 2 2 2" xfId="16767" xr:uid="{934E0F84-51F3-424B-912B-24B77FC8C77E}"/>
    <cellStyle name="20% - Accent2 4 5 2 3" xfId="12549" xr:uid="{21755C99-1341-4F5D-B88F-048A7C3DED65}"/>
    <cellStyle name="20% - Accent2 4 5 3" xfId="6172" xr:uid="{00000000-0005-0000-0000-00002A010000}"/>
    <cellStyle name="20% - Accent2 4 5 3 2" xfId="14622" xr:uid="{F6C49C45-AE83-4589-BDC4-28F86FD1B5F8}"/>
    <cellStyle name="20% - Accent2 4 5 4" xfId="10404" xr:uid="{7C185364-6737-4678-8349-9058D4D11D4F}"/>
    <cellStyle name="20% - Accent2 4 6" xfId="2279" xr:uid="{00000000-0005-0000-0000-00002B010000}"/>
    <cellStyle name="20% - Accent2 4 6 2" xfId="6585" xr:uid="{00000000-0005-0000-0000-00002C010000}"/>
    <cellStyle name="20% - Accent2 4 6 2 2" xfId="15035" xr:uid="{17F24079-EFA4-41D1-A15E-8834AEACE5A9}"/>
    <cellStyle name="20% - Accent2 4 6 3" xfId="10817" xr:uid="{13833460-8F51-4A76-8FA3-D4AD6291748D}"/>
    <cellStyle name="20% - Accent2 4 7" xfId="4519" xr:uid="{00000000-0005-0000-0000-00002D010000}"/>
    <cellStyle name="20% - Accent2 4 7 2" xfId="12969" xr:uid="{ED7C6C89-9006-444B-8BE5-C398B4BFBEA3}"/>
    <cellStyle name="20% - Accent2 4 8" xfId="8751" xr:uid="{EF849A2A-BBBB-455A-8589-A53CAE5531EC}"/>
    <cellStyle name="20% - Accent2 5" xfId="578" xr:uid="{00000000-0005-0000-0000-00002E010000}"/>
    <cellStyle name="20% - Accent2 5 2" xfId="2849" xr:uid="{00000000-0005-0000-0000-00002F010000}"/>
    <cellStyle name="20% - Accent2 5 2 2" xfId="7071" xr:uid="{00000000-0005-0000-0000-000030010000}"/>
    <cellStyle name="20% - Accent2 5 2 2 2" xfId="15521" xr:uid="{B03F8D8E-A814-43CC-AFE0-7695B4BD02D2}"/>
    <cellStyle name="20% - Accent2 5 2 3" xfId="11303" xr:uid="{29DD346C-5C93-4BD2-A133-3921F511C13E}"/>
    <cellStyle name="20% - Accent2 5 3" xfId="4926" xr:uid="{00000000-0005-0000-0000-000031010000}"/>
    <cellStyle name="20% - Accent2 5 3 2" xfId="13376" xr:uid="{7CA3F5EE-C265-46E0-86A3-5A6698B950C9}"/>
    <cellStyle name="20% - Accent2 5 4" xfId="9158" xr:uid="{3A7B95DA-E383-4AE0-B8DD-D57A416B7852}"/>
    <cellStyle name="20% - Accent2 6" xfId="1031" xr:uid="{00000000-0005-0000-0000-000032010000}"/>
    <cellStyle name="20% - Accent2 6 2" xfId="3262" xr:uid="{00000000-0005-0000-0000-000033010000}"/>
    <cellStyle name="20% - Accent2 6 2 2" xfId="7484" xr:uid="{00000000-0005-0000-0000-000034010000}"/>
    <cellStyle name="20% - Accent2 6 2 2 2" xfId="15934" xr:uid="{16458AAC-96C7-4574-BD11-F701B1F658A0}"/>
    <cellStyle name="20% - Accent2 6 2 3" xfId="11716" xr:uid="{68B31702-5E89-45D9-85B0-E0F785013F70}"/>
    <cellStyle name="20% - Accent2 6 3" xfId="5339" xr:uid="{00000000-0005-0000-0000-000035010000}"/>
    <cellStyle name="20% - Accent2 6 3 2" xfId="13789" xr:uid="{336B2469-002F-4F77-B88F-858C46C8C804}"/>
    <cellStyle name="20% - Accent2 6 4" xfId="9571" xr:uid="{C4F40595-AB5E-40E3-891B-A4A4178EA940}"/>
    <cellStyle name="20% - Accent2 7" xfId="1445" xr:uid="{00000000-0005-0000-0000-000036010000}"/>
    <cellStyle name="20% - Accent2 7 2" xfId="3675" xr:uid="{00000000-0005-0000-0000-000037010000}"/>
    <cellStyle name="20% - Accent2 7 2 2" xfId="7897" xr:uid="{00000000-0005-0000-0000-000038010000}"/>
    <cellStyle name="20% - Accent2 7 2 2 2" xfId="16347" xr:uid="{5A36D550-26B2-4B85-9446-BF8239810014}"/>
    <cellStyle name="20% - Accent2 7 2 3" xfId="12129" xr:uid="{F67CF5A8-9348-4F94-97E4-67E9337EEBB7}"/>
    <cellStyle name="20% - Accent2 7 3" xfId="5752" xr:uid="{00000000-0005-0000-0000-000039010000}"/>
    <cellStyle name="20% - Accent2 7 3 2" xfId="14202" xr:uid="{FFB79F08-44C3-42B3-BCD7-81F345E5E15D}"/>
    <cellStyle name="20% - Accent2 7 4" xfId="9984" xr:uid="{8AF945DB-ED08-4FB9-AFFC-B8F77A93801E}"/>
    <cellStyle name="20% - Accent2 8" xfId="1859" xr:uid="{00000000-0005-0000-0000-00003A010000}"/>
    <cellStyle name="20% - Accent2 8 2" xfId="4088" xr:uid="{00000000-0005-0000-0000-00003B010000}"/>
    <cellStyle name="20% - Accent2 8 2 2" xfId="8310" xr:uid="{00000000-0005-0000-0000-00003C010000}"/>
    <cellStyle name="20% - Accent2 8 2 2 2" xfId="16760" xr:uid="{4A56EE9E-595E-4715-99F7-58AB45C29318}"/>
    <cellStyle name="20% - Accent2 8 2 3" xfId="12542" xr:uid="{BD865BFE-8592-4586-B61A-BFC6E794EEB5}"/>
    <cellStyle name="20% - Accent2 8 3" xfId="6165" xr:uid="{00000000-0005-0000-0000-00003D010000}"/>
    <cellStyle name="20% - Accent2 8 3 2" xfId="14615" xr:uid="{F578B1FC-D121-4CBD-9606-C4CE1714C53F}"/>
    <cellStyle name="20% - Accent2 8 4" xfId="10397" xr:uid="{DF9D17C3-C44D-4EB9-AB67-1342E72813F5}"/>
    <cellStyle name="20% - Accent2 9" xfId="2272" xr:uid="{00000000-0005-0000-0000-00003E010000}"/>
    <cellStyle name="20% - Accent2 9 2" xfId="6578" xr:uid="{00000000-0005-0000-0000-00003F010000}"/>
    <cellStyle name="20% - Accent2 9 2 2" xfId="15028" xr:uid="{D84D4F90-0DA5-4283-A716-052ABFC17E33}"/>
    <cellStyle name="20% - Accent2 9 3" xfId="10810" xr:uid="{1E045A1C-3CF4-4086-BC0D-4D9145EFC38B}"/>
    <cellStyle name="20% - Accent3" xfId="17" builtinId="38" customBuiltin="1"/>
    <cellStyle name="20% - Accent3 10" xfId="4520" xr:uid="{00000000-0005-0000-0000-000041010000}"/>
    <cellStyle name="20% - Accent3 10 2" xfId="12970" xr:uid="{2FF7ECB7-E657-48A7-B07C-647EE92F200B}"/>
    <cellStyle name="20% - Accent3 11" xfId="8752" xr:uid="{92E95639-B23D-4EF6-85A2-D37250932FAE}"/>
    <cellStyle name="20% - Accent3 2" xfId="18" xr:uid="{00000000-0005-0000-0000-000042010000}"/>
    <cellStyle name="20% - Accent3 2 10" xfId="8753" xr:uid="{54BBDB2C-8450-4A9E-8A37-9444BF286185}"/>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2 2 2" xfId="15532" xr:uid="{7707F239-70CD-42D7-86AD-12CA14837FBC}"/>
    <cellStyle name="20% - Accent3 2 2 2 2 2 3" xfId="11314" xr:uid="{9EF61DD4-86C5-41CA-A4AE-6B8F36DD045E}"/>
    <cellStyle name="20% - Accent3 2 2 2 2 3" xfId="4937" xr:uid="{00000000-0005-0000-0000-000048010000}"/>
    <cellStyle name="20% - Accent3 2 2 2 2 3 2" xfId="13387" xr:uid="{5C2DB1F1-44EA-4696-B070-F82C90235477}"/>
    <cellStyle name="20% - Accent3 2 2 2 2 4" xfId="9169" xr:uid="{0EE5F09D-3A7B-4541-B93F-73C0FAA78B93}"/>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2 2 2" xfId="15945" xr:uid="{AE4F5988-B0CB-45FA-9792-BC951346661A}"/>
    <cellStyle name="20% - Accent3 2 2 2 3 2 3" xfId="11727" xr:uid="{4D927495-3AC8-430A-BF73-A21EBDCDB35E}"/>
    <cellStyle name="20% - Accent3 2 2 2 3 3" xfId="5350" xr:uid="{00000000-0005-0000-0000-00004C010000}"/>
    <cellStyle name="20% - Accent3 2 2 2 3 3 2" xfId="13800" xr:uid="{8A5F1853-6DE1-4E7E-9E7C-7F479A0DF8F3}"/>
    <cellStyle name="20% - Accent3 2 2 2 3 4" xfId="9582" xr:uid="{E1436FCE-1263-4A15-946A-80AFDE3102E3}"/>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2 2 2" xfId="16358" xr:uid="{82262DDA-4DE6-4CBC-9A9D-5FEEFB60688D}"/>
    <cellStyle name="20% - Accent3 2 2 2 4 2 3" xfId="12140" xr:uid="{E0CC31E7-4796-4BBA-943F-3B91DA16099E}"/>
    <cellStyle name="20% - Accent3 2 2 2 4 3" xfId="5763" xr:uid="{00000000-0005-0000-0000-000050010000}"/>
    <cellStyle name="20% - Accent3 2 2 2 4 3 2" xfId="14213" xr:uid="{AC851BAC-FD2C-4875-894B-0C081CA47690}"/>
    <cellStyle name="20% - Accent3 2 2 2 4 4" xfId="9995" xr:uid="{6B6A2C8D-3F2B-4F69-A1F5-0689DFADB8E2}"/>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2 2 2" xfId="16771" xr:uid="{2C99F1CB-FF80-45F5-9337-25B1209D98D3}"/>
    <cellStyle name="20% - Accent3 2 2 2 5 2 3" xfId="12553" xr:uid="{CCC2E015-32CE-44AE-AABE-DDA618B47997}"/>
    <cellStyle name="20% - Accent3 2 2 2 5 3" xfId="6176" xr:uid="{00000000-0005-0000-0000-000054010000}"/>
    <cellStyle name="20% - Accent3 2 2 2 5 3 2" xfId="14626" xr:uid="{94F3E916-5DF8-4084-980F-81779E0B0838}"/>
    <cellStyle name="20% - Accent3 2 2 2 5 4" xfId="10408" xr:uid="{6D79FC7D-A87C-4E32-A92D-399D1ED37545}"/>
    <cellStyle name="20% - Accent3 2 2 2 6" xfId="2283" xr:uid="{00000000-0005-0000-0000-000055010000}"/>
    <cellStyle name="20% - Accent3 2 2 2 6 2" xfId="6589" xr:uid="{00000000-0005-0000-0000-000056010000}"/>
    <cellStyle name="20% - Accent3 2 2 2 6 2 2" xfId="15039" xr:uid="{E33862F3-69AB-46B8-90DD-05249C71FADD}"/>
    <cellStyle name="20% - Accent3 2 2 2 6 3" xfId="10821" xr:uid="{289B8861-94DC-41C1-9A2D-7DC11939CF7B}"/>
    <cellStyle name="20% - Accent3 2 2 2 7" xfId="4523" xr:uid="{00000000-0005-0000-0000-000057010000}"/>
    <cellStyle name="20% - Accent3 2 2 2 7 2" xfId="12973" xr:uid="{6C39027D-4172-4DA8-85E2-D0322AFFD165}"/>
    <cellStyle name="20% - Accent3 2 2 2 8" xfId="8755" xr:uid="{CC0122BF-E340-4F1A-8033-B62DF64C8712}"/>
    <cellStyle name="20% - Accent3 2 2 3" xfId="588" xr:uid="{00000000-0005-0000-0000-000058010000}"/>
    <cellStyle name="20% - Accent3 2 2 3 2" xfId="2859" xr:uid="{00000000-0005-0000-0000-000059010000}"/>
    <cellStyle name="20% - Accent3 2 2 3 2 2" xfId="7081" xr:uid="{00000000-0005-0000-0000-00005A010000}"/>
    <cellStyle name="20% - Accent3 2 2 3 2 2 2" xfId="15531" xr:uid="{E64B61E3-C1DF-4F14-94AA-3E8058984E2F}"/>
    <cellStyle name="20% - Accent3 2 2 3 2 3" xfId="11313" xr:uid="{C019020B-07CC-403A-A94C-87B47D1DF7E5}"/>
    <cellStyle name="20% - Accent3 2 2 3 3" xfId="4936" xr:uid="{00000000-0005-0000-0000-00005B010000}"/>
    <cellStyle name="20% - Accent3 2 2 3 3 2" xfId="13386" xr:uid="{BC10DFA3-5025-41DB-9B10-D73232511CCC}"/>
    <cellStyle name="20% - Accent3 2 2 3 4" xfId="9168" xr:uid="{63D49816-9633-422F-9098-7E046CAF4431}"/>
    <cellStyle name="20% - Accent3 2 2 4" xfId="1041" xr:uid="{00000000-0005-0000-0000-00005C010000}"/>
    <cellStyle name="20% - Accent3 2 2 4 2" xfId="3272" xr:uid="{00000000-0005-0000-0000-00005D010000}"/>
    <cellStyle name="20% - Accent3 2 2 4 2 2" xfId="7494" xr:uid="{00000000-0005-0000-0000-00005E010000}"/>
    <cellStyle name="20% - Accent3 2 2 4 2 2 2" xfId="15944" xr:uid="{AF34DBE6-6984-4002-BD05-DCBED89719C3}"/>
    <cellStyle name="20% - Accent3 2 2 4 2 3" xfId="11726" xr:uid="{22A46D6D-1D26-45E1-866E-9AB358FF4FA1}"/>
    <cellStyle name="20% - Accent3 2 2 4 3" xfId="5349" xr:uid="{00000000-0005-0000-0000-00005F010000}"/>
    <cellStyle name="20% - Accent3 2 2 4 3 2" xfId="13799" xr:uid="{09830B57-39DD-49B6-AD25-57A09998658F}"/>
    <cellStyle name="20% - Accent3 2 2 4 4" xfId="9581" xr:uid="{90415239-1B2B-4EB3-AFCF-C07B1AC18942}"/>
    <cellStyle name="20% - Accent3 2 2 5" xfId="1455" xr:uid="{00000000-0005-0000-0000-000060010000}"/>
    <cellStyle name="20% - Accent3 2 2 5 2" xfId="3685" xr:uid="{00000000-0005-0000-0000-000061010000}"/>
    <cellStyle name="20% - Accent3 2 2 5 2 2" xfId="7907" xr:uid="{00000000-0005-0000-0000-000062010000}"/>
    <cellStyle name="20% - Accent3 2 2 5 2 2 2" xfId="16357" xr:uid="{0B31292F-39FF-4E7D-8759-8A38B103CF35}"/>
    <cellStyle name="20% - Accent3 2 2 5 2 3" xfId="12139" xr:uid="{22C25A78-0953-4AAE-A982-4311B524F813}"/>
    <cellStyle name="20% - Accent3 2 2 5 3" xfId="5762" xr:uid="{00000000-0005-0000-0000-000063010000}"/>
    <cellStyle name="20% - Accent3 2 2 5 3 2" xfId="14212" xr:uid="{81133D8B-CEFE-43DB-8F22-930FA6E218E7}"/>
    <cellStyle name="20% - Accent3 2 2 5 4" xfId="9994" xr:uid="{885BDA5F-09ED-4E2A-B858-45504B8164D7}"/>
    <cellStyle name="20% - Accent3 2 2 6" xfId="1869" xr:uid="{00000000-0005-0000-0000-000064010000}"/>
    <cellStyle name="20% - Accent3 2 2 6 2" xfId="4098" xr:uid="{00000000-0005-0000-0000-000065010000}"/>
    <cellStyle name="20% - Accent3 2 2 6 2 2" xfId="8320" xr:uid="{00000000-0005-0000-0000-000066010000}"/>
    <cellStyle name="20% - Accent3 2 2 6 2 2 2" xfId="16770" xr:uid="{9D92A57A-734D-401C-8C5C-03ADCAED92DE}"/>
    <cellStyle name="20% - Accent3 2 2 6 2 3" xfId="12552" xr:uid="{67AAA0EF-3F16-4FBB-B031-1826C4BCA261}"/>
    <cellStyle name="20% - Accent3 2 2 6 3" xfId="6175" xr:uid="{00000000-0005-0000-0000-000067010000}"/>
    <cellStyle name="20% - Accent3 2 2 6 3 2" xfId="14625" xr:uid="{B9EE5A9B-2374-459C-9223-439C415EC99A}"/>
    <cellStyle name="20% - Accent3 2 2 6 4" xfId="10407" xr:uid="{419B7402-F2CC-4531-BABE-69C9DF91940E}"/>
    <cellStyle name="20% - Accent3 2 2 7" xfId="2282" xr:uid="{00000000-0005-0000-0000-000068010000}"/>
    <cellStyle name="20% - Accent3 2 2 7 2" xfId="6588" xr:uid="{00000000-0005-0000-0000-000069010000}"/>
    <cellStyle name="20% - Accent3 2 2 7 2 2" xfId="15038" xr:uid="{A0E6E50D-DA87-45C1-9254-1740D6B5D9FF}"/>
    <cellStyle name="20% - Accent3 2 2 7 3" xfId="10820" xr:uid="{E2685161-BAF3-4645-82B6-6699E86613DF}"/>
    <cellStyle name="20% - Accent3 2 2 8" xfId="4522" xr:uid="{00000000-0005-0000-0000-00006A010000}"/>
    <cellStyle name="20% - Accent3 2 2 8 2" xfId="12972" xr:uid="{A48EF06E-B59B-4692-A34D-6311F24959D2}"/>
    <cellStyle name="20% - Accent3 2 2 9" xfId="8754" xr:uid="{D7769145-9EDF-423C-96CF-FBDE8EEDE9CF}"/>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2 2 2" xfId="15533" xr:uid="{2C439FAD-1CCA-473A-BF21-FC50C09AE8E5}"/>
    <cellStyle name="20% - Accent3 2 3 2 2 3" xfId="11315" xr:uid="{7FF97139-BF9B-416E-8FFC-38DAF057865A}"/>
    <cellStyle name="20% - Accent3 2 3 2 3" xfId="4938" xr:uid="{00000000-0005-0000-0000-00006F010000}"/>
    <cellStyle name="20% - Accent3 2 3 2 3 2" xfId="13388" xr:uid="{FA900B5E-42C6-4D13-AF2C-EA3A09B76545}"/>
    <cellStyle name="20% - Accent3 2 3 2 4" xfId="9170" xr:uid="{A332AB0B-C990-4214-A03E-0A33D322C350}"/>
    <cellStyle name="20% - Accent3 2 3 3" xfId="1043" xr:uid="{00000000-0005-0000-0000-000070010000}"/>
    <cellStyle name="20% - Accent3 2 3 3 2" xfId="3274" xr:uid="{00000000-0005-0000-0000-000071010000}"/>
    <cellStyle name="20% - Accent3 2 3 3 2 2" xfId="7496" xr:uid="{00000000-0005-0000-0000-000072010000}"/>
    <cellStyle name="20% - Accent3 2 3 3 2 2 2" xfId="15946" xr:uid="{FFC1A167-109A-4E0B-8A42-7320F21D7E42}"/>
    <cellStyle name="20% - Accent3 2 3 3 2 3" xfId="11728" xr:uid="{26464CFC-07F7-43C1-9084-FA7030DC6805}"/>
    <cellStyle name="20% - Accent3 2 3 3 3" xfId="5351" xr:uid="{00000000-0005-0000-0000-000073010000}"/>
    <cellStyle name="20% - Accent3 2 3 3 3 2" xfId="13801" xr:uid="{40735211-EFA7-4108-96EE-5BBEEA272161}"/>
    <cellStyle name="20% - Accent3 2 3 3 4" xfId="9583" xr:uid="{B4189AAB-01E3-442C-B6A2-71FF636A2688}"/>
    <cellStyle name="20% - Accent3 2 3 4" xfId="1457" xr:uid="{00000000-0005-0000-0000-000074010000}"/>
    <cellStyle name="20% - Accent3 2 3 4 2" xfId="3687" xr:uid="{00000000-0005-0000-0000-000075010000}"/>
    <cellStyle name="20% - Accent3 2 3 4 2 2" xfId="7909" xr:uid="{00000000-0005-0000-0000-000076010000}"/>
    <cellStyle name="20% - Accent3 2 3 4 2 2 2" xfId="16359" xr:uid="{D17CC983-4DA3-4CA2-972A-1374821D764D}"/>
    <cellStyle name="20% - Accent3 2 3 4 2 3" xfId="12141" xr:uid="{5EBD5A9F-CA94-4302-9880-CC70B747EC79}"/>
    <cellStyle name="20% - Accent3 2 3 4 3" xfId="5764" xr:uid="{00000000-0005-0000-0000-000077010000}"/>
    <cellStyle name="20% - Accent3 2 3 4 3 2" xfId="14214" xr:uid="{C3D7C511-925C-4BC9-B9B5-E7BF81DF6AA1}"/>
    <cellStyle name="20% - Accent3 2 3 4 4" xfId="9996" xr:uid="{F32642A0-E1A9-489B-92D3-A7C193347F4B}"/>
    <cellStyle name="20% - Accent3 2 3 5" xfId="1871" xr:uid="{00000000-0005-0000-0000-000078010000}"/>
    <cellStyle name="20% - Accent3 2 3 5 2" xfId="4100" xr:uid="{00000000-0005-0000-0000-000079010000}"/>
    <cellStyle name="20% - Accent3 2 3 5 2 2" xfId="8322" xr:uid="{00000000-0005-0000-0000-00007A010000}"/>
    <cellStyle name="20% - Accent3 2 3 5 2 2 2" xfId="16772" xr:uid="{70C7C1D6-2FEF-46CD-B56C-B2035CD574D7}"/>
    <cellStyle name="20% - Accent3 2 3 5 2 3" xfId="12554" xr:uid="{7571F697-801F-4E45-9A84-5860A863CC02}"/>
    <cellStyle name="20% - Accent3 2 3 5 3" xfId="6177" xr:uid="{00000000-0005-0000-0000-00007B010000}"/>
    <cellStyle name="20% - Accent3 2 3 5 3 2" xfId="14627" xr:uid="{124A00F0-F309-4EE3-BE2C-D18A116C5D5E}"/>
    <cellStyle name="20% - Accent3 2 3 5 4" xfId="10409" xr:uid="{9EF02479-1561-4693-9EED-ECF62FA9786D}"/>
    <cellStyle name="20% - Accent3 2 3 6" xfId="2284" xr:uid="{00000000-0005-0000-0000-00007C010000}"/>
    <cellStyle name="20% - Accent3 2 3 6 2" xfId="6590" xr:uid="{00000000-0005-0000-0000-00007D010000}"/>
    <cellStyle name="20% - Accent3 2 3 6 2 2" xfId="15040" xr:uid="{48E92EB6-1EB4-4FD3-A0DC-ABEB1F316D9B}"/>
    <cellStyle name="20% - Accent3 2 3 6 3" xfId="10822" xr:uid="{EFA97EC2-636B-40F7-93E4-C1F240A2627F}"/>
    <cellStyle name="20% - Accent3 2 3 7" xfId="4524" xr:uid="{00000000-0005-0000-0000-00007E010000}"/>
    <cellStyle name="20% - Accent3 2 3 7 2" xfId="12974" xr:uid="{A72623CA-B351-4284-9100-F3452D63B8F4}"/>
    <cellStyle name="20% - Accent3 2 3 8" xfId="8756" xr:uid="{C18658D6-6569-44A9-9574-796B19EC3E83}"/>
    <cellStyle name="20% - Accent3 2 4" xfId="587" xr:uid="{00000000-0005-0000-0000-00007F010000}"/>
    <cellStyle name="20% - Accent3 2 4 2" xfId="2858" xr:uid="{00000000-0005-0000-0000-000080010000}"/>
    <cellStyle name="20% - Accent3 2 4 2 2" xfId="7080" xr:uid="{00000000-0005-0000-0000-000081010000}"/>
    <cellStyle name="20% - Accent3 2 4 2 2 2" xfId="15530" xr:uid="{F9580F9D-592A-4751-B4B5-CCE6973BC2B5}"/>
    <cellStyle name="20% - Accent3 2 4 2 3" xfId="11312" xr:uid="{1E119D37-F2A9-4487-874C-8A5EBE14DEA4}"/>
    <cellStyle name="20% - Accent3 2 4 3" xfId="4935" xr:uid="{00000000-0005-0000-0000-000082010000}"/>
    <cellStyle name="20% - Accent3 2 4 3 2" xfId="13385" xr:uid="{55DCA499-7A3F-47E6-BC12-AA893572BE7B}"/>
    <cellStyle name="20% - Accent3 2 4 4" xfId="9167" xr:uid="{350E03AE-9AD1-448E-81B2-28BA7C379856}"/>
    <cellStyle name="20% - Accent3 2 5" xfId="1040" xr:uid="{00000000-0005-0000-0000-000083010000}"/>
    <cellStyle name="20% - Accent3 2 5 2" xfId="3271" xr:uid="{00000000-0005-0000-0000-000084010000}"/>
    <cellStyle name="20% - Accent3 2 5 2 2" xfId="7493" xr:uid="{00000000-0005-0000-0000-000085010000}"/>
    <cellStyle name="20% - Accent3 2 5 2 2 2" xfId="15943" xr:uid="{090FB2F2-E49E-455F-BBEC-55609B1BB9B8}"/>
    <cellStyle name="20% - Accent3 2 5 2 3" xfId="11725" xr:uid="{02593D9F-E727-4C86-AF52-1943A4B703E1}"/>
    <cellStyle name="20% - Accent3 2 5 3" xfId="5348" xr:uid="{00000000-0005-0000-0000-000086010000}"/>
    <cellStyle name="20% - Accent3 2 5 3 2" xfId="13798" xr:uid="{7DD27935-4CC0-4B6F-8B78-0E996DFCA4AB}"/>
    <cellStyle name="20% - Accent3 2 5 4" xfId="9580" xr:uid="{6FF545AA-FFBD-445B-BC80-38AE05C7E60E}"/>
    <cellStyle name="20% - Accent3 2 6" xfId="1454" xr:uid="{00000000-0005-0000-0000-000087010000}"/>
    <cellStyle name="20% - Accent3 2 6 2" xfId="3684" xr:uid="{00000000-0005-0000-0000-000088010000}"/>
    <cellStyle name="20% - Accent3 2 6 2 2" xfId="7906" xr:uid="{00000000-0005-0000-0000-000089010000}"/>
    <cellStyle name="20% - Accent3 2 6 2 2 2" xfId="16356" xr:uid="{862AA7EF-40F3-497F-B5BE-43796BF97FD0}"/>
    <cellStyle name="20% - Accent3 2 6 2 3" xfId="12138" xr:uid="{7219A33E-4ACE-4398-8FFD-1E948DD54198}"/>
    <cellStyle name="20% - Accent3 2 6 3" xfId="5761" xr:uid="{00000000-0005-0000-0000-00008A010000}"/>
    <cellStyle name="20% - Accent3 2 6 3 2" xfId="14211" xr:uid="{70B6D8B6-2596-4FE8-864C-F26C57D61DD7}"/>
    <cellStyle name="20% - Accent3 2 6 4" xfId="9993" xr:uid="{60ECC7E1-9F86-41FA-9CE5-96AB65CD63BA}"/>
    <cellStyle name="20% - Accent3 2 7" xfId="1868" xr:uid="{00000000-0005-0000-0000-00008B010000}"/>
    <cellStyle name="20% - Accent3 2 7 2" xfId="4097" xr:uid="{00000000-0005-0000-0000-00008C010000}"/>
    <cellStyle name="20% - Accent3 2 7 2 2" xfId="8319" xr:uid="{00000000-0005-0000-0000-00008D010000}"/>
    <cellStyle name="20% - Accent3 2 7 2 2 2" xfId="16769" xr:uid="{A9784B51-1429-4068-A761-D45194345509}"/>
    <cellStyle name="20% - Accent3 2 7 2 3" xfId="12551" xr:uid="{AAA1A8C3-A701-45F7-A4D5-896AE200DDBE}"/>
    <cellStyle name="20% - Accent3 2 7 3" xfId="6174" xr:uid="{00000000-0005-0000-0000-00008E010000}"/>
    <cellStyle name="20% - Accent3 2 7 3 2" xfId="14624" xr:uid="{2B953990-32F8-4597-A6F1-B00EB2C060AB}"/>
    <cellStyle name="20% - Accent3 2 7 4" xfId="10406" xr:uid="{124459DC-31DE-47DB-8B41-21F76CDA337F}"/>
    <cellStyle name="20% - Accent3 2 8" xfId="2281" xr:uid="{00000000-0005-0000-0000-00008F010000}"/>
    <cellStyle name="20% - Accent3 2 8 2" xfId="6587" xr:uid="{00000000-0005-0000-0000-000090010000}"/>
    <cellStyle name="20% - Accent3 2 8 2 2" xfId="15037" xr:uid="{935C50D1-C99F-4F7B-9825-574DD0EB254B}"/>
    <cellStyle name="20% - Accent3 2 8 3" xfId="10819" xr:uid="{4C6668BF-67C5-4ADD-A6EF-C9C5816590B0}"/>
    <cellStyle name="20% - Accent3 2 9" xfId="4521" xr:uid="{00000000-0005-0000-0000-000091010000}"/>
    <cellStyle name="20% - Accent3 2 9 2" xfId="12971" xr:uid="{53BC4DA2-39AB-495B-B51E-9863836B01C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2 2 2" xfId="15535" xr:uid="{224135EF-01CF-41CB-AD2E-37A1D058A271}"/>
    <cellStyle name="20% - Accent3 3 2 2 2 3" xfId="11317" xr:uid="{D9054F64-30FC-4A2E-8CB5-3C4A7970CF15}"/>
    <cellStyle name="20% - Accent3 3 2 2 3" xfId="4940" xr:uid="{00000000-0005-0000-0000-000097010000}"/>
    <cellStyle name="20% - Accent3 3 2 2 3 2" xfId="13390" xr:uid="{CF911B24-8E2D-423D-82E5-6D71408288A0}"/>
    <cellStyle name="20% - Accent3 3 2 2 4" xfId="9172" xr:uid="{6AEB6A3E-5BDE-4FFB-874E-AD022DE855B6}"/>
    <cellStyle name="20% - Accent3 3 2 3" xfId="1045" xr:uid="{00000000-0005-0000-0000-000098010000}"/>
    <cellStyle name="20% - Accent3 3 2 3 2" xfId="3276" xr:uid="{00000000-0005-0000-0000-000099010000}"/>
    <cellStyle name="20% - Accent3 3 2 3 2 2" xfId="7498" xr:uid="{00000000-0005-0000-0000-00009A010000}"/>
    <cellStyle name="20% - Accent3 3 2 3 2 2 2" xfId="15948" xr:uid="{A4187DF3-585A-48AC-AAA3-9D380747FE0D}"/>
    <cellStyle name="20% - Accent3 3 2 3 2 3" xfId="11730" xr:uid="{8FC4C50D-B25B-4AA3-85F2-71448159E268}"/>
    <cellStyle name="20% - Accent3 3 2 3 3" xfId="5353" xr:uid="{00000000-0005-0000-0000-00009B010000}"/>
    <cellStyle name="20% - Accent3 3 2 3 3 2" xfId="13803" xr:uid="{70D4AABC-4683-4405-9611-64DC9CECAAFA}"/>
    <cellStyle name="20% - Accent3 3 2 3 4" xfId="9585" xr:uid="{CD44307B-9759-47B0-AC39-C426B98C4F75}"/>
    <cellStyle name="20% - Accent3 3 2 4" xfId="1459" xr:uid="{00000000-0005-0000-0000-00009C010000}"/>
    <cellStyle name="20% - Accent3 3 2 4 2" xfId="3689" xr:uid="{00000000-0005-0000-0000-00009D010000}"/>
    <cellStyle name="20% - Accent3 3 2 4 2 2" xfId="7911" xr:uid="{00000000-0005-0000-0000-00009E010000}"/>
    <cellStyle name="20% - Accent3 3 2 4 2 2 2" xfId="16361" xr:uid="{DACB08DD-C242-4C77-BE12-1CF03B1F84F7}"/>
    <cellStyle name="20% - Accent3 3 2 4 2 3" xfId="12143" xr:uid="{0011FEB9-B8CC-4483-8FE6-A6AD3444266A}"/>
    <cellStyle name="20% - Accent3 3 2 4 3" xfId="5766" xr:uid="{00000000-0005-0000-0000-00009F010000}"/>
    <cellStyle name="20% - Accent3 3 2 4 3 2" xfId="14216" xr:uid="{D9C6ACFB-A850-464B-A3B4-6E8E98ECDC23}"/>
    <cellStyle name="20% - Accent3 3 2 4 4" xfId="9998" xr:uid="{B3D9C8AD-D399-4C25-8A0D-7E1409EFFCD3}"/>
    <cellStyle name="20% - Accent3 3 2 5" xfId="1873" xr:uid="{00000000-0005-0000-0000-0000A0010000}"/>
    <cellStyle name="20% - Accent3 3 2 5 2" xfId="4102" xr:uid="{00000000-0005-0000-0000-0000A1010000}"/>
    <cellStyle name="20% - Accent3 3 2 5 2 2" xfId="8324" xr:uid="{00000000-0005-0000-0000-0000A2010000}"/>
    <cellStyle name="20% - Accent3 3 2 5 2 2 2" xfId="16774" xr:uid="{356E41DC-DA77-4639-AD29-F21D087389DA}"/>
    <cellStyle name="20% - Accent3 3 2 5 2 3" xfId="12556" xr:uid="{0EAE29F5-C426-4844-98F0-0DB4BD03E849}"/>
    <cellStyle name="20% - Accent3 3 2 5 3" xfId="6179" xr:uid="{00000000-0005-0000-0000-0000A3010000}"/>
    <cellStyle name="20% - Accent3 3 2 5 3 2" xfId="14629" xr:uid="{3E99149A-32FC-4A55-8E18-391B8832F706}"/>
    <cellStyle name="20% - Accent3 3 2 5 4" xfId="10411" xr:uid="{CFB127E8-08CF-40CB-AEAB-98B595F23CB6}"/>
    <cellStyle name="20% - Accent3 3 2 6" xfId="2286" xr:uid="{00000000-0005-0000-0000-0000A4010000}"/>
    <cellStyle name="20% - Accent3 3 2 6 2" xfId="6592" xr:uid="{00000000-0005-0000-0000-0000A5010000}"/>
    <cellStyle name="20% - Accent3 3 2 6 2 2" xfId="15042" xr:uid="{227B59DB-32DA-4F3C-9DB0-8DD46605FCE5}"/>
    <cellStyle name="20% - Accent3 3 2 6 3" xfId="10824" xr:uid="{7DA3FA48-BA36-4608-A8AE-7B94551D14EB}"/>
    <cellStyle name="20% - Accent3 3 2 7" xfId="4526" xr:uid="{00000000-0005-0000-0000-0000A6010000}"/>
    <cellStyle name="20% - Accent3 3 2 7 2" xfId="12976" xr:uid="{1E5CD1C1-D890-4D9A-BEEE-5DDA691F7E4A}"/>
    <cellStyle name="20% - Accent3 3 2 8" xfId="8758" xr:uid="{5C32016F-D45E-43E7-9E9F-0F31A19A3597}"/>
    <cellStyle name="20% - Accent3 3 3" xfId="591" xr:uid="{00000000-0005-0000-0000-0000A7010000}"/>
    <cellStyle name="20% - Accent3 3 3 2" xfId="2862" xr:uid="{00000000-0005-0000-0000-0000A8010000}"/>
    <cellStyle name="20% - Accent3 3 3 2 2" xfId="7084" xr:uid="{00000000-0005-0000-0000-0000A9010000}"/>
    <cellStyle name="20% - Accent3 3 3 2 2 2" xfId="15534" xr:uid="{DDA15CA8-FA46-40E3-A96B-209D62B36ACC}"/>
    <cellStyle name="20% - Accent3 3 3 2 3" xfId="11316" xr:uid="{1DAC84D4-7317-402A-884D-54577B9841AA}"/>
    <cellStyle name="20% - Accent3 3 3 3" xfId="4939" xr:uid="{00000000-0005-0000-0000-0000AA010000}"/>
    <cellStyle name="20% - Accent3 3 3 3 2" xfId="13389" xr:uid="{F6167A9A-EA1F-4ED5-A601-802C9B8A3973}"/>
    <cellStyle name="20% - Accent3 3 3 4" xfId="9171" xr:uid="{82393869-A852-4DC2-AC49-4F2BC739F243}"/>
    <cellStyle name="20% - Accent3 3 4" xfId="1044" xr:uid="{00000000-0005-0000-0000-0000AB010000}"/>
    <cellStyle name="20% - Accent3 3 4 2" xfId="3275" xr:uid="{00000000-0005-0000-0000-0000AC010000}"/>
    <cellStyle name="20% - Accent3 3 4 2 2" xfId="7497" xr:uid="{00000000-0005-0000-0000-0000AD010000}"/>
    <cellStyle name="20% - Accent3 3 4 2 2 2" xfId="15947" xr:uid="{5E1EDBA2-3776-42CB-BDF5-BD29C60733DB}"/>
    <cellStyle name="20% - Accent3 3 4 2 3" xfId="11729" xr:uid="{EBFC4065-D281-4454-B4F4-D484CD7A9143}"/>
    <cellStyle name="20% - Accent3 3 4 3" xfId="5352" xr:uid="{00000000-0005-0000-0000-0000AE010000}"/>
    <cellStyle name="20% - Accent3 3 4 3 2" xfId="13802" xr:uid="{4ED12E21-80DB-4031-8F56-1208B815C2BE}"/>
    <cellStyle name="20% - Accent3 3 4 4" xfId="9584" xr:uid="{FE5C9715-F28E-411E-B774-ADE35783CEFA}"/>
    <cellStyle name="20% - Accent3 3 5" xfId="1458" xr:uid="{00000000-0005-0000-0000-0000AF010000}"/>
    <cellStyle name="20% - Accent3 3 5 2" xfId="3688" xr:uid="{00000000-0005-0000-0000-0000B0010000}"/>
    <cellStyle name="20% - Accent3 3 5 2 2" xfId="7910" xr:uid="{00000000-0005-0000-0000-0000B1010000}"/>
    <cellStyle name="20% - Accent3 3 5 2 2 2" xfId="16360" xr:uid="{1763ABE2-0B3B-436A-9171-99C3245E93E1}"/>
    <cellStyle name="20% - Accent3 3 5 2 3" xfId="12142" xr:uid="{13ACB000-5B5F-4665-A5E4-B35FA6B3A408}"/>
    <cellStyle name="20% - Accent3 3 5 3" xfId="5765" xr:uid="{00000000-0005-0000-0000-0000B2010000}"/>
    <cellStyle name="20% - Accent3 3 5 3 2" xfId="14215" xr:uid="{037B880B-A4CB-4E75-A83A-B467CF700A63}"/>
    <cellStyle name="20% - Accent3 3 5 4" xfId="9997" xr:uid="{F7922BBD-7465-4010-8479-AF78CAFF2F90}"/>
    <cellStyle name="20% - Accent3 3 6" xfId="1872" xr:uid="{00000000-0005-0000-0000-0000B3010000}"/>
    <cellStyle name="20% - Accent3 3 6 2" xfId="4101" xr:uid="{00000000-0005-0000-0000-0000B4010000}"/>
    <cellStyle name="20% - Accent3 3 6 2 2" xfId="8323" xr:uid="{00000000-0005-0000-0000-0000B5010000}"/>
    <cellStyle name="20% - Accent3 3 6 2 2 2" xfId="16773" xr:uid="{580AAEE8-5D9F-4C53-8E1E-9E59EA46368F}"/>
    <cellStyle name="20% - Accent3 3 6 2 3" xfId="12555" xr:uid="{830571DA-4357-4932-8BED-7A4BF83FFE5E}"/>
    <cellStyle name="20% - Accent3 3 6 3" xfId="6178" xr:uid="{00000000-0005-0000-0000-0000B6010000}"/>
    <cellStyle name="20% - Accent3 3 6 3 2" xfId="14628" xr:uid="{3958FD43-3B85-4DFE-B6DA-CDD9C4F5EE6E}"/>
    <cellStyle name="20% - Accent3 3 6 4" xfId="10410" xr:uid="{A89F9E5B-D763-4B03-A14C-777F2DD9694F}"/>
    <cellStyle name="20% - Accent3 3 7" xfId="2285" xr:uid="{00000000-0005-0000-0000-0000B7010000}"/>
    <cellStyle name="20% - Accent3 3 7 2" xfId="6591" xr:uid="{00000000-0005-0000-0000-0000B8010000}"/>
    <cellStyle name="20% - Accent3 3 7 2 2" xfId="15041" xr:uid="{EF2D89DA-2772-4B28-BAE7-087F06825F9B}"/>
    <cellStyle name="20% - Accent3 3 7 3" xfId="10823" xr:uid="{2A0FC5AE-8929-4741-91AE-61358B393DCA}"/>
    <cellStyle name="20% - Accent3 3 8" xfId="4525" xr:uid="{00000000-0005-0000-0000-0000B9010000}"/>
    <cellStyle name="20% - Accent3 3 8 2" xfId="12975" xr:uid="{85103FCA-C2CB-4C2C-9BE8-063C0A6DACFF}"/>
    <cellStyle name="20% - Accent3 3 9" xfId="8757" xr:uid="{70AA6324-E748-4ACE-B97C-1212C1E39FC1}"/>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2 2 2" xfId="15536" xr:uid="{836E3BCC-AE7E-4A35-B2F5-AF74573450B9}"/>
    <cellStyle name="20% - Accent3 4 2 2 3" xfId="11318" xr:uid="{4022A422-DB29-4784-8942-D87A4E7A5993}"/>
    <cellStyle name="20% - Accent3 4 2 3" xfId="4941" xr:uid="{00000000-0005-0000-0000-0000BE010000}"/>
    <cellStyle name="20% - Accent3 4 2 3 2" xfId="13391" xr:uid="{8FD4167A-7313-4F37-8A22-FE65F792140B}"/>
    <cellStyle name="20% - Accent3 4 2 4" xfId="9173" xr:uid="{46174143-50AF-46AA-81B3-FDC061CE899F}"/>
    <cellStyle name="20% - Accent3 4 3" xfId="1046" xr:uid="{00000000-0005-0000-0000-0000BF010000}"/>
    <cellStyle name="20% - Accent3 4 3 2" xfId="3277" xr:uid="{00000000-0005-0000-0000-0000C0010000}"/>
    <cellStyle name="20% - Accent3 4 3 2 2" xfId="7499" xr:uid="{00000000-0005-0000-0000-0000C1010000}"/>
    <cellStyle name="20% - Accent3 4 3 2 2 2" xfId="15949" xr:uid="{8E508DB0-1DBD-4B67-84DF-7AB827C3EBCA}"/>
    <cellStyle name="20% - Accent3 4 3 2 3" xfId="11731" xr:uid="{8B71FC82-2F31-447C-8ADF-8441B8646614}"/>
    <cellStyle name="20% - Accent3 4 3 3" xfId="5354" xr:uid="{00000000-0005-0000-0000-0000C2010000}"/>
    <cellStyle name="20% - Accent3 4 3 3 2" xfId="13804" xr:uid="{5F7E2335-9E86-415E-A1BC-BB15548995B4}"/>
    <cellStyle name="20% - Accent3 4 3 4" xfId="9586" xr:uid="{0A5414A7-DDEE-4EF9-A34D-04E39FE6C5E2}"/>
    <cellStyle name="20% - Accent3 4 4" xfId="1460" xr:uid="{00000000-0005-0000-0000-0000C3010000}"/>
    <cellStyle name="20% - Accent3 4 4 2" xfId="3690" xr:uid="{00000000-0005-0000-0000-0000C4010000}"/>
    <cellStyle name="20% - Accent3 4 4 2 2" xfId="7912" xr:uid="{00000000-0005-0000-0000-0000C5010000}"/>
    <cellStyle name="20% - Accent3 4 4 2 2 2" xfId="16362" xr:uid="{9D34B917-CEE9-42A6-B9D3-A7ED9ACF30BC}"/>
    <cellStyle name="20% - Accent3 4 4 2 3" xfId="12144" xr:uid="{0B8802B1-601B-4D74-91D0-1BB4CB0E861B}"/>
    <cellStyle name="20% - Accent3 4 4 3" xfId="5767" xr:uid="{00000000-0005-0000-0000-0000C6010000}"/>
    <cellStyle name="20% - Accent3 4 4 3 2" xfId="14217" xr:uid="{06DC66E0-EA67-43DA-AE25-F62707EE5A24}"/>
    <cellStyle name="20% - Accent3 4 4 4" xfId="9999" xr:uid="{3B90A168-B833-472F-82B4-75D96085F994}"/>
    <cellStyle name="20% - Accent3 4 5" xfId="1874" xr:uid="{00000000-0005-0000-0000-0000C7010000}"/>
    <cellStyle name="20% - Accent3 4 5 2" xfId="4103" xr:uid="{00000000-0005-0000-0000-0000C8010000}"/>
    <cellStyle name="20% - Accent3 4 5 2 2" xfId="8325" xr:uid="{00000000-0005-0000-0000-0000C9010000}"/>
    <cellStyle name="20% - Accent3 4 5 2 2 2" xfId="16775" xr:uid="{47A99E85-D447-4E83-BCA7-89278E7C63FA}"/>
    <cellStyle name="20% - Accent3 4 5 2 3" xfId="12557" xr:uid="{AE399F0D-D968-424B-9919-90685CA58593}"/>
    <cellStyle name="20% - Accent3 4 5 3" xfId="6180" xr:uid="{00000000-0005-0000-0000-0000CA010000}"/>
    <cellStyle name="20% - Accent3 4 5 3 2" xfId="14630" xr:uid="{1EA82E61-34D6-4A66-9ACD-DE63B9238C4E}"/>
    <cellStyle name="20% - Accent3 4 5 4" xfId="10412" xr:uid="{C7D3853C-64AC-4F25-B0D1-D264590815A2}"/>
    <cellStyle name="20% - Accent3 4 6" xfId="2287" xr:uid="{00000000-0005-0000-0000-0000CB010000}"/>
    <cellStyle name="20% - Accent3 4 6 2" xfId="6593" xr:uid="{00000000-0005-0000-0000-0000CC010000}"/>
    <cellStyle name="20% - Accent3 4 6 2 2" xfId="15043" xr:uid="{CC283B83-7582-407D-8174-5D7EDA7ECDB1}"/>
    <cellStyle name="20% - Accent3 4 6 3" xfId="10825" xr:uid="{F9667062-8674-4034-AD78-F09F97436756}"/>
    <cellStyle name="20% - Accent3 4 7" xfId="4527" xr:uid="{00000000-0005-0000-0000-0000CD010000}"/>
    <cellStyle name="20% - Accent3 4 7 2" xfId="12977" xr:uid="{E07CDEB3-6C6C-4D84-96DD-45EC6F83ADB0}"/>
    <cellStyle name="20% - Accent3 4 8" xfId="8759" xr:uid="{0B6BF679-A018-4039-AFD0-5E11C38797F4}"/>
    <cellStyle name="20% - Accent3 5" xfId="586" xr:uid="{00000000-0005-0000-0000-0000CE010000}"/>
    <cellStyle name="20% - Accent3 5 2" xfId="2857" xr:uid="{00000000-0005-0000-0000-0000CF010000}"/>
    <cellStyle name="20% - Accent3 5 2 2" xfId="7079" xr:uid="{00000000-0005-0000-0000-0000D0010000}"/>
    <cellStyle name="20% - Accent3 5 2 2 2" xfId="15529" xr:uid="{E2ED120D-C65D-44B7-AA4B-88EB617360C3}"/>
    <cellStyle name="20% - Accent3 5 2 3" xfId="11311" xr:uid="{19FAB75A-524F-4D4A-B50E-2D6F5E95886D}"/>
    <cellStyle name="20% - Accent3 5 3" xfId="4934" xr:uid="{00000000-0005-0000-0000-0000D1010000}"/>
    <cellStyle name="20% - Accent3 5 3 2" xfId="13384" xr:uid="{A0370B4A-728D-4A03-8F61-6F815CED82C7}"/>
    <cellStyle name="20% - Accent3 5 4" xfId="9166" xr:uid="{742B00F7-7781-4E50-9132-E1FCC8168D59}"/>
    <cellStyle name="20% - Accent3 6" xfId="1039" xr:uid="{00000000-0005-0000-0000-0000D2010000}"/>
    <cellStyle name="20% - Accent3 6 2" xfId="3270" xr:uid="{00000000-0005-0000-0000-0000D3010000}"/>
    <cellStyle name="20% - Accent3 6 2 2" xfId="7492" xr:uid="{00000000-0005-0000-0000-0000D4010000}"/>
    <cellStyle name="20% - Accent3 6 2 2 2" xfId="15942" xr:uid="{CDFB955F-8AA2-4B02-B04E-B5497D41D40A}"/>
    <cellStyle name="20% - Accent3 6 2 3" xfId="11724" xr:uid="{22F21C63-ACFB-4F6F-B5C1-5D825B75FFCF}"/>
    <cellStyle name="20% - Accent3 6 3" xfId="5347" xr:uid="{00000000-0005-0000-0000-0000D5010000}"/>
    <cellStyle name="20% - Accent3 6 3 2" xfId="13797" xr:uid="{41519946-274B-41F2-BDF5-9263D225FFA4}"/>
    <cellStyle name="20% - Accent3 6 4" xfId="9579" xr:uid="{15410F5B-624D-4BF8-BF97-CF77990E24F3}"/>
    <cellStyle name="20% - Accent3 7" xfId="1453" xr:uid="{00000000-0005-0000-0000-0000D6010000}"/>
    <cellStyle name="20% - Accent3 7 2" xfId="3683" xr:uid="{00000000-0005-0000-0000-0000D7010000}"/>
    <cellStyle name="20% - Accent3 7 2 2" xfId="7905" xr:uid="{00000000-0005-0000-0000-0000D8010000}"/>
    <cellStyle name="20% - Accent3 7 2 2 2" xfId="16355" xr:uid="{501B1BC8-EC53-402B-9BC2-F666177557BD}"/>
    <cellStyle name="20% - Accent3 7 2 3" xfId="12137" xr:uid="{D236BB32-AFC7-43A8-9879-56D24C58BEFD}"/>
    <cellStyle name="20% - Accent3 7 3" xfId="5760" xr:uid="{00000000-0005-0000-0000-0000D9010000}"/>
    <cellStyle name="20% - Accent3 7 3 2" xfId="14210" xr:uid="{9BEEE168-ED4B-45C8-8AAC-272EA80AC4AC}"/>
    <cellStyle name="20% - Accent3 7 4" xfId="9992" xr:uid="{26D18C72-01F7-49A5-9CFE-CA4186222443}"/>
    <cellStyle name="20% - Accent3 8" xfId="1867" xr:uid="{00000000-0005-0000-0000-0000DA010000}"/>
    <cellStyle name="20% - Accent3 8 2" xfId="4096" xr:uid="{00000000-0005-0000-0000-0000DB010000}"/>
    <cellStyle name="20% - Accent3 8 2 2" xfId="8318" xr:uid="{00000000-0005-0000-0000-0000DC010000}"/>
    <cellStyle name="20% - Accent3 8 2 2 2" xfId="16768" xr:uid="{30B4A736-5B67-45A8-97E8-7CF3F2F2456D}"/>
    <cellStyle name="20% - Accent3 8 2 3" xfId="12550" xr:uid="{5128C7A7-BFB0-4D6E-915C-9A0040886A09}"/>
    <cellStyle name="20% - Accent3 8 3" xfId="6173" xr:uid="{00000000-0005-0000-0000-0000DD010000}"/>
    <cellStyle name="20% - Accent3 8 3 2" xfId="14623" xr:uid="{BF68F263-0CA8-41F5-94B0-4D226048CE15}"/>
    <cellStyle name="20% - Accent3 8 4" xfId="10405" xr:uid="{DBA2262B-CEB0-4064-8CFD-F205796E02D3}"/>
    <cellStyle name="20% - Accent3 9" xfId="2280" xr:uid="{00000000-0005-0000-0000-0000DE010000}"/>
    <cellStyle name="20% - Accent3 9 2" xfId="6586" xr:uid="{00000000-0005-0000-0000-0000DF010000}"/>
    <cellStyle name="20% - Accent3 9 2 2" xfId="15036" xr:uid="{F06F2B8C-CF17-4F60-BB3A-4E246B7F4927}"/>
    <cellStyle name="20% - Accent3 9 3" xfId="10818" xr:uid="{79A6E865-41A8-4A15-897C-A415821CBD0D}"/>
    <cellStyle name="20% - Accent4" xfId="25" builtinId="42" customBuiltin="1"/>
    <cellStyle name="20% - Accent4 10" xfId="4528" xr:uid="{00000000-0005-0000-0000-0000E1010000}"/>
    <cellStyle name="20% - Accent4 10 2" xfId="12978" xr:uid="{F22B45F9-4046-46D4-95AB-C20F2B98FC50}"/>
    <cellStyle name="20% - Accent4 11" xfId="8760" xr:uid="{C7406D04-7811-40CF-B700-7E4219649F6C}"/>
    <cellStyle name="20% - Accent4 2" xfId="26" xr:uid="{00000000-0005-0000-0000-0000E2010000}"/>
    <cellStyle name="20% - Accent4 2 10" xfId="8761" xr:uid="{64AF3514-AD7F-4864-BF8F-CE26449997D1}"/>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2 2 2" xfId="15540" xr:uid="{741D0C1A-EC74-407C-B123-89E5632D657D}"/>
    <cellStyle name="20% - Accent4 2 2 2 2 2 3" xfId="11322" xr:uid="{933A3DCF-201D-4EF4-A047-F80AEEB43B98}"/>
    <cellStyle name="20% - Accent4 2 2 2 2 3" xfId="4945" xr:uid="{00000000-0005-0000-0000-0000E8010000}"/>
    <cellStyle name="20% - Accent4 2 2 2 2 3 2" xfId="13395" xr:uid="{F5FBF124-C40F-41DF-A2EC-7EEE33B3391C}"/>
    <cellStyle name="20% - Accent4 2 2 2 2 4" xfId="9177" xr:uid="{CC766E48-FB65-441A-A4B2-A9CC6FE8F3CD}"/>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2 2 2" xfId="15953" xr:uid="{9088063C-6D37-499F-9EA3-8C2511AF3FBD}"/>
    <cellStyle name="20% - Accent4 2 2 2 3 2 3" xfId="11735" xr:uid="{362DBCCA-109E-4C66-A6EC-E8060552EBBD}"/>
    <cellStyle name="20% - Accent4 2 2 2 3 3" xfId="5358" xr:uid="{00000000-0005-0000-0000-0000EC010000}"/>
    <cellStyle name="20% - Accent4 2 2 2 3 3 2" xfId="13808" xr:uid="{DDA8E348-1BE7-4FC7-B1A3-E619782DAC0E}"/>
    <cellStyle name="20% - Accent4 2 2 2 3 4" xfId="9590" xr:uid="{62A30BF3-0FE9-44AB-9D71-DC7EF9EC9FD7}"/>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2 2 2" xfId="16366" xr:uid="{A4477FAF-4C94-4704-865B-89E650DC70D7}"/>
    <cellStyle name="20% - Accent4 2 2 2 4 2 3" xfId="12148" xr:uid="{1DA12AE5-A739-4CE9-B41D-A415A8778A6C}"/>
    <cellStyle name="20% - Accent4 2 2 2 4 3" xfId="5771" xr:uid="{00000000-0005-0000-0000-0000F0010000}"/>
    <cellStyle name="20% - Accent4 2 2 2 4 3 2" xfId="14221" xr:uid="{33EE60A6-4096-43C5-86B9-A85C110592A6}"/>
    <cellStyle name="20% - Accent4 2 2 2 4 4" xfId="10003" xr:uid="{2A998AAE-8EB0-42A4-86A9-C5E1B1E1C09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2 2 2" xfId="16779" xr:uid="{474EAC97-E28F-4956-92E5-C469F1DB6396}"/>
    <cellStyle name="20% - Accent4 2 2 2 5 2 3" xfId="12561" xr:uid="{CF211D28-1D8F-46A8-BAB3-3F272A25355F}"/>
    <cellStyle name="20% - Accent4 2 2 2 5 3" xfId="6184" xr:uid="{00000000-0005-0000-0000-0000F4010000}"/>
    <cellStyle name="20% - Accent4 2 2 2 5 3 2" xfId="14634" xr:uid="{D108976C-4E16-4197-9D3E-8700F0C11270}"/>
    <cellStyle name="20% - Accent4 2 2 2 5 4" xfId="10416" xr:uid="{A0CD20BC-AB9D-45DA-BD0F-C8C6BAE79E9F}"/>
    <cellStyle name="20% - Accent4 2 2 2 6" xfId="2291" xr:uid="{00000000-0005-0000-0000-0000F5010000}"/>
    <cellStyle name="20% - Accent4 2 2 2 6 2" xfId="6597" xr:uid="{00000000-0005-0000-0000-0000F6010000}"/>
    <cellStyle name="20% - Accent4 2 2 2 6 2 2" xfId="15047" xr:uid="{8872FC45-4ED3-40A3-AC61-2A8138F4CAF5}"/>
    <cellStyle name="20% - Accent4 2 2 2 6 3" xfId="10829" xr:uid="{E56BEB9F-AA59-45F6-989A-EF34203D3AD4}"/>
    <cellStyle name="20% - Accent4 2 2 2 7" xfId="4531" xr:uid="{00000000-0005-0000-0000-0000F7010000}"/>
    <cellStyle name="20% - Accent4 2 2 2 7 2" xfId="12981" xr:uid="{8378322C-F776-4E28-9598-F5B6A8305161}"/>
    <cellStyle name="20% - Accent4 2 2 2 8" xfId="8763" xr:uid="{ABED3438-C2DF-4246-BDAC-2B4B221032B2}"/>
    <cellStyle name="20% - Accent4 2 2 3" xfId="596" xr:uid="{00000000-0005-0000-0000-0000F8010000}"/>
    <cellStyle name="20% - Accent4 2 2 3 2" xfId="2867" xr:uid="{00000000-0005-0000-0000-0000F9010000}"/>
    <cellStyle name="20% - Accent4 2 2 3 2 2" xfId="7089" xr:uid="{00000000-0005-0000-0000-0000FA010000}"/>
    <cellStyle name="20% - Accent4 2 2 3 2 2 2" xfId="15539" xr:uid="{6C2FD9EA-7BE0-4264-AEAA-7E44E5601880}"/>
    <cellStyle name="20% - Accent4 2 2 3 2 3" xfId="11321" xr:uid="{835A8684-7033-48DB-87C7-DA34AC34F9C5}"/>
    <cellStyle name="20% - Accent4 2 2 3 3" xfId="4944" xr:uid="{00000000-0005-0000-0000-0000FB010000}"/>
    <cellStyle name="20% - Accent4 2 2 3 3 2" xfId="13394" xr:uid="{762C3A84-CB4E-4635-98A6-7B9F0B52230A}"/>
    <cellStyle name="20% - Accent4 2 2 3 4" xfId="9176" xr:uid="{94868760-4FB6-418A-AD78-E51278EF931F}"/>
    <cellStyle name="20% - Accent4 2 2 4" xfId="1049" xr:uid="{00000000-0005-0000-0000-0000FC010000}"/>
    <cellStyle name="20% - Accent4 2 2 4 2" xfId="3280" xr:uid="{00000000-0005-0000-0000-0000FD010000}"/>
    <cellStyle name="20% - Accent4 2 2 4 2 2" xfId="7502" xr:uid="{00000000-0005-0000-0000-0000FE010000}"/>
    <cellStyle name="20% - Accent4 2 2 4 2 2 2" xfId="15952" xr:uid="{81AA050A-37CF-4DA5-9A37-989BC847BFA9}"/>
    <cellStyle name="20% - Accent4 2 2 4 2 3" xfId="11734" xr:uid="{DC295BA7-5AC5-4720-86DF-C4FF44108033}"/>
    <cellStyle name="20% - Accent4 2 2 4 3" xfId="5357" xr:uid="{00000000-0005-0000-0000-0000FF010000}"/>
    <cellStyle name="20% - Accent4 2 2 4 3 2" xfId="13807" xr:uid="{4DBD88F2-0227-4D77-A872-927E2EFCC885}"/>
    <cellStyle name="20% - Accent4 2 2 4 4" xfId="9589" xr:uid="{BEECC1F7-5AD2-4FEB-9CB7-298690E7D9E0}"/>
    <cellStyle name="20% - Accent4 2 2 5" xfId="1463" xr:uid="{00000000-0005-0000-0000-000000020000}"/>
    <cellStyle name="20% - Accent4 2 2 5 2" xfId="3693" xr:uid="{00000000-0005-0000-0000-000001020000}"/>
    <cellStyle name="20% - Accent4 2 2 5 2 2" xfId="7915" xr:uid="{00000000-0005-0000-0000-000002020000}"/>
    <cellStyle name="20% - Accent4 2 2 5 2 2 2" xfId="16365" xr:uid="{8C36D493-3B0D-43B9-AAAD-230A0716CF43}"/>
    <cellStyle name="20% - Accent4 2 2 5 2 3" xfId="12147" xr:uid="{D899E300-19D8-4A31-B68E-EBB6804613E9}"/>
    <cellStyle name="20% - Accent4 2 2 5 3" xfId="5770" xr:uid="{00000000-0005-0000-0000-000003020000}"/>
    <cellStyle name="20% - Accent4 2 2 5 3 2" xfId="14220" xr:uid="{9FD54764-B7F5-46C9-AEC3-62DD302DAB14}"/>
    <cellStyle name="20% - Accent4 2 2 5 4" xfId="10002" xr:uid="{AD6461AE-6F32-44B7-8CB3-D8DF747935B2}"/>
    <cellStyle name="20% - Accent4 2 2 6" xfId="1877" xr:uid="{00000000-0005-0000-0000-000004020000}"/>
    <cellStyle name="20% - Accent4 2 2 6 2" xfId="4106" xr:uid="{00000000-0005-0000-0000-000005020000}"/>
    <cellStyle name="20% - Accent4 2 2 6 2 2" xfId="8328" xr:uid="{00000000-0005-0000-0000-000006020000}"/>
    <cellStyle name="20% - Accent4 2 2 6 2 2 2" xfId="16778" xr:uid="{600DB553-7570-45D1-BA0A-9E0FE72F9143}"/>
    <cellStyle name="20% - Accent4 2 2 6 2 3" xfId="12560" xr:uid="{6BB96CF0-43BA-434C-8D37-7AB4091041CF}"/>
    <cellStyle name="20% - Accent4 2 2 6 3" xfId="6183" xr:uid="{00000000-0005-0000-0000-000007020000}"/>
    <cellStyle name="20% - Accent4 2 2 6 3 2" xfId="14633" xr:uid="{D09018DA-49C7-4733-BC70-31E9E93471D1}"/>
    <cellStyle name="20% - Accent4 2 2 6 4" xfId="10415" xr:uid="{407B97FA-4A09-4E20-A922-1F3B1B88B3C7}"/>
    <cellStyle name="20% - Accent4 2 2 7" xfId="2290" xr:uid="{00000000-0005-0000-0000-000008020000}"/>
    <cellStyle name="20% - Accent4 2 2 7 2" xfId="6596" xr:uid="{00000000-0005-0000-0000-000009020000}"/>
    <cellStyle name="20% - Accent4 2 2 7 2 2" xfId="15046" xr:uid="{B1CAD5E0-202A-4A5E-BF26-EE8A48A244A5}"/>
    <cellStyle name="20% - Accent4 2 2 7 3" xfId="10828" xr:uid="{6447286D-B5C3-4ECC-B97A-D4C41C44E516}"/>
    <cellStyle name="20% - Accent4 2 2 8" xfId="4530" xr:uid="{00000000-0005-0000-0000-00000A020000}"/>
    <cellStyle name="20% - Accent4 2 2 8 2" xfId="12980" xr:uid="{F5D117F2-F28F-4CE3-B708-7159FC91311D}"/>
    <cellStyle name="20% - Accent4 2 2 9" xfId="8762" xr:uid="{C30AB98B-1384-45AF-A483-83CAD2F76A89}"/>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2 2 2" xfId="15541" xr:uid="{D34CA963-7051-4E19-9F77-9FC178A45480}"/>
    <cellStyle name="20% - Accent4 2 3 2 2 3" xfId="11323" xr:uid="{D2A8F319-28F2-405C-893D-53B0DBB7BF36}"/>
    <cellStyle name="20% - Accent4 2 3 2 3" xfId="4946" xr:uid="{00000000-0005-0000-0000-00000F020000}"/>
    <cellStyle name="20% - Accent4 2 3 2 3 2" xfId="13396" xr:uid="{FE4A9545-07CA-459E-A55E-69D5A39CCDE0}"/>
    <cellStyle name="20% - Accent4 2 3 2 4" xfId="9178" xr:uid="{88B995F1-68FE-4540-9C12-4CD83ADB4654}"/>
    <cellStyle name="20% - Accent4 2 3 3" xfId="1051" xr:uid="{00000000-0005-0000-0000-000010020000}"/>
    <cellStyle name="20% - Accent4 2 3 3 2" xfId="3282" xr:uid="{00000000-0005-0000-0000-000011020000}"/>
    <cellStyle name="20% - Accent4 2 3 3 2 2" xfId="7504" xr:uid="{00000000-0005-0000-0000-000012020000}"/>
    <cellStyle name="20% - Accent4 2 3 3 2 2 2" xfId="15954" xr:uid="{0DF98F8C-B6D6-438C-873E-7B4DC19323B7}"/>
    <cellStyle name="20% - Accent4 2 3 3 2 3" xfId="11736" xr:uid="{A6815325-19C0-4DC9-8F78-3E305B7B2982}"/>
    <cellStyle name="20% - Accent4 2 3 3 3" xfId="5359" xr:uid="{00000000-0005-0000-0000-000013020000}"/>
    <cellStyle name="20% - Accent4 2 3 3 3 2" xfId="13809" xr:uid="{E105DDD3-CAF2-4954-8DF2-576774FEC45E}"/>
    <cellStyle name="20% - Accent4 2 3 3 4" xfId="9591" xr:uid="{846BF58F-024A-4284-960C-1AB6E3C61C9A}"/>
    <cellStyle name="20% - Accent4 2 3 4" xfId="1465" xr:uid="{00000000-0005-0000-0000-000014020000}"/>
    <cellStyle name="20% - Accent4 2 3 4 2" xfId="3695" xr:uid="{00000000-0005-0000-0000-000015020000}"/>
    <cellStyle name="20% - Accent4 2 3 4 2 2" xfId="7917" xr:uid="{00000000-0005-0000-0000-000016020000}"/>
    <cellStyle name="20% - Accent4 2 3 4 2 2 2" xfId="16367" xr:uid="{5D095809-5FC6-4C05-AB09-D71CB9F85D40}"/>
    <cellStyle name="20% - Accent4 2 3 4 2 3" xfId="12149" xr:uid="{A4A73D76-B3D6-4FD3-B300-A49573D4B6FB}"/>
    <cellStyle name="20% - Accent4 2 3 4 3" xfId="5772" xr:uid="{00000000-0005-0000-0000-000017020000}"/>
    <cellStyle name="20% - Accent4 2 3 4 3 2" xfId="14222" xr:uid="{832FC69B-3026-4B32-9FF0-5B3A2FC14D27}"/>
    <cellStyle name="20% - Accent4 2 3 4 4" xfId="10004" xr:uid="{A5A0EA13-499F-41F5-B503-C9FA48B0678A}"/>
    <cellStyle name="20% - Accent4 2 3 5" xfId="1879" xr:uid="{00000000-0005-0000-0000-000018020000}"/>
    <cellStyle name="20% - Accent4 2 3 5 2" xfId="4108" xr:uid="{00000000-0005-0000-0000-000019020000}"/>
    <cellStyle name="20% - Accent4 2 3 5 2 2" xfId="8330" xr:uid="{00000000-0005-0000-0000-00001A020000}"/>
    <cellStyle name="20% - Accent4 2 3 5 2 2 2" xfId="16780" xr:uid="{A21C7F1B-6322-45DE-A833-8A1F524E9A65}"/>
    <cellStyle name="20% - Accent4 2 3 5 2 3" xfId="12562" xr:uid="{1AFC63D7-82BE-44CE-B1C8-0908C2A5BFEA}"/>
    <cellStyle name="20% - Accent4 2 3 5 3" xfId="6185" xr:uid="{00000000-0005-0000-0000-00001B020000}"/>
    <cellStyle name="20% - Accent4 2 3 5 3 2" xfId="14635" xr:uid="{5FA5D6C9-DAE8-4931-8E01-72DD2392DDDF}"/>
    <cellStyle name="20% - Accent4 2 3 5 4" xfId="10417" xr:uid="{7B0B5062-6FCE-4C45-85DD-BABEDD0B2ECA}"/>
    <cellStyle name="20% - Accent4 2 3 6" xfId="2292" xr:uid="{00000000-0005-0000-0000-00001C020000}"/>
    <cellStyle name="20% - Accent4 2 3 6 2" xfId="6598" xr:uid="{00000000-0005-0000-0000-00001D020000}"/>
    <cellStyle name="20% - Accent4 2 3 6 2 2" xfId="15048" xr:uid="{02201EAF-EB41-4077-BADA-0DEB089A1DF2}"/>
    <cellStyle name="20% - Accent4 2 3 6 3" xfId="10830" xr:uid="{D7CFE4DE-35DC-4603-9341-FFFF0840CE8A}"/>
    <cellStyle name="20% - Accent4 2 3 7" xfId="4532" xr:uid="{00000000-0005-0000-0000-00001E020000}"/>
    <cellStyle name="20% - Accent4 2 3 7 2" xfId="12982" xr:uid="{E4A7F3BC-A91D-4145-B086-2C5321054899}"/>
    <cellStyle name="20% - Accent4 2 3 8" xfId="8764" xr:uid="{ECAA6DBB-4234-4C1D-9E96-77E5069695C4}"/>
    <cellStyle name="20% - Accent4 2 4" xfId="595" xr:uid="{00000000-0005-0000-0000-00001F020000}"/>
    <cellStyle name="20% - Accent4 2 4 2" xfId="2866" xr:uid="{00000000-0005-0000-0000-000020020000}"/>
    <cellStyle name="20% - Accent4 2 4 2 2" xfId="7088" xr:uid="{00000000-0005-0000-0000-000021020000}"/>
    <cellStyle name="20% - Accent4 2 4 2 2 2" xfId="15538" xr:uid="{4E8244FD-E476-408D-B98B-6167BF5415F0}"/>
    <cellStyle name="20% - Accent4 2 4 2 3" xfId="11320" xr:uid="{C8E41DAA-C28B-40F5-B571-12E957D2A817}"/>
    <cellStyle name="20% - Accent4 2 4 3" xfId="4943" xr:uid="{00000000-0005-0000-0000-000022020000}"/>
    <cellStyle name="20% - Accent4 2 4 3 2" xfId="13393" xr:uid="{97016D3C-F24E-48CD-87DB-81EBC16E0056}"/>
    <cellStyle name="20% - Accent4 2 4 4" xfId="9175" xr:uid="{B725A092-4EEB-463E-9929-3C5CCD61F7C5}"/>
    <cellStyle name="20% - Accent4 2 5" xfId="1048" xr:uid="{00000000-0005-0000-0000-000023020000}"/>
    <cellStyle name="20% - Accent4 2 5 2" xfId="3279" xr:uid="{00000000-0005-0000-0000-000024020000}"/>
    <cellStyle name="20% - Accent4 2 5 2 2" xfId="7501" xr:uid="{00000000-0005-0000-0000-000025020000}"/>
    <cellStyle name="20% - Accent4 2 5 2 2 2" xfId="15951" xr:uid="{2BD029C0-36AB-4867-BA54-E111A103B862}"/>
    <cellStyle name="20% - Accent4 2 5 2 3" xfId="11733" xr:uid="{48F6CBE8-B199-4ACE-A275-9EF93D5A85B4}"/>
    <cellStyle name="20% - Accent4 2 5 3" xfId="5356" xr:uid="{00000000-0005-0000-0000-000026020000}"/>
    <cellStyle name="20% - Accent4 2 5 3 2" xfId="13806" xr:uid="{72328682-CFF5-485C-B7CC-329BFF17BF4D}"/>
    <cellStyle name="20% - Accent4 2 5 4" xfId="9588" xr:uid="{E32C1F6C-62CB-4C63-A996-32C628430F4C}"/>
    <cellStyle name="20% - Accent4 2 6" xfId="1462" xr:uid="{00000000-0005-0000-0000-000027020000}"/>
    <cellStyle name="20% - Accent4 2 6 2" xfId="3692" xr:uid="{00000000-0005-0000-0000-000028020000}"/>
    <cellStyle name="20% - Accent4 2 6 2 2" xfId="7914" xr:uid="{00000000-0005-0000-0000-000029020000}"/>
    <cellStyle name="20% - Accent4 2 6 2 2 2" xfId="16364" xr:uid="{6911835E-FF52-40C4-8CBA-1100CF51D8B0}"/>
    <cellStyle name="20% - Accent4 2 6 2 3" xfId="12146" xr:uid="{296C3713-17F5-4998-B656-BFB7E175A0F0}"/>
    <cellStyle name="20% - Accent4 2 6 3" xfId="5769" xr:uid="{00000000-0005-0000-0000-00002A020000}"/>
    <cellStyle name="20% - Accent4 2 6 3 2" xfId="14219" xr:uid="{C9424737-36EE-468D-9583-04732857EC3D}"/>
    <cellStyle name="20% - Accent4 2 6 4" xfId="10001" xr:uid="{C38D1DB9-67E9-43D6-AB47-BCC2AE2EC780}"/>
    <cellStyle name="20% - Accent4 2 7" xfId="1876" xr:uid="{00000000-0005-0000-0000-00002B020000}"/>
    <cellStyle name="20% - Accent4 2 7 2" xfId="4105" xr:uid="{00000000-0005-0000-0000-00002C020000}"/>
    <cellStyle name="20% - Accent4 2 7 2 2" xfId="8327" xr:uid="{00000000-0005-0000-0000-00002D020000}"/>
    <cellStyle name="20% - Accent4 2 7 2 2 2" xfId="16777" xr:uid="{5E2EC871-97BA-4552-B55A-6F52675FD664}"/>
    <cellStyle name="20% - Accent4 2 7 2 3" xfId="12559" xr:uid="{A5507F62-8011-47D4-8E6D-535370C58BD2}"/>
    <cellStyle name="20% - Accent4 2 7 3" xfId="6182" xr:uid="{00000000-0005-0000-0000-00002E020000}"/>
    <cellStyle name="20% - Accent4 2 7 3 2" xfId="14632" xr:uid="{6259D229-6E51-4EC9-B487-1C66F920BC87}"/>
    <cellStyle name="20% - Accent4 2 7 4" xfId="10414" xr:uid="{A0813E8E-84F5-4BA9-9883-9745A1583A23}"/>
    <cellStyle name="20% - Accent4 2 8" xfId="2289" xr:uid="{00000000-0005-0000-0000-00002F020000}"/>
    <cellStyle name="20% - Accent4 2 8 2" xfId="6595" xr:uid="{00000000-0005-0000-0000-000030020000}"/>
    <cellStyle name="20% - Accent4 2 8 2 2" xfId="15045" xr:uid="{4D319086-8A8D-4B2A-8C14-8032982EDF19}"/>
    <cellStyle name="20% - Accent4 2 8 3" xfId="10827" xr:uid="{AB9FC5B2-9EF4-4513-B4D2-B0542A806FCF}"/>
    <cellStyle name="20% - Accent4 2 9" xfId="4529" xr:uid="{00000000-0005-0000-0000-000031020000}"/>
    <cellStyle name="20% - Accent4 2 9 2" xfId="12979" xr:uid="{A54F3728-8AE1-45A9-B6B8-4C7373531B6A}"/>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2 2 2" xfId="15543" xr:uid="{717A33EC-B50D-4AE5-B65A-DDF28BEE4418}"/>
    <cellStyle name="20% - Accent4 3 2 2 2 3" xfId="11325" xr:uid="{744D7384-4091-4150-B728-3DD6F499FD04}"/>
    <cellStyle name="20% - Accent4 3 2 2 3" xfId="4948" xr:uid="{00000000-0005-0000-0000-000037020000}"/>
    <cellStyle name="20% - Accent4 3 2 2 3 2" xfId="13398" xr:uid="{AB3A676B-2ECE-406D-9F37-C5C10745E94C}"/>
    <cellStyle name="20% - Accent4 3 2 2 4" xfId="9180" xr:uid="{7B113627-3A48-4495-91AA-6775EEE9135C}"/>
    <cellStyle name="20% - Accent4 3 2 3" xfId="1053" xr:uid="{00000000-0005-0000-0000-000038020000}"/>
    <cellStyle name="20% - Accent4 3 2 3 2" xfId="3284" xr:uid="{00000000-0005-0000-0000-000039020000}"/>
    <cellStyle name="20% - Accent4 3 2 3 2 2" xfId="7506" xr:uid="{00000000-0005-0000-0000-00003A020000}"/>
    <cellStyle name="20% - Accent4 3 2 3 2 2 2" xfId="15956" xr:uid="{09217329-4CD6-4D83-8A06-5150D5FC52EB}"/>
    <cellStyle name="20% - Accent4 3 2 3 2 3" xfId="11738" xr:uid="{EBF603A6-355B-40C5-929D-83B05A56E8C8}"/>
    <cellStyle name="20% - Accent4 3 2 3 3" xfId="5361" xr:uid="{00000000-0005-0000-0000-00003B020000}"/>
    <cellStyle name="20% - Accent4 3 2 3 3 2" xfId="13811" xr:uid="{C5AFEEA7-37B2-490A-A095-30F8EB8382B7}"/>
    <cellStyle name="20% - Accent4 3 2 3 4" xfId="9593" xr:uid="{06658EE7-1A2B-4F7C-88D3-C3F3D1DA5B77}"/>
    <cellStyle name="20% - Accent4 3 2 4" xfId="1467" xr:uid="{00000000-0005-0000-0000-00003C020000}"/>
    <cellStyle name="20% - Accent4 3 2 4 2" xfId="3697" xr:uid="{00000000-0005-0000-0000-00003D020000}"/>
    <cellStyle name="20% - Accent4 3 2 4 2 2" xfId="7919" xr:uid="{00000000-0005-0000-0000-00003E020000}"/>
    <cellStyle name="20% - Accent4 3 2 4 2 2 2" xfId="16369" xr:uid="{FEDA9AD0-5C4B-4765-A098-C93D47225EBB}"/>
    <cellStyle name="20% - Accent4 3 2 4 2 3" xfId="12151" xr:uid="{D0840879-46E7-4F13-A970-25CF6F132B08}"/>
    <cellStyle name="20% - Accent4 3 2 4 3" xfId="5774" xr:uid="{00000000-0005-0000-0000-00003F020000}"/>
    <cellStyle name="20% - Accent4 3 2 4 3 2" xfId="14224" xr:uid="{C450D127-DE38-4676-ABF4-F0D0BD7C09F1}"/>
    <cellStyle name="20% - Accent4 3 2 4 4" xfId="10006" xr:uid="{E1429839-976B-4AD1-BF7F-5E9A263A1CA9}"/>
    <cellStyle name="20% - Accent4 3 2 5" xfId="1881" xr:uid="{00000000-0005-0000-0000-000040020000}"/>
    <cellStyle name="20% - Accent4 3 2 5 2" xfId="4110" xr:uid="{00000000-0005-0000-0000-000041020000}"/>
    <cellStyle name="20% - Accent4 3 2 5 2 2" xfId="8332" xr:uid="{00000000-0005-0000-0000-000042020000}"/>
    <cellStyle name="20% - Accent4 3 2 5 2 2 2" xfId="16782" xr:uid="{2700FAFF-D770-4349-895D-C7EF050FA13E}"/>
    <cellStyle name="20% - Accent4 3 2 5 2 3" xfId="12564" xr:uid="{3DDD50FC-3EB4-4410-9FF4-E6FAC9017A60}"/>
    <cellStyle name="20% - Accent4 3 2 5 3" xfId="6187" xr:uid="{00000000-0005-0000-0000-000043020000}"/>
    <cellStyle name="20% - Accent4 3 2 5 3 2" xfId="14637" xr:uid="{EF1D0761-DB86-4CF6-99DD-755ED77DD72B}"/>
    <cellStyle name="20% - Accent4 3 2 5 4" xfId="10419" xr:uid="{301E217A-84C4-4DC3-9D9E-9FCAC15536BB}"/>
    <cellStyle name="20% - Accent4 3 2 6" xfId="2294" xr:uid="{00000000-0005-0000-0000-000044020000}"/>
    <cellStyle name="20% - Accent4 3 2 6 2" xfId="6600" xr:uid="{00000000-0005-0000-0000-000045020000}"/>
    <cellStyle name="20% - Accent4 3 2 6 2 2" xfId="15050" xr:uid="{0DE0FC88-9FC3-4F3C-9F65-BAECE52077C3}"/>
    <cellStyle name="20% - Accent4 3 2 6 3" xfId="10832" xr:uid="{BCE4D491-72DA-4C98-9C2F-E42DDF87F090}"/>
    <cellStyle name="20% - Accent4 3 2 7" xfId="4534" xr:uid="{00000000-0005-0000-0000-000046020000}"/>
    <cellStyle name="20% - Accent4 3 2 7 2" xfId="12984" xr:uid="{B35634FE-389E-42E3-9075-9474916B117D}"/>
    <cellStyle name="20% - Accent4 3 2 8" xfId="8766" xr:uid="{8E64B95F-A855-424C-B204-7F8EB27D9602}"/>
    <cellStyle name="20% - Accent4 3 3" xfId="599" xr:uid="{00000000-0005-0000-0000-000047020000}"/>
    <cellStyle name="20% - Accent4 3 3 2" xfId="2870" xr:uid="{00000000-0005-0000-0000-000048020000}"/>
    <cellStyle name="20% - Accent4 3 3 2 2" xfId="7092" xr:uid="{00000000-0005-0000-0000-000049020000}"/>
    <cellStyle name="20% - Accent4 3 3 2 2 2" xfId="15542" xr:uid="{EB943454-1B58-49C6-B90F-656111E886AA}"/>
    <cellStyle name="20% - Accent4 3 3 2 3" xfId="11324" xr:uid="{057ACD1A-5560-429B-B84B-5375944554EB}"/>
    <cellStyle name="20% - Accent4 3 3 3" xfId="4947" xr:uid="{00000000-0005-0000-0000-00004A020000}"/>
    <cellStyle name="20% - Accent4 3 3 3 2" xfId="13397" xr:uid="{7B796AC4-F2FC-42AC-B1DB-A05733DB1043}"/>
    <cellStyle name="20% - Accent4 3 3 4" xfId="9179" xr:uid="{72204DDF-48E5-4244-8BBB-5CA4F20B91E1}"/>
    <cellStyle name="20% - Accent4 3 4" xfId="1052" xr:uid="{00000000-0005-0000-0000-00004B020000}"/>
    <cellStyle name="20% - Accent4 3 4 2" xfId="3283" xr:uid="{00000000-0005-0000-0000-00004C020000}"/>
    <cellStyle name="20% - Accent4 3 4 2 2" xfId="7505" xr:uid="{00000000-0005-0000-0000-00004D020000}"/>
    <cellStyle name="20% - Accent4 3 4 2 2 2" xfId="15955" xr:uid="{C8B14736-0A30-4E25-8F70-14848C5D1EE2}"/>
    <cellStyle name="20% - Accent4 3 4 2 3" xfId="11737" xr:uid="{41CDE48C-135A-44F9-8A53-9B221BF188D9}"/>
    <cellStyle name="20% - Accent4 3 4 3" xfId="5360" xr:uid="{00000000-0005-0000-0000-00004E020000}"/>
    <cellStyle name="20% - Accent4 3 4 3 2" xfId="13810" xr:uid="{6639B07B-7BA6-41A2-B44D-F6FEB30DFDB9}"/>
    <cellStyle name="20% - Accent4 3 4 4" xfId="9592" xr:uid="{BAE0A0A3-02A5-4493-B0A4-1A6EE472EC88}"/>
    <cellStyle name="20% - Accent4 3 5" xfId="1466" xr:uid="{00000000-0005-0000-0000-00004F020000}"/>
    <cellStyle name="20% - Accent4 3 5 2" xfId="3696" xr:uid="{00000000-0005-0000-0000-000050020000}"/>
    <cellStyle name="20% - Accent4 3 5 2 2" xfId="7918" xr:uid="{00000000-0005-0000-0000-000051020000}"/>
    <cellStyle name="20% - Accent4 3 5 2 2 2" xfId="16368" xr:uid="{3D66E0C6-87AC-4C67-A791-BBC73AC8062C}"/>
    <cellStyle name="20% - Accent4 3 5 2 3" xfId="12150" xr:uid="{6C7BF3FC-AEFE-40A5-8AA0-F17C984D207B}"/>
    <cellStyle name="20% - Accent4 3 5 3" xfId="5773" xr:uid="{00000000-0005-0000-0000-000052020000}"/>
    <cellStyle name="20% - Accent4 3 5 3 2" xfId="14223" xr:uid="{01B9F568-03C2-45B5-9A59-64BB624B0729}"/>
    <cellStyle name="20% - Accent4 3 5 4" xfId="10005" xr:uid="{A1B86692-B001-4297-9EFD-02666A6BFFBF}"/>
    <cellStyle name="20% - Accent4 3 6" xfId="1880" xr:uid="{00000000-0005-0000-0000-000053020000}"/>
    <cellStyle name="20% - Accent4 3 6 2" xfId="4109" xr:uid="{00000000-0005-0000-0000-000054020000}"/>
    <cellStyle name="20% - Accent4 3 6 2 2" xfId="8331" xr:uid="{00000000-0005-0000-0000-000055020000}"/>
    <cellStyle name="20% - Accent4 3 6 2 2 2" xfId="16781" xr:uid="{C91A177B-9847-42E2-9596-8924DA659A46}"/>
    <cellStyle name="20% - Accent4 3 6 2 3" xfId="12563" xr:uid="{C356F646-2434-405A-AE16-395FC862CC16}"/>
    <cellStyle name="20% - Accent4 3 6 3" xfId="6186" xr:uid="{00000000-0005-0000-0000-000056020000}"/>
    <cellStyle name="20% - Accent4 3 6 3 2" xfId="14636" xr:uid="{60957184-DE1B-4522-9872-2B91FAF88A65}"/>
    <cellStyle name="20% - Accent4 3 6 4" xfId="10418" xr:uid="{5814E639-B318-4DB9-9BE9-3BD6810A1DA9}"/>
    <cellStyle name="20% - Accent4 3 7" xfId="2293" xr:uid="{00000000-0005-0000-0000-000057020000}"/>
    <cellStyle name="20% - Accent4 3 7 2" xfId="6599" xr:uid="{00000000-0005-0000-0000-000058020000}"/>
    <cellStyle name="20% - Accent4 3 7 2 2" xfId="15049" xr:uid="{4571CFE5-A58D-4181-9F80-DA900A3E24BB}"/>
    <cellStyle name="20% - Accent4 3 7 3" xfId="10831" xr:uid="{F27C1CDA-85D4-4796-87D7-58E0086FA9E1}"/>
    <cellStyle name="20% - Accent4 3 8" xfId="4533" xr:uid="{00000000-0005-0000-0000-000059020000}"/>
    <cellStyle name="20% - Accent4 3 8 2" xfId="12983" xr:uid="{103B36CD-19CD-44A0-BCF5-90B97346BC1F}"/>
    <cellStyle name="20% - Accent4 3 9" xfId="8765" xr:uid="{52DD7825-75FE-418A-A1BB-76541ABFADA2}"/>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2 2 2" xfId="15544" xr:uid="{6CF9E09C-13E4-4B90-8346-E2DAFDFB6B21}"/>
    <cellStyle name="20% - Accent4 4 2 2 3" xfId="11326" xr:uid="{FBF3E868-1D4A-4C3C-B245-256993BA2FA7}"/>
    <cellStyle name="20% - Accent4 4 2 3" xfId="4949" xr:uid="{00000000-0005-0000-0000-00005E020000}"/>
    <cellStyle name="20% - Accent4 4 2 3 2" xfId="13399" xr:uid="{BE9FA7DD-3F5E-47FE-8942-9EB694E56974}"/>
    <cellStyle name="20% - Accent4 4 2 4" xfId="9181" xr:uid="{12C01EAC-61F8-4325-9382-3E9A36AC8C79}"/>
    <cellStyle name="20% - Accent4 4 3" xfId="1054" xr:uid="{00000000-0005-0000-0000-00005F020000}"/>
    <cellStyle name="20% - Accent4 4 3 2" xfId="3285" xr:uid="{00000000-0005-0000-0000-000060020000}"/>
    <cellStyle name="20% - Accent4 4 3 2 2" xfId="7507" xr:uid="{00000000-0005-0000-0000-000061020000}"/>
    <cellStyle name="20% - Accent4 4 3 2 2 2" xfId="15957" xr:uid="{AF5231D9-6695-4EAB-8224-7FFD72DBAADC}"/>
    <cellStyle name="20% - Accent4 4 3 2 3" xfId="11739" xr:uid="{7DE92B3F-ACA9-4919-A6F0-A1A8CAB97DC4}"/>
    <cellStyle name="20% - Accent4 4 3 3" xfId="5362" xr:uid="{00000000-0005-0000-0000-000062020000}"/>
    <cellStyle name="20% - Accent4 4 3 3 2" xfId="13812" xr:uid="{22BEF776-5F3D-4F07-8F63-1D807293E484}"/>
    <cellStyle name="20% - Accent4 4 3 4" xfId="9594" xr:uid="{AAE0A9DD-DA4C-4282-8135-C87D4F80766D}"/>
    <cellStyle name="20% - Accent4 4 4" xfId="1468" xr:uid="{00000000-0005-0000-0000-000063020000}"/>
    <cellStyle name="20% - Accent4 4 4 2" xfId="3698" xr:uid="{00000000-0005-0000-0000-000064020000}"/>
    <cellStyle name="20% - Accent4 4 4 2 2" xfId="7920" xr:uid="{00000000-0005-0000-0000-000065020000}"/>
    <cellStyle name="20% - Accent4 4 4 2 2 2" xfId="16370" xr:uid="{7065B1BC-05A6-49E2-BA87-AF05B9609C35}"/>
    <cellStyle name="20% - Accent4 4 4 2 3" xfId="12152" xr:uid="{2B9A103E-0506-42C6-B604-83A49412C71F}"/>
    <cellStyle name="20% - Accent4 4 4 3" xfId="5775" xr:uid="{00000000-0005-0000-0000-000066020000}"/>
    <cellStyle name="20% - Accent4 4 4 3 2" xfId="14225" xr:uid="{B3418335-B2F6-4E2B-BB71-DFBD807776EC}"/>
    <cellStyle name="20% - Accent4 4 4 4" xfId="10007" xr:uid="{5F22D89B-C7BB-4453-8CDF-1369E2A7A154}"/>
    <cellStyle name="20% - Accent4 4 5" xfId="1882" xr:uid="{00000000-0005-0000-0000-000067020000}"/>
    <cellStyle name="20% - Accent4 4 5 2" xfId="4111" xr:uid="{00000000-0005-0000-0000-000068020000}"/>
    <cellStyle name="20% - Accent4 4 5 2 2" xfId="8333" xr:uid="{00000000-0005-0000-0000-000069020000}"/>
    <cellStyle name="20% - Accent4 4 5 2 2 2" xfId="16783" xr:uid="{E480E5B7-4198-492F-BE82-3AC11A903044}"/>
    <cellStyle name="20% - Accent4 4 5 2 3" xfId="12565" xr:uid="{E1E4E6BE-8E26-42EB-A079-B9AA100945B4}"/>
    <cellStyle name="20% - Accent4 4 5 3" xfId="6188" xr:uid="{00000000-0005-0000-0000-00006A020000}"/>
    <cellStyle name="20% - Accent4 4 5 3 2" xfId="14638" xr:uid="{1482A008-59F0-4B44-82CE-4B939CB809FA}"/>
    <cellStyle name="20% - Accent4 4 5 4" xfId="10420" xr:uid="{C1A672F1-23C4-4E0A-BF97-11CD37FE29B5}"/>
    <cellStyle name="20% - Accent4 4 6" xfId="2295" xr:uid="{00000000-0005-0000-0000-00006B020000}"/>
    <cellStyle name="20% - Accent4 4 6 2" xfId="6601" xr:uid="{00000000-0005-0000-0000-00006C020000}"/>
    <cellStyle name="20% - Accent4 4 6 2 2" xfId="15051" xr:uid="{EA0041DC-4C4C-4185-BD91-755DA5949B7D}"/>
    <cellStyle name="20% - Accent4 4 6 3" xfId="10833" xr:uid="{F5567735-DB22-4768-A258-F57F82749B21}"/>
    <cellStyle name="20% - Accent4 4 7" xfId="4535" xr:uid="{00000000-0005-0000-0000-00006D020000}"/>
    <cellStyle name="20% - Accent4 4 7 2" xfId="12985" xr:uid="{608253CD-6056-4B86-B189-6A82B6D78E56}"/>
    <cellStyle name="20% - Accent4 4 8" xfId="8767" xr:uid="{A29FCB6C-BBC0-4F15-AFB8-8D9AFDA6CD85}"/>
    <cellStyle name="20% - Accent4 5" xfId="594" xr:uid="{00000000-0005-0000-0000-00006E020000}"/>
    <cellStyle name="20% - Accent4 5 2" xfId="2865" xr:uid="{00000000-0005-0000-0000-00006F020000}"/>
    <cellStyle name="20% - Accent4 5 2 2" xfId="7087" xr:uid="{00000000-0005-0000-0000-000070020000}"/>
    <cellStyle name="20% - Accent4 5 2 2 2" xfId="15537" xr:uid="{A91FC36D-4D1B-4906-B451-F19D00E68D79}"/>
    <cellStyle name="20% - Accent4 5 2 3" xfId="11319" xr:uid="{A754F225-6E7E-40E3-8878-2078D178534B}"/>
    <cellStyle name="20% - Accent4 5 3" xfId="4942" xr:uid="{00000000-0005-0000-0000-000071020000}"/>
    <cellStyle name="20% - Accent4 5 3 2" xfId="13392" xr:uid="{764FE041-AE2F-43CD-A816-8F40218046A2}"/>
    <cellStyle name="20% - Accent4 5 4" xfId="9174" xr:uid="{639A38CA-93D6-467B-BA5F-336C40302917}"/>
    <cellStyle name="20% - Accent4 6" xfId="1047" xr:uid="{00000000-0005-0000-0000-000072020000}"/>
    <cellStyle name="20% - Accent4 6 2" xfId="3278" xr:uid="{00000000-0005-0000-0000-000073020000}"/>
    <cellStyle name="20% - Accent4 6 2 2" xfId="7500" xr:uid="{00000000-0005-0000-0000-000074020000}"/>
    <cellStyle name="20% - Accent4 6 2 2 2" xfId="15950" xr:uid="{818BC034-5B40-428C-8997-890F943E671C}"/>
    <cellStyle name="20% - Accent4 6 2 3" xfId="11732" xr:uid="{35767FAD-B842-4842-9410-4B64392B7215}"/>
    <cellStyle name="20% - Accent4 6 3" xfId="5355" xr:uid="{00000000-0005-0000-0000-000075020000}"/>
    <cellStyle name="20% - Accent4 6 3 2" xfId="13805" xr:uid="{2F5B95CC-5D50-4014-A660-2E7203C1D3B6}"/>
    <cellStyle name="20% - Accent4 6 4" xfId="9587" xr:uid="{2545CBA9-69DA-4FA8-9229-CE2EDE969437}"/>
    <cellStyle name="20% - Accent4 7" xfId="1461" xr:uid="{00000000-0005-0000-0000-000076020000}"/>
    <cellStyle name="20% - Accent4 7 2" xfId="3691" xr:uid="{00000000-0005-0000-0000-000077020000}"/>
    <cellStyle name="20% - Accent4 7 2 2" xfId="7913" xr:uid="{00000000-0005-0000-0000-000078020000}"/>
    <cellStyle name="20% - Accent4 7 2 2 2" xfId="16363" xr:uid="{75BED3F8-21C8-4CD9-8FC4-383E013AEF36}"/>
    <cellStyle name="20% - Accent4 7 2 3" xfId="12145" xr:uid="{5BB52DCF-2D58-4E49-B8DF-BE899C67A4C3}"/>
    <cellStyle name="20% - Accent4 7 3" xfId="5768" xr:uid="{00000000-0005-0000-0000-000079020000}"/>
    <cellStyle name="20% - Accent4 7 3 2" xfId="14218" xr:uid="{6E696753-6D69-4090-91CE-704AD973F921}"/>
    <cellStyle name="20% - Accent4 7 4" xfId="10000" xr:uid="{099EA6A5-F187-4EC0-B8F9-C46894340BF1}"/>
    <cellStyle name="20% - Accent4 8" xfId="1875" xr:uid="{00000000-0005-0000-0000-00007A020000}"/>
    <cellStyle name="20% - Accent4 8 2" xfId="4104" xr:uid="{00000000-0005-0000-0000-00007B020000}"/>
    <cellStyle name="20% - Accent4 8 2 2" xfId="8326" xr:uid="{00000000-0005-0000-0000-00007C020000}"/>
    <cellStyle name="20% - Accent4 8 2 2 2" xfId="16776" xr:uid="{5DAB29B1-3AEC-46E5-BC40-588A9B0A42BE}"/>
    <cellStyle name="20% - Accent4 8 2 3" xfId="12558" xr:uid="{75760C5C-D250-4A51-9467-7C6D01C3E648}"/>
    <cellStyle name="20% - Accent4 8 3" xfId="6181" xr:uid="{00000000-0005-0000-0000-00007D020000}"/>
    <cellStyle name="20% - Accent4 8 3 2" xfId="14631" xr:uid="{6026B84A-AFEC-4CD8-81EE-675BE743436C}"/>
    <cellStyle name="20% - Accent4 8 4" xfId="10413" xr:uid="{5C40F649-2418-4511-83DE-54F00A4AA36C}"/>
    <cellStyle name="20% - Accent4 9" xfId="2288" xr:uid="{00000000-0005-0000-0000-00007E020000}"/>
    <cellStyle name="20% - Accent4 9 2" xfId="6594" xr:uid="{00000000-0005-0000-0000-00007F020000}"/>
    <cellStyle name="20% - Accent4 9 2 2" xfId="15044" xr:uid="{786728B9-BBA7-427C-9D83-5A29829FCE97}"/>
    <cellStyle name="20% - Accent4 9 3" xfId="10826" xr:uid="{B5D2E5B2-2BA7-4FDC-85D0-A09CC92C0BD1}"/>
    <cellStyle name="20% - Accent5" xfId="33" builtinId="46" customBuiltin="1"/>
    <cellStyle name="20% - Accent5 10" xfId="4536" xr:uid="{00000000-0005-0000-0000-000081020000}"/>
    <cellStyle name="20% - Accent5 10 2" xfId="12986" xr:uid="{07127EB5-96BD-4E3E-8772-3A4CB6B1CFC7}"/>
    <cellStyle name="20% - Accent5 11" xfId="8768" xr:uid="{1A8C9D5B-01A4-4F06-A72F-12BAEF74227E}"/>
    <cellStyle name="20% - Accent5 2" xfId="34" xr:uid="{00000000-0005-0000-0000-000082020000}"/>
    <cellStyle name="20% - Accent5 2 10" xfId="8769" xr:uid="{FDDBA41E-6AC8-4629-8CF3-4F2F8011F7DB}"/>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2 2 2" xfId="15548" xr:uid="{2C3A1905-2B59-4CE3-820E-F871963981E2}"/>
    <cellStyle name="20% - Accent5 2 2 2 2 2 3" xfId="11330" xr:uid="{DCFA3C17-AA1B-483E-8B11-13BDE52F8C5A}"/>
    <cellStyle name="20% - Accent5 2 2 2 2 3" xfId="4953" xr:uid="{00000000-0005-0000-0000-000088020000}"/>
    <cellStyle name="20% - Accent5 2 2 2 2 3 2" xfId="13403" xr:uid="{C5480D11-F634-4E93-9C44-8017DAF320F2}"/>
    <cellStyle name="20% - Accent5 2 2 2 2 4" xfId="9185" xr:uid="{C907C327-9546-4C87-80F4-52BB8695856E}"/>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2 2 2" xfId="15961" xr:uid="{9E459392-7BE9-4148-9DDB-BA05665EFAA8}"/>
    <cellStyle name="20% - Accent5 2 2 2 3 2 3" xfId="11743" xr:uid="{85D63D8E-E867-4BF3-83E3-CF9179DA0AA2}"/>
    <cellStyle name="20% - Accent5 2 2 2 3 3" xfId="5366" xr:uid="{00000000-0005-0000-0000-00008C020000}"/>
    <cellStyle name="20% - Accent5 2 2 2 3 3 2" xfId="13816" xr:uid="{74DF9B3F-FA1A-436D-9D19-50D99DD9BE41}"/>
    <cellStyle name="20% - Accent5 2 2 2 3 4" xfId="9598" xr:uid="{62AFF8A7-6F9F-4CBF-B4BF-ACCDD13DE321}"/>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2 2 2" xfId="16374" xr:uid="{8A197D9A-C35E-445F-967A-18F119871CB5}"/>
    <cellStyle name="20% - Accent5 2 2 2 4 2 3" xfId="12156" xr:uid="{8C79A2F3-407D-41FB-9993-4D767C2EA761}"/>
    <cellStyle name="20% - Accent5 2 2 2 4 3" xfId="5779" xr:uid="{00000000-0005-0000-0000-000090020000}"/>
    <cellStyle name="20% - Accent5 2 2 2 4 3 2" xfId="14229" xr:uid="{99F29645-2740-497F-B002-61F784E42B66}"/>
    <cellStyle name="20% - Accent5 2 2 2 4 4" xfId="10011" xr:uid="{527CC7E3-033C-47C8-9E8D-7362B586045A}"/>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2 2 2" xfId="16787" xr:uid="{A647613C-A916-4B61-8F09-1F54A994F6EB}"/>
    <cellStyle name="20% - Accent5 2 2 2 5 2 3" xfId="12569" xr:uid="{A957C85D-DBF2-46C9-AED9-5D7B7C8CADD6}"/>
    <cellStyle name="20% - Accent5 2 2 2 5 3" xfId="6192" xr:uid="{00000000-0005-0000-0000-000094020000}"/>
    <cellStyle name="20% - Accent5 2 2 2 5 3 2" xfId="14642" xr:uid="{49106563-61F6-4120-B2FA-7BC7CF9ECE93}"/>
    <cellStyle name="20% - Accent5 2 2 2 5 4" xfId="10424" xr:uid="{E638E890-8D0C-448F-8D1C-B4DA77192494}"/>
    <cellStyle name="20% - Accent5 2 2 2 6" xfId="2299" xr:uid="{00000000-0005-0000-0000-000095020000}"/>
    <cellStyle name="20% - Accent5 2 2 2 6 2" xfId="6605" xr:uid="{00000000-0005-0000-0000-000096020000}"/>
    <cellStyle name="20% - Accent5 2 2 2 6 2 2" xfId="15055" xr:uid="{F46B983E-9DA8-4E5D-937C-6CE22C91F4A6}"/>
    <cellStyle name="20% - Accent5 2 2 2 6 3" xfId="10837" xr:uid="{FE0F02F1-7A56-4A4E-8604-5352092DE8EA}"/>
    <cellStyle name="20% - Accent5 2 2 2 7" xfId="4539" xr:uid="{00000000-0005-0000-0000-000097020000}"/>
    <cellStyle name="20% - Accent5 2 2 2 7 2" xfId="12989" xr:uid="{CAA6A985-459A-48C9-8A2A-7DEA17EBF9DE}"/>
    <cellStyle name="20% - Accent5 2 2 2 8" xfId="8771" xr:uid="{F19851B5-00E8-468D-A137-FB91F5861EB3}"/>
    <cellStyle name="20% - Accent5 2 2 3" xfId="604" xr:uid="{00000000-0005-0000-0000-000098020000}"/>
    <cellStyle name="20% - Accent5 2 2 3 2" xfId="2875" xr:uid="{00000000-0005-0000-0000-000099020000}"/>
    <cellStyle name="20% - Accent5 2 2 3 2 2" xfId="7097" xr:uid="{00000000-0005-0000-0000-00009A020000}"/>
    <cellStyle name="20% - Accent5 2 2 3 2 2 2" xfId="15547" xr:uid="{4B8441C1-C7B3-4C5A-BE13-5B3BA2849FB2}"/>
    <cellStyle name="20% - Accent5 2 2 3 2 3" xfId="11329" xr:uid="{719FF417-68D7-468F-996C-E727BCD6D09E}"/>
    <cellStyle name="20% - Accent5 2 2 3 3" xfId="4952" xr:uid="{00000000-0005-0000-0000-00009B020000}"/>
    <cellStyle name="20% - Accent5 2 2 3 3 2" xfId="13402" xr:uid="{10603638-9632-4B90-950E-D474D494054A}"/>
    <cellStyle name="20% - Accent5 2 2 3 4" xfId="9184" xr:uid="{1F59C4C3-21E0-4480-A076-88F7028E40A2}"/>
    <cellStyle name="20% - Accent5 2 2 4" xfId="1057" xr:uid="{00000000-0005-0000-0000-00009C020000}"/>
    <cellStyle name="20% - Accent5 2 2 4 2" xfId="3288" xr:uid="{00000000-0005-0000-0000-00009D020000}"/>
    <cellStyle name="20% - Accent5 2 2 4 2 2" xfId="7510" xr:uid="{00000000-0005-0000-0000-00009E020000}"/>
    <cellStyle name="20% - Accent5 2 2 4 2 2 2" xfId="15960" xr:uid="{523058C3-F79D-4A23-A154-FDF797FDAB5B}"/>
    <cellStyle name="20% - Accent5 2 2 4 2 3" xfId="11742" xr:uid="{B79AE72B-3CF5-46B7-A5BF-9E168A2366D7}"/>
    <cellStyle name="20% - Accent5 2 2 4 3" xfId="5365" xr:uid="{00000000-0005-0000-0000-00009F020000}"/>
    <cellStyle name="20% - Accent5 2 2 4 3 2" xfId="13815" xr:uid="{6CB22F45-ECFE-416C-A55B-59818367CE44}"/>
    <cellStyle name="20% - Accent5 2 2 4 4" xfId="9597" xr:uid="{0B358D17-1A29-4F80-98B7-9F5A28C5B5E9}"/>
    <cellStyle name="20% - Accent5 2 2 5" xfId="1471" xr:uid="{00000000-0005-0000-0000-0000A0020000}"/>
    <cellStyle name="20% - Accent5 2 2 5 2" xfId="3701" xr:uid="{00000000-0005-0000-0000-0000A1020000}"/>
    <cellStyle name="20% - Accent5 2 2 5 2 2" xfId="7923" xr:uid="{00000000-0005-0000-0000-0000A2020000}"/>
    <cellStyle name="20% - Accent5 2 2 5 2 2 2" xfId="16373" xr:uid="{A56AF10D-B12C-4468-AF84-74A1AEA62067}"/>
    <cellStyle name="20% - Accent5 2 2 5 2 3" xfId="12155" xr:uid="{1D648884-61F2-4795-AD75-1291978B78F2}"/>
    <cellStyle name="20% - Accent5 2 2 5 3" xfId="5778" xr:uid="{00000000-0005-0000-0000-0000A3020000}"/>
    <cellStyle name="20% - Accent5 2 2 5 3 2" xfId="14228" xr:uid="{F3082A99-E29A-45EF-9728-AA19F63F6DA9}"/>
    <cellStyle name="20% - Accent5 2 2 5 4" xfId="10010" xr:uid="{1054A1A8-CF13-4D69-87B6-E4F258FAFB8A}"/>
    <cellStyle name="20% - Accent5 2 2 6" xfId="1885" xr:uid="{00000000-0005-0000-0000-0000A4020000}"/>
    <cellStyle name="20% - Accent5 2 2 6 2" xfId="4114" xr:uid="{00000000-0005-0000-0000-0000A5020000}"/>
    <cellStyle name="20% - Accent5 2 2 6 2 2" xfId="8336" xr:uid="{00000000-0005-0000-0000-0000A6020000}"/>
    <cellStyle name="20% - Accent5 2 2 6 2 2 2" xfId="16786" xr:uid="{B07BCDC3-19FF-4405-BC6F-796E5E8B447D}"/>
    <cellStyle name="20% - Accent5 2 2 6 2 3" xfId="12568" xr:uid="{BD7CC3EE-4967-40C4-86C7-3EAEA977DE06}"/>
    <cellStyle name="20% - Accent5 2 2 6 3" xfId="6191" xr:uid="{00000000-0005-0000-0000-0000A7020000}"/>
    <cellStyle name="20% - Accent5 2 2 6 3 2" xfId="14641" xr:uid="{F74EB19B-F884-4601-B720-86D68B102EDD}"/>
    <cellStyle name="20% - Accent5 2 2 6 4" xfId="10423" xr:uid="{95A31ADE-EEA8-4F62-A699-44B6353FF51A}"/>
    <cellStyle name="20% - Accent5 2 2 7" xfId="2298" xr:uid="{00000000-0005-0000-0000-0000A8020000}"/>
    <cellStyle name="20% - Accent5 2 2 7 2" xfId="6604" xr:uid="{00000000-0005-0000-0000-0000A9020000}"/>
    <cellStyle name="20% - Accent5 2 2 7 2 2" xfId="15054" xr:uid="{D8C69A38-24E0-4D63-83E7-063512DA51E1}"/>
    <cellStyle name="20% - Accent5 2 2 7 3" xfId="10836" xr:uid="{446BC8AC-39CC-4848-AB39-7A4DD7052515}"/>
    <cellStyle name="20% - Accent5 2 2 8" xfId="4538" xr:uid="{00000000-0005-0000-0000-0000AA020000}"/>
    <cellStyle name="20% - Accent5 2 2 8 2" xfId="12988" xr:uid="{D43C13CE-A276-4AF4-B2F6-250B7033AACA}"/>
    <cellStyle name="20% - Accent5 2 2 9" xfId="8770" xr:uid="{E8E94962-1A47-459B-A994-06C4DD8FF447}"/>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2 2 2" xfId="15549" xr:uid="{5A9CD345-D9CB-4A01-B799-9D81CC2AED90}"/>
    <cellStyle name="20% - Accent5 2 3 2 2 3" xfId="11331" xr:uid="{611BF3A4-DE76-4BE5-99F8-D228AC1712A8}"/>
    <cellStyle name="20% - Accent5 2 3 2 3" xfId="4954" xr:uid="{00000000-0005-0000-0000-0000AF020000}"/>
    <cellStyle name="20% - Accent5 2 3 2 3 2" xfId="13404" xr:uid="{854BCEF4-9FFE-49FA-8C68-B21544825795}"/>
    <cellStyle name="20% - Accent5 2 3 2 4" xfId="9186" xr:uid="{16746BEF-E766-4313-93EA-D73E47A11306}"/>
    <cellStyle name="20% - Accent5 2 3 3" xfId="1059" xr:uid="{00000000-0005-0000-0000-0000B0020000}"/>
    <cellStyle name="20% - Accent5 2 3 3 2" xfId="3290" xr:uid="{00000000-0005-0000-0000-0000B1020000}"/>
    <cellStyle name="20% - Accent5 2 3 3 2 2" xfId="7512" xr:uid="{00000000-0005-0000-0000-0000B2020000}"/>
    <cellStyle name="20% - Accent5 2 3 3 2 2 2" xfId="15962" xr:uid="{9AA42D3F-358F-49C5-A1D0-2A96F2D20532}"/>
    <cellStyle name="20% - Accent5 2 3 3 2 3" xfId="11744" xr:uid="{1AB7B551-AF6F-4342-B611-96A86CD34761}"/>
    <cellStyle name="20% - Accent5 2 3 3 3" xfId="5367" xr:uid="{00000000-0005-0000-0000-0000B3020000}"/>
    <cellStyle name="20% - Accent5 2 3 3 3 2" xfId="13817" xr:uid="{AD5FDD87-9D53-4AAC-964F-4410A11151F5}"/>
    <cellStyle name="20% - Accent5 2 3 3 4" xfId="9599" xr:uid="{622D4A67-BF19-47A0-A1CC-D39D8D1ABDC0}"/>
    <cellStyle name="20% - Accent5 2 3 4" xfId="1473" xr:uid="{00000000-0005-0000-0000-0000B4020000}"/>
    <cellStyle name="20% - Accent5 2 3 4 2" xfId="3703" xr:uid="{00000000-0005-0000-0000-0000B5020000}"/>
    <cellStyle name="20% - Accent5 2 3 4 2 2" xfId="7925" xr:uid="{00000000-0005-0000-0000-0000B6020000}"/>
    <cellStyle name="20% - Accent5 2 3 4 2 2 2" xfId="16375" xr:uid="{E51C15B0-B767-41A2-9912-127EB10C337B}"/>
    <cellStyle name="20% - Accent5 2 3 4 2 3" xfId="12157" xr:uid="{D9480550-6FEE-4BA5-8AF5-054846ED75A7}"/>
    <cellStyle name="20% - Accent5 2 3 4 3" xfId="5780" xr:uid="{00000000-0005-0000-0000-0000B7020000}"/>
    <cellStyle name="20% - Accent5 2 3 4 3 2" xfId="14230" xr:uid="{35E5284B-5D92-47BF-8858-B45C67F2682A}"/>
    <cellStyle name="20% - Accent5 2 3 4 4" xfId="10012" xr:uid="{BA4175B7-D9AA-464C-AC8C-8A5A1FE01299}"/>
    <cellStyle name="20% - Accent5 2 3 5" xfId="1887" xr:uid="{00000000-0005-0000-0000-0000B8020000}"/>
    <cellStyle name="20% - Accent5 2 3 5 2" xfId="4116" xr:uid="{00000000-0005-0000-0000-0000B9020000}"/>
    <cellStyle name="20% - Accent5 2 3 5 2 2" xfId="8338" xr:uid="{00000000-0005-0000-0000-0000BA020000}"/>
    <cellStyle name="20% - Accent5 2 3 5 2 2 2" xfId="16788" xr:uid="{C5F925F4-5C9C-4A16-852C-5819848BD5C8}"/>
    <cellStyle name="20% - Accent5 2 3 5 2 3" xfId="12570" xr:uid="{D63603E4-52B2-4178-8F87-BC545756B095}"/>
    <cellStyle name="20% - Accent5 2 3 5 3" xfId="6193" xr:uid="{00000000-0005-0000-0000-0000BB020000}"/>
    <cellStyle name="20% - Accent5 2 3 5 3 2" xfId="14643" xr:uid="{E94F84B6-F255-44C6-9861-659BEEE604B4}"/>
    <cellStyle name="20% - Accent5 2 3 5 4" xfId="10425" xr:uid="{369E6161-B00B-4EEE-A865-D88B087560B7}"/>
    <cellStyle name="20% - Accent5 2 3 6" xfId="2300" xr:uid="{00000000-0005-0000-0000-0000BC020000}"/>
    <cellStyle name="20% - Accent5 2 3 6 2" xfId="6606" xr:uid="{00000000-0005-0000-0000-0000BD020000}"/>
    <cellStyle name="20% - Accent5 2 3 6 2 2" xfId="15056" xr:uid="{72F07936-3A35-4653-BB90-8A9DA6FF4158}"/>
    <cellStyle name="20% - Accent5 2 3 6 3" xfId="10838" xr:uid="{466ABCB3-4FAA-4BD1-A216-AA1C0C0BD3F4}"/>
    <cellStyle name="20% - Accent5 2 3 7" xfId="4540" xr:uid="{00000000-0005-0000-0000-0000BE020000}"/>
    <cellStyle name="20% - Accent5 2 3 7 2" xfId="12990" xr:uid="{4C34A36D-F09F-47DC-A2B2-9EDCCAF3C6FE}"/>
    <cellStyle name="20% - Accent5 2 3 8" xfId="8772" xr:uid="{71DA2D5C-F3B9-4653-9F82-AA78690F5304}"/>
    <cellStyle name="20% - Accent5 2 4" xfId="603" xr:uid="{00000000-0005-0000-0000-0000BF020000}"/>
    <cellStyle name="20% - Accent5 2 4 2" xfId="2874" xr:uid="{00000000-0005-0000-0000-0000C0020000}"/>
    <cellStyle name="20% - Accent5 2 4 2 2" xfId="7096" xr:uid="{00000000-0005-0000-0000-0000C1020000}"/>
    <cellStyle name="20% - Accent5 2 4 2 2 2" xfId="15546" xr:uid="{04CBC3CD-E201-4DC4-87B8-0E3ADDCC03B7}"/>
    <cellStyle name="20% - Accent5 2 4 2 3" xfId="11328" xr:uid="{7419FCE2-AB51-4C90-9CE3-119B7D95D8A2}"/>
    <cellStyle name="20% - Accent5 2 4 3" xfId="4951" xr:uid="{00000000-0005-0000-0000-0000C2020000}"/>
    <cellStyle name="20% - Accent5 2 4 3 2" xfId="13401" xr:uid="{6DF09E7D-D956-4E1D-A020-A9C22D7EEA1B}"/>
    <cellStyle name="20% - Accent5 2 4 4" xfId="9183" xr:uid="{4C5420A9-E412-4C89-AD2B-DFD8C17CA66E}"/>
    <cellStyle name="20% - Accent5 2 5" xfId="1056" xr:uid="{00000000-0005-0000-0000-0000C3020000}"/>
    <cellStyle name="20% - Accent5 2 5 2" xfId="3287" xr:uid="{00000000-0005-0000-0000-0000C4020000}"/>
    <cellStyle name="20% - Accent5 2 5 2 2" xfId="7509" xr:uid="{00000000-0005-0000-0000-0000C5020000}"/>
    <cellStyle name="20% - Accent5 2 5 2 2 2" xfId="15959" xr:uid="{0246B803-F9D0-4C09-97F8-E871DBEF14AA}"/>
    <cellStyle name="20% - Accent5 2 5 2 3" xfId="11741" xr:uid="{387A8787-5C52-43FF-B4D5-282BDF286D16}"/>
    <cellStyle name="20% - Accent5 2 5 3" xfId="5364" xr:uid="{00000000-0005-0000-0000-0000C6020000}"/>
    <cellStyle name="20% - Accent5 2 5 3 2" xfId="13814" xr:uid="{A335C03C-3DA7-4BF7-91B3-183E9A4D37C1}"/>
    <cellStyle name="20% - Accent5 2 5 4" xfId="9596" xr:uid="{2C2F85D9-E0AA-4A36-8A08-F86272577F07}"/>
    <cellStyle name="20% - Accent5 2 6" xfId="1470" xr:uid="{00000000-0005-0000-0000-0000C7020000}"/>
    <cellStyle name="20% - Accent5 2 6 2" xfId="3700" xr:uid="{00000000-0005-0000-0000-0000C8020000}"/>
    <cellStyle name="20% - Accent5 2 6 2 2" xfId="7922" xr:uid="{00000000-0005-0000-0000-0000C9020000}"/>
    <cellStyle name="20% - Accent5 2 6 2 2 2" xfId="16372" xr:uid="{F790044C-B9B3-427C-B3F6-53D4366FA478}"/>
    <cellStyle name="20% - Accent5 2 6 2 3" xfId="12154" xr:uid="{FEE61D9E-730F-453D-BEC3-1E5B90A62E5B}"/>
    <cellStyle name="20% - Accent5 2 6 3" xfId="5777" xr:uid="{00000000-0005-0000-0000-0000CA020000}"/>
    <cellStyle name="20% - Accent5 2 6 3 2" xfId="14227" xr:uid="{87983B16-4A8B-468C-BC07-5A5C571F8A86}"/>
    <cellStyle name="20% - Accent5 2 6 4" xfId="10009" xr:uid="{498BF5D4-EC36-4703-A205-6A5B40590E60}"/>
    <cellStyle name="20% - Accent5 2 7" xfId="1884" xr:uid="{00000000-0005-0000-0000-0000CB020000}"/>
    <cellStyle name="20% - Accent5 2 7 2" xfId="4113" xr:uid="{00000000-0005-0000-0000-0000CC020000}"/>
    <cellStyle name="20% - Accent5 2 7 2 2" xfId="8335" xr:uid="{00000000-0005-0000-0000-0000CD020000}"/>
    <cellStyle name="20% - Accent5 2 7 2 2 2" xfId="16785" xr:uid="{A09E52F8-6D88-4074-A87A-2DC433A1FA33}"/>
    <cellStyle name="20% - Accent5 2 7 2 3" xfId="12567" xr:uid="{EBAB593D-8FDD-4D4F-BFCB-4A06FF981A67}"/>
    <cellStyle name="20% - Accent5 2 7 3" xfId="6190" xr:uid="{00000000-0005-0000-0000-0000CE020000}"/>
    <cellStyle name="20% - Accent5 2 7 3 2" xfId="14640" xr:uid="{0D238CBA-67CC-46A4-B945-D11434891E75}"/>
    <cellStyle name="20% - Accent5 2 7 4" xfId="10422" xr:uid="{25F556BC-B912-4698-B5F3-28049B7EBAD5}"/>
    <cellStyle name="20% - Accent5 2 8" xfId="2297" xr:uid="{00000000-0005-0000-0000-0000CF020000}"/>
    <cellStyle name="20% - Accent5 2 8 2" xfId="6603" xr:uid="{00000000-0005-0000-0000-0000D0020000}"/>
    <cellStyle name="20% - Accent5 2 8 2 2" xfId="15053" xr:uid="{60C07796-4875-473D-A074-1D90E414F08B}"/>
    <cellStyle name="20% - Accent5 2 8 3" xfId="10835" xr:uid="{D7B79284-0F3D-432B-8749-A10D15F55FE2}"/>
    <cellStyle name="20% - Accent5 2 9" xfId="4537" xr:uid="{00000000-0005-0000-0000-0000D1020000}"/>
    <cellStyle name="20% - Accent5 2 9 2" xfId="12987" xr:uid="{1511E421-76EF-4236-BEA4-7D82787CD671}"/>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2 2 2" xfId="15551" xr:uid="{4A697FC0-2089-432B-BDEC-62E16DB4E1FF}"/>
    <cellStyle name="20% - Accent5 3 2 2 2 3" xfId="11333" xr:uid="{B0D6C19D-7C29-48C2-BB0E-E171D235A7E6}"/>
    <cellStyle name="20% - Accent5 3 2 2 3" xfId="4956" xr:uid="{00000000-0005-0000-0000-0000D7020000}"/>
    <cellStyle name="20% - Accent5 3 2 2 3 2" xfId="13406" xr:uid="{E54986D6-6B5C-4FC0-A828-1A7B84976589}"/>
    <cellStyle name="20% - Accent5 3 2 2 4" xfId="9188" xr:uid="{B51CD0D0-B40D-42F5-829C-482754E08888}"/>
    <cellStyle name="20% - Accent5 3 2 3" xfId="1061" xr:uid="{00000000-0005-0000-0000-0000D8020000}"/>
    <cellStyle name="20% - Accent5 3 2 3 2" xfId="3292" xr:uid="{00000000-0005-0000-0000-0000D9020000}"/>
    <cellStyle name="20% - Accent5 3 2 3 2 2" xfId="7514" xr:uid="{00000000-0005-0000-0000-0000DA020000}"/>
    <cellStyle name="20% - Accent5 3 2 3 2 2 2" xfId="15964" xr:uid="{5E11F4CF-9118-4C57-BA16-08E29036868C}"/>
    <cellStyle name="20% - Accent5 3 2 3 2 3" xfId="11746" xr:uid="{A84CA970-4BF5-4C05-8314-14E1616CF844}"/>
    <cellStyle name="20% - Accent5 3 2 3 3" xfId="5369" xr:uid="{00000000-0005-0000-0000-0000DB020000}"/>
    <cellStyle name="20% - Accent5 3 2 3 3 2" xfId="13819" xr:uid="{EB57B012-F40D-4ED3-B517-88BD06D469A3}"/>
    <cellStyle name="20% - Accent5 3 2 3 4" xfId="9601" xr:uid="{4C4A617C-61B5-4573-A9DF-D3FF43D7243F}"/>
    <cellStyle name="20% - Accent5 3 2 4" xfId="1475" xr:uid="{00000000-0005-0000-0000-0000DC020000}"/>
    <cellStyle name="20% - Accent5 3 2 4 2" xfId="3705" xr:uid="{00000000-0005-0000-0000-0000DD020000}"/>
    <cellStyle name="20% - Accent5 3 2 4 2 2" xfId="7927" xr:uid="{00000000-0005-0000-0000-0000DE020000}"/>
    <cellStyle name="20% - Accent5 3 2 4 2 2 2" xfId="16377" xr:uid="{AF7BA5FC-CDA5-472E-AACB-D1E1C51BD7F6}"/>
    <cellStyle name="20% - Accent5 3 2 4 2 3" xfId="12159" xr:uid="{A8F27F79-7577-44CE-B11C-CE0589234CE9}"/>
    <cellStyle name="20% - Accent5 3 2 4 3" xfId="5782" xr:uid="{00000000-0005-0000-0000-0000DF020000}"/>
    <cellStyle name="20% - Accent5 3 2 4 3 2" xfId="14232" xr:uid="{26C9A2D8-B7E3-4727-9E90-768EEC296C69}"/>
    <cellStyle name="20% - Accent5 3 2 4 4" xfId="10014" xr:uid="{B5E8CD34-C19D-4857-8A11-5204ADCB4414}"/>
    <cellStyle name="20% - Accent5 3 2 5" xfId="1889" xr:uid="{00000000-0005-0000-0000-0000E0020000}"/>
    <cellStyle name="20% - Accent5 3 2 5 2" xfId="4118" xr:uid="{00000000-0005-0000-0000-0000E1020000}"/>
    <cellStyle name="20% - Accent5 3 2 5 2 2" xfId="8340" xr:uid="{00000000-0005-0000-0000-0000E2020000}"/>
    <cellStyle name="20% - Accent5 3 2 5 2 2 2" xfId="16790" xr:uid="{9E62C775-4BC6-4536-AAD6-1EECBE6D156E}"/>
    <cellStyle name="20% - Accent5 3 2 5 2 3" xfId="12572" xr:uid="{6BD79F8E-F613-49A1-A53E-E2624065C6BE}"/>
    <cellStyle name="20% - Accent5 3 2 5 3" xfId="6195" xr:uid="{00000000-0005-0000-0000-0000E3020000}"/>
    <cellStyle name="20% - Accent5 3 2 5 3 2" xfId="14645" xr:uid="{79C85186-67B9-4D36-800F-EA4937E82A4E}"/>
    <cellStyle name="20% - Accent5 3 2 5 4" xfId="10427" xr:uid="{F347D6D3-C157-4184-9DA5-88CFEC8B0449}"/>
    <cellStyle name="20% - Accent5 3 2 6" xfId="2302" xr:uid="{00000000-0005-0000-0000-0000E4020000}"/>
    <cellStyle name="20% - Accent5 3 2 6 2" xfId="6608" xr:uid="{00000000-0005-0000-0000-0000E5020000}"/>
    <cellStyle name="20% - Accent5 3 2 6 2 2" xfId="15058" xr:uid="{1FA845A6-4359-4921-B660-3A410D04E6CE}"/>
    <cellStyle name="20% - Accent5 3 2 6 3" xfId="10840" xr:uid="{0CD2FDB0-C435-414D-AC31-396B4DF0CC33}"/>
    <cellStyle name="20% - Accent5 3 2 7" xfId="4542" xr:uid="{00000000-0005-0000-0000-0000E6020000}"/>
    <cellStyle name="20% - Accent5 3 2 7 2" xfId="12992" xr:uid="{F92929A9-13D6-4321-B238-E7AF11FC3EBA}"/>
    <cellStyle name="20% - Accent5 3 2 8" xfId="8774" xr:uid="{C65BFAA8-80C9-4FB8-86DA-7D908714DAC9}"/>
    <cellStyle name="20% - Accent5 3 3" xfId="607" xr:uid="{00000000-0005-0000-0000-0000E7020000}"/>
    <cellStyle name="20% - Accent5 3 3 2" xfId="2878" xr:uid="{00000000-0005-0000-0000-0000E8020000}"/>
    <cellStyle name="20% - Accent5 3 3 2 2" xfId="7100" xr:uid="{00000000-0005-0000-0000-0000E9020000}"/>
    <cellStyle name="20% - Accent5 3 3 2 2 2" xfId="15550" xr:uid="{DF286192-C898-4536-9513-6D30D4A4712C}"/>
    <cellStyle name="20% - Accent5 3 3 2 3" xfId="11332" xr:uid="{E47DB545-176C-4850-B41C-4AF5DE84C58C}"/>
    <cellStyle name="20% - Accent5 3 3 3" xfId="4955" xr:uid="{00000000-0005-0000-0000-0000EA020000}"/>
    <cellStyle name="20% - Accent5 3 3 3 2" xfId="13405" xr:uid="{4878502B-DE66-4136-9292-33C841C9757C}"/>
    <cellStyle name="20% - Accent5 3 3 4" xfId="9187" xr:uid="{5CC54712-FD10-46C3-B057-3E13210AF32C}"/>
    <cellStyle name="20% - Accent5 3 4" xfId="1060" xr:uid="{00000000-0005-0000-0000-0000EB020000}"/>
    <cellStyle name="20% - Accent5 3 4 2" xfId="3291" xr:uid="{00000000-0005-0000-0000-0000EC020000}"/>
    <cellStyle name="20% - Accent5 3 4 2 2" xfId="7513" xr:uid="{00000000-0005-0000-0000-0000ED020000}"/>
    <cellStyle name="20% - Accent5 3 4 2 2 2" xfId="15963" xr:uid="{5E455C18-E04D-4985-9954-7EB3357F6861}"/>
    <cellStyle name="20% - Accent5 3 4 2 3" xfId="11745" xr:uid="{BB6ACED2-8246-4F14-85D4-9C9C8E2BA1AF}"/>
    <cellStyle name="20% - Accent5 3 4 3" xfId="5368" xr:uid="{00000000-0005-0000-0000-0000EE020000}"/>
    <cellStyle name="20% - Accent5 3 4 3 2" xfId="13818" xr:uid="{016B8587-E170-4BCE-84CF-A1EA8579FE77}"/>
    <cellStyle name="20% - Accent5 3 4 4" xfId="9600" xr:uid="{7B3FD5AA-C46D-4135-8DD9-6F459CF88F75}"/>
    <cellStyle name="20% - Accent5 3 5" xfId="1474" xr:uid="{00000000-0005-0000-0000-0000EF020000}"/>
    <cellStyle name="20% - Accent5 3 5 2" xfId="3704" xr:uid="{00000000-0005-0000-0000-0000F0020000}"/>
    <cellStyle name="20% - Accent5 3 5 2 2" xfId="7926" xr:uid="{00000000-0005-0000-0000-0000F1020000}"/>
    <cellStyle name="20% - Accent5 3 5 2 2 2" xfId="16376" xr:uid="{925D3A83-6E0B-448E-AE67-AB7064699ACF}"/>
    <cellStyle name="20% - Accent5 3 5 2 3" xfId="12158" xr:uid="{25998C9F-8487-4D41-8430-076D88E02224}"/>
    <cellStyle name="20% - Accent5 3 5 3" xfId="5781" xr:uid="{00000000-0005-0000-0000-0000F2020000}"/>
    <cellStyle name="20% - Accent5 3 5 3 2" xfId="14231" xr:uid="{F788A5A6-CB06-4DB9-AC34-CA4E0589E771}"/>
    <cellStyle name="20% - Accent5 3 5 4" xfId="10013" xr:uid="{EA0EB638-882B-47F6-8AF4-745902F33C4E}"/>
    <cellStyle name="20% - Accent5 3 6" xfId="1888" xr:uid="{00000000-0005-0000-0000-0000F3020000}"/>
    <cellStyle name="20% - Accent5 3 6 2" xfId="4117" xr:uid="{00000000-0005-0000-0000-0000F4020000}"/>
    <cellStyle name="20% - Accent5 3 6 2 2" xfId="8339" xr:uid="{00000000-0005-0000-0000-0000F5020000}"/>
    <cellStyle name="20% - Accent5 3 6 2 2 2" xfId="16789" xr:uid="{7BB63548-9BAB-415C-B052-EB45A4CC4C68}"/>
    <cellStyle name="20% - Accent5 3 6 2 3" xfId="12571" xr:uid="{EE629D37-2967-4DA9-9B9E-E2538E56BC33}"/>
    <cellStyle name="20% - Accent5 3 6 3" xfId="6194" xr:uid="{00000000-0005-0000-0000-0000F6020000}"/>
    <cellStyle name="20% - Accent5 3 6 3 2" xfId="14644" xr:uid="{F29E7FCF-FD54-4189-993C-85D1756A7859}"/>
    <cellStyle name="20% - Accent5 3 6 4" xfId="10426" xr:uid="{1744BAC2-D670-45DE-97F2-08950A5B7E3B}"/>
    <cellStyle name="20% - Accent5 3 7" xfId="2301" xr:uid="{00000000-0005-0000-0000-0000F7020000}"/>
    <cellStyle name="20% - Accent5 3 7 2" xfId="6607" xr:uid="{00000000-0005-0000-0000-0000F8020000}"/>
    <cellStyle name="20% - Accent5 3 7 2 2" xfId="15057" xr:uid="{E055B992-7FB3-47E0-AD88-FE4799543324}"/>
    <cellStyle name="20% - Accent5 3 7 3" xfId="10839" xr:uid="{6E6C0B0A-D5C5-4202-A621-577DE9C5EDFE}"/>
    <cellStyle name="20% - Accent5 3 8" xfId="4541" xr:uid="{00000000-0005-0000-0000-0000F9020000}"/>
    <cellStyle name="20% - Accent5 3 8 2" xfId="12991" xr:uid="{C9B20EEB-6773-43A0-BFC1-1E72AC9CB7B3}"/>
    <cellStyle name="20% - Accent5 3 9" xfId="8773" xr:uid="{F3650C90-5BFC-48F0-A766-3F35BAB46798}"/>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2 2 2" xfId="15552" xr:uid="{BE362F39-148F-4234-B44D-4FCC2F97466F}"/>
    <cellStyle name="20% - Accent5 4 2 2 3" xfId="11334" xr:uid="{4B1B3C74-573D-4F46-9587-556148B5B477}"/>
    <cellStyle name="20% - Accent5 4 2 3" xfId="4957" xr:uid="{00000000-0005-0000-0000-0000FE020000}"/>
    <cellStyle name="20% - Accent5 4 2 3 2" xfId="13407" xr:uid="{31B585A6-F277-4312-884A-30019B018C05}"/>
    <cellStyle name="20% - Accent5 4 2 4" xfId="9189" xr:uid="{4F4D54E2-7476-4C52-9E81-AEB631B58909}"/>
    <cellStyle name="20% - Accent5 4 3" xfId="1062" xr:uid="{00000000-0005-0000-0000-0000FF020000}"/>
    <cellStyle name="20% - Accent5 4 3 2" xfId="3293" xr:uid="{00000000-0005-0000-0000-000000030000}"/>
    <cellStyle name="20% - Accent5 4 3 2 2" xfId="7515" xr:uid="{00000000-0005-0000-0000-000001030000}"/>
    <cellStyle name="20% - Accent5 4 3 2 2 2" xfId="15965" xr:uid="{5226A7A9-A452-471D-BBD1-2644AB3811C6}"/>
    <cellStyle name="20% - Accent5 4 3 2 3" xfId="11747" xr:uid="{0FA66148-3645-4BBA-875E-A77C7655C2C7}"/>
    <cellStyle name="20% - Accent5 4 3 3" xfId="5370" xr:uid="{00000000-0005-0000-0000-000002030000}"/>
    <cellStyle name="20% - Accent5 4 3 3 2" xfId="13820" xr:uid="{686D096C-D501-44D3-8B61-C0F79745069C}"/>
    <cellStyle name="20% - Accent5 4 3 4" xfId="9602" xr:uid="{C6D8844C-A821-432C-A079-FBCCF65A7678}"/>
    <cellStyle name="20% - Accent5 4 4" xfId="1476" xr:uid="{00000000-0005-0000-0000-000003030000}"/>
    <cellStyle name="20% - Accent5 4 4 2" xfId="3706" xr:uid="{00000000-0005-0000-0000-000004030000}"/>
    <cellStyle name="20% - Accent5 4 4 2 2" xfId="7928" xr:uid="{00000000-0005-0000-0000-000005030000}"/>
    <cellStyle name="20% - Accent5 4 4 2 2 2" xfId="16378" xr:uid="{D4664250-6C7B-4298-B75F-488D95C5AB96}"/>
    <cellStyle name="20% - Accent5 4 4 2 3" xfId="12160" xr:uid="{6A3C05B7-CAC9-43BE-AC2D-317762B215EC}"/>
    <cellStyle name="20% - Accent5 4 4 3" xfId="5783" xr:uid="{00000000-0005-0000-0000-000006030000}"/>
    <cellStyle name="20% - Accent5 4 4 3 2" xfId="14233" xr:uid="{A82EB078-F335-4586-A587-A37C0F096C25}"/>
    <cellStyle name="20% - Accent5 4 4 4" xfId="10015" xr:uid="{63A5E141-42C5-4397-A2FB-ACD59C8503DB}"/>
    <cellStyle name="20% - Accent5 4 5" xfId="1890" xr:uid="{00000000-0005-0000-0000-000007030000}"/>
    <cellStyle name="20% - Accent5 4 5 2" xfId="4119" xr:uid="{00000000-0005-0000-0000-000008030000}"/>
    <cellStyle name="20% - Accent5 4 5 2 2" xfId="8341" xr:uid="{00000000-0005-0000-0000-000009030000}"/>
    <cellStyle name="20% - Accent5 4 5 2 2 2" xfId="16791" xr:uid="{298F97AE-CE0B-4186-A61A-D21397948C4F}"/>
    <cellStyle name="20% - Accent5 4 5 2 3" xfId="12573" xr:uid="{4A64CBA4-9C57-4FB8-8879-1FF6597F2A66}"/>
    <cellStyle name="20% - Accent5 4 5 3" xfId="6196" xr:uid="{00000000-0005-0000-0000-00000A030000}"/>
    <cellStyle name="20% - Accent5 4 5 3 2" xfId="14646" xr:uid="{DB1E789E-4683-4E61-A811-060BA68764D3}"/>
    <cellStyle name="20% - Accent5 4 5 4" xfId="10428" xr:uid="{7C7F6263-10F6-4D14-8290-EB70F198C736}"/>
    <cellStyle name="20% - Accent5 4 6" xfId="2303" xr:uid="{00000000-0005-0000-0000-00000B030000}"/>
    <cellStyle name="20% - Accent5 4 6 2" xfId="6609" xr:uid="{00000000-0005-0000-0000-00000C030000}"/>
    <cellStyle name="20% - Accent5 4 6 2 2" xfId="15059" xr:uid="{46C9C95F-04BC-46D9-BE24-21FB4DCAB93F}"/>
    <cellStyle name="20% - Accent5 4 6 3" xfId="10841" xr:uid="{0D8F1D30-5C41-4194-A971-8748441A03C4}"/>
    <cellStyle name="20% - Accent5 4 7" xfId="4543" xr:uid="{00000000-0005-0000-0000-00000D030000}"/>
    <cellStyle name="20% - Accent5 4 7 2" xfId="12993" xr:uid="{A376D367-9A5F-47BA-B7E6-AE77668CF715}"/>
    <cellStyle name="20% - Accent5 4 8" xfId="8775" xr:uid="{732CD270-B6C0-4A2D-97E0-B2E4CC8C185B}"/>
    <cellStyle name="20% - Accent5 5" xfId="602" xr:uid="{00000000-0005-0000-0000-00000E030000}"/>
    <cellStyle name="20% - Accent5 5 2" xfId="2873" xr:uid="{00000000-0005-0000-0000-00000F030000}"/>
    <cellStyle name="20% - Accent5 5 2 2" xfId="7095" xr:uid="{00000000-0005-0000-0000-000010030000}"/>
    <cellStyle name="20% - Accent5 5 2 2 2" xfId="15545" xr:uid="{9C2650CA-C503-442B-AD75-53D271C4DE1E}"/>
    <cellStyle name="20% - Accent5 5 2 3" xfId="11327" xr:uid="{F8296C90-0AFB-4B74-A745-3E3E196C8628}"/>
    <cellStyle name="20% - Accent5 5 3" xfId="4950" xr:uid="{00000000-0005-0000-0000-000011030000}"/>
    <cellStyle name="20% - Accent5 5 3 2" xfId="13400" xr:uid="{DC7E5444-9334-49F5-B6B4-928A3F503269}"/>
    <cellStyle name="20% - Accent5 5 4" xfId="9182" xr:uid="{287B4BBE-9EC7-43F3-AA57-F73229F7749E}"/>
    <cellStyle name="20% - Accent5 6" xfId="1055" xr:uid="{00000000-0005-0000-0000-000012030000}"/>
    <cellStyle name="20% - Accent5 6 2" xfId="3286" xr:uid="{00000000-0005-0000-0000-000013030000}"/>
    <cellStyle name="20% - Accent5 6 2 2" xfId="7508" xr:uid="{00000000-0005-0000-0000-000014030000}"/>
    <cellStyle name="20% - Accent5 6 2 2 2" xfId="15958" xr:uid="{E1EE239B-E1B2-4E58-AB8B-8A6EE1AD7551}"/>
    <cellStyle name="20% - Accent5 6 2 3" xfId="11740" xr:uid="{82BF3387-97F1-4BD1-8F96-80272F58138E}"/>
    <cellStyle name="20% - Accent5 6 3" xfId="5363" xr:uid="{00000000-0005-0000-0000-000015030000}"/>
    <cellStyle name="20% - Accent5 6 3 2" xfId="13813" xr:uid="{F3C67683-386C-4F45-A372-ABF6E1054ECE}"/>
    <cellStyle name="20% - Accent5 6 4" xfId="9595" xr:uid="{3CDB9B7B-EDFE-489D-B42B-AEF76A032F57}"/>
    <cellStyle name="20% - Accent5 7" xfId="1469" xr:uid="{00000000-0005-0000-0000-000016030000}"/>
    <cellStyle name="20% - Accent5 7 2" xfId="3699" xr:uid="{00000000-0005-0000-0000-000017030000}"/>
    <cellStyle name="20% - Accent5 7 2 2" xfId="7921" xr:uid="{00000000-0005-0000-0000-000018030000}"/>
    <cellStyle name="20% - Accent5 7 2 2 2" xfId="16371" xr:uid="{41DE0C73-D973-492F-A481-72B255BC3BFD}"/>
    <cellStyle name="20% - Accent5 7 2 3" xfId="12153" xr:uid="{6B15640B-47E7-4D20-A192-5B04F821E0CD}"/>
    <cellStyle name="20% - Accent5 7 3" xfId="5776" xr:uid="{00000000-0005-0000-0000-000019030000}"/>
    <cellStyle name="20% - Accent5 7 3 2" xfId="14226" xr:uid="{0E41387F-0EB3-4E12-9454-4997D5F7170E}"/>
    <cellStyle name="20% - Accent5 7 4" xfId="10008" xr:uid="{0B5449B3-F494-4E6A-B777-4E5AB5D6A11A}"/>
    <cellStyle name="20% - Accent5 8" xfId="1883" xr:uid="{00000000-0005-0000-0000-00001A030000}"/>
    <cellStyle name="20% - Accent5 8 2" xfId="4112" xr:uid="{00000000-0005-0000-0000-00001B030000}"/>
    <cellStyle name="20% - Accent5 8 2 2" xfId="8334" xr:uid="{00000000-0005-0000-0000-00001C030000}"/>
    <cellStyle name="20% - Accent5 8 2 2 2" xfId="16784" xr:uid="{812966E5-C464-42AD-B0C6-589B98F04A0C}"/>
    <cellStyle name="20% - Accent5 8 2 3" xfId="12566" xr:uid="{513AAC9C-6831-4661-84E7-F7E53A9DE62E}"/>
    <cellStyle name="20% - Accent5 8 3" xfId="6189" xr:uid="{00000000-0005-0000-0000-00001D030000}"/>
    <cellStyle name="20% - Accent5 8 3 2" xfId="14639" xr:uid="{40D3D292-4816-43B5-AD44-BBC961AA330C}"/>
    <cellStyle name="20% - Accent5 8 4" xfId="10421" xr:uid="{F2146A93-4D67-4E92-AD51-E7674C16DA61}"/>
    <cellStyle name="20% - Accent5 9" xfId="2296" xr:uid="{00000000-0005-0000-0000-00001E030000}"/>
    <cellStyle name="20% - Accent5 9 2" xfId="6602" xr:uid="{00000000-0005-0000-0000-00001F030000}"/>
    <cellStyle name="20% - Accent5 9 2 2" xfId="15052" xr:uid="{DAA0E331-9A5D-46C2-A419-55CE3BB256E5}"/>
    <cellStyle name="20% - Accent5 9 3" xfId="10834" xr:uid="{FE60C4AB-C9C0-4C90-87D1-5EEAEC6B8B21}"/>
    <cellStyle name="20% - Accent6" xfId="41" builtinId="50" customBuiltin="1"/>
    <cellStyle name="20% - Accent6 10" xfId="4544" xr:uid="{00000000-0005-0000-0000-000021030000}"/>
    <cellStyle name="20% - Accent6 10 2" xfId="12994" xr:uid="{1AD3F253-2B0F-4D58-A411-51BAAFB7BF5B}"/>
    <cellStyle name="20% - Accent6 11" xfId="8776" xr:uid="{E2E5C901-9E7B-475F-AFFA-01AAAB219B4C}"/>
    <cellStyle name="20% - Accent6 2" xfId="42" xr:uid="{00000000-0005-0000-0000-000022030000}"/>
    <cellStyle name="20% - Accent6 2 10" xfId="8777" xr:uid="{56C8CFE8-BFA7-4749-AC85-3490A3EFE98A}"/>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2 2 2" xfId="15556" xr:uid="{F9CF1F26-A806-483B-8281-76735633A53E}"/>
    <cellStyle name="20% - Accent6 2 2 2 2 2 3" xfId="11338" xr:uid="{29D11127-3220-46F1-89A9-2A8B679A231B}"/>
    <cellStyle name="20% - Accent6 2 2 2 2 3" xfId="4961" xr:uid="{00000000-0005-0000-0000-000028030000}"/>
    <cellStyle name="20% - Accent6 2 2 2 2 3 2" xfId="13411" xr:uid="{579E82A4-D5A8-4CBB-B08A-7EF178B9BC71}"/>
    <cellStyle name="20% - Accent6 2 2 2 2 4" xfId="9193" xr:uid="{A93B66E4-41DB-4F2D-8E05-CDF61FD2EB13}"/>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2 2 2" xfId="15969" xr:uid="{9C124F89-C3AB-422E-90DA-25B8253ED7A8}"/>
    <cellStyle name="20% - Accent6 2 2 2 3 2 3" xfId="11751" xr:uid="{A91F5EE1-B516-4805-880D-13436DABD3BF}"/>
    <cellStyle name="20% - Accent6 2 2 2 3 3" xfId="5374" xr:uid="{00000000-0005-0000-0000-00002C030000}"/>
    <cellStyle name="20% - Accent6 2 2 2 3 3 2" xfId="13824" xr:uid="{39F49859-2F91-4FC0-980C-D718F5A4824A}"/>
    <cellStyle name="20% - Accent6 2 2 2 3 4" xfId="9606" xr:uid="{D81CDBA5-13A4-4768-96E4-D9E055EEB3F3}"/>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2 2 2" xfId="16382" xr:uid="{BC013DE3-C2AA-419A-80D2-B438C2B0C916}"/>
    <cellStyle name="20% - Accent6 2 2 2 4 2 3" xfId="12164" xr:uid="{DE7778D3-5176-42C5-915F-3CD80CB31250}"/>
    <cellStyle name="20% - Accent6 2 2 2 4 3" xfId="5787" xr:uid="{00000000-0005-0000-0000-000030030000}"/>
    <cellStyle name="20% - Accent6 2 2 2 4 3 2" xfId="14237" xr:uid="{81B55CC0-8E1B-4E23-B3C3-FA1621720097}"/>
    <cellStyle name="20% - Accent6 2 2 2 4 4" xfId="10019" xr:uid="{680772FF-1061-48CC-A13D-7DE885CAC4D6}"/>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2 2 2" xfId="16795" xr:uid="{1F5F1FF3-BD5D-4358-98CC-5D5BADF95CAB}"/>
    <cellStyle name="20% - Accent6 2 2 2 5 2 3" xfId="12577" xr:uid="{EFD76E97-8D45-4044-A7E5-A0C2B41723D3}"/>
    <cellStyle name="20% - Accent6 2 2 2 5 3" xfId="6200" xr:uid="{00000000-0005-0000-0000-000034030000}"/>
    <cellStyle name="20% - Accent6 2 2 2 5 3 2" xfId="14650" xr:uid="{EF58561D-4AB6-46BF-A764-36FA990130D2}"/>
    <cellStyle name="20% - Accent6 2 2 2 5 4" xfId="10432" xr:uid="{ACA5001D-7B79-4AB4-8690-2CF0068815B7}"/>
    <cellStyle name="20% - Accent6 2 2 2 6" xfId="2307" xr:uid="{00000000-0005-0000-0000-000035030000}"/>
    <cellStyle name="20% - Accent6 2 2 2 6 2" xfId="6613" xr:uid="{00000000-0005-0000-0000-000036030000}"/>
    <cellStyle name="20% - Accent6 2 2 2 6 2 2" xfId="15063" xr:uid="{2BD9C6BA-852E-42F4-9B01-77A129E9D289}"/>
    <cellStyle name="20% - Accent6 2 2 2 6 3" xfId="10845" xr:uid="{FEC3541B-04A7-42FA-858F-59ACAD01886A}"/>
    <cellStyle name="20% - Accent6 2 2 2 7" xfId="4547" xr:uid="{00000000-0005-0000-0000-000037030000}"/>
    <cellStyle name="20% - Accent6 2 2 2 7 2" xfId="12997" xr:uid="{0C8A2794-5B17-4440-9EC2-024A40643E24}"/>
    <cellStyle name="20% - Accent6 2 2 2 8" xfId="8779" xr:uid="{53FFBE78-9B10-438E-8630-EA50AC4853E8}"/>
    <cellStyle name="20% - Accent6 2 2 3" xfId="612" xr:uid="{00000000-0005-0000-0000-000038030000}"/>
    <cellStyle name="20% - Accent6 2 2 3 2" xfId="2883" xr:uid="{00000000-0005-0000-0000-000039030000}"/>
    <cellStyle name="20% - Accent6 2 2 3 2 2" xfId="7105" xr:uid="{00000000-0005-0000-0000-00003A030000}"/>
    <cellStyle name="20% - Accent6 2 2 3 2 2 2" xfId="15555" xr:uid="{65A5B2AA-4292-4B42-9D88-2B376B3DD0B6}"/>
    <cellStyle name="20% - Accent6 2 2 3 2 3" xfId="11337" xr:uid="{C2738E75-7787-46DE-909C-E0694D7ACAAD}"/>
    <cellStyle name="20% - Accent6 2 2 3 3" xfId="4960" xr:uid="{00000000-0005-0000-0000-00003B030000}"/>
    <cellStyle name="20% - Accent6 2 2 3 3 2" xfId="13410" xr:uid="{AEE93ED2-271D-48A9-B9B7-E668AD3799A5}"/>
    <cellStyle name="20% - Accent6 2 2 3 4" xfId="9192" xr:uid="{5D8961E7-8BC4-4F1B-81B2-1DFE1818807F}"/>
    <cellStyle name="20% - Accent6 2 2 4" xfId="1065" xr:uid="{00000000-0005-0000-0000-00003C030000}"/>
    <cellStyle name="20% - Accent6 2 2 4 2" xfId="3296" xr:uid="{00000000-0005-0000-0000-00003D030000}"/>
    <cellStyle name="20% - Accent6 2 2 4 2 2" xfId="7518" xr:uid="{00000000-0005-0000-0000-00003E030000}"/>
    <cellStyle name="20% - Accent6 2 2 4 2 2 2" xfId="15968" xr:uid="{79877267-9CC6-4A92-8283-D7BD14CB0640}"/>
    <cellStyle name="20% - Accent6 2 2 4 2 3" xfId="11750" xr:uid="{3EDC4F05-1A9E-4083-B5CC-77E9BCB88176}"/>
    <cellStyle name="20% - Accent6 2 2 4 3" xfId="5373" xr:uid="{00000000-0005-0000-0000-00003F030000}"/>
    <cellStyle name="20% - Accent6 2 2 4 3 2" xfId="13823" xr:uid="{B7C27C14-2B90-42C2-A687-BC5EA9FCF5E4}"/>
    <cellStyle name="20% - Accent6 2 2 4 4" xfId="9605" xr:uid="{24127177-D757-4273-B831-0D6DC6CB18EB}"/>
    <cellStyle name="20% - Accent6 2 2 5" xfId="1479" xr:uid="{00000000-0005-0000-0000-000040030000}"/>
    <cellStyle name="20% - Accent6 2 2 5 2" xfId="3709" xr:uid="{00000000-0005-0000-0000-000041030000}"/>
    <cellStyle name="20% - Accent6 2 2 5 2 2" xfId="7931" xr:uid="{00000000-0005-0000-0000-000042030000}"/>
    <cellStyle name="20% - Accent6 2 2 5 2 2 2" xfId="16381" xr:uid="{C7365944-B256-4926-811A-01C836492A20}"/>
    <cellStyle name="20% - Accent6 2 2 5 2 3" xfId="12163" xr:uid="{BCB1E616-43C9-43FE-B322-F4467977211E}"/>
    <cellStyle name="20% - Accent6 2 2 5 3" xfId="5786" xr:uid="{00000000-0005-0000-0000-000043030000}"/>
    <cellStyle name="20% - Accent6 2 2 5 3 2" xfId="14236" xr:uid="{324482A5-D475-4150-877A-473706E4BECC}"/>
    <cellStyle name="20% - Accent6 2 2 5 4" xfId="10018" xr:uid="{7C4EF64B-CB45-4F66-B261-CEE265D52E10}"/>
    <cellStyle name="20% - Accent6 2 2 6" xfId="1893" xr:uid="{00000000-0005-0000-0000-000044030000}"/>
    <cellStyle name="20% - Accent6 2 2 6 2" xfId="4122" xr:uid="{00000000-0005-0000-0000-000045030000}"/>
    <cellStyle name="20% - Accent6 2 2 6 2 2" xfId="8344" xr:uid="{00000000-0005-0000-0000-000046030000}"/>
    <cellStyle name="20% - Accent6 2 2 6 2 2 2" xfId="16794" xr:uid="{4326A8E8-7D52-4D5B-A849-FDA3FF7EE234}"/>
    <cellStyle name="20% - Accent6 2 2 6 2 3" xfId="12576" xr:uid="{A11AC794-F2B4-4970-9F1D-842E790F9E65}"/>
    <cellStyle name="20% - Accent6 2 2 6 3" xfId="6199" xr:uid="{00000000-0005-0000-0000-000047030000}"/>
    <cellStyle name="20% - Accent6 2 2 6 3 2" xfId="14649" xr:uid="{5C6913DF-D80A-44B3-AC39-CAEBAD2ADE02}"/>
    <cellStyle name="20% - Accent6 2 2 6 4" xfId="10431" xr:uid="{179E0997-236E-488F-B8D6-66C5136CC207}"/>
    <cellStyle name="20% - Accent6 2 2 7" xfId="2306" xr:uid="{00000000-0005-0000-0000-000048030000}"/>
    <cellStyle name="20% - Accent6 2 2 7 2" xfId="6612" xr:uid="{00000000-0005-0000-0000-000049030000}"/>
    <cellStyle name="20% - Accent6 2 2 7 2 2" xfId="15062" xr:uid="{4447CF30-6103-4DBE-8C6B-3BF931D1390D}"/>
    <cellStyle name="20% - Accent6 2 2 7 3" xfId="10844" xr:uid="{A200C2C8-2B14-488B-AB02-97C2323BBA64}"/>
    <cellStyle name="20% - Accent6 2 2 8" xfId="4546" xr:uid="{00000000-0005-0000-0000-00004A030000}"/>
    <cellStyle name="20% - Accent6 2 2 8 2" xfId="12996" xr:uid="{8A2C8DBA-1102-4251-87BA-B7AFB926B5A7}"/>
    <cellStyle name="20% - Accent6 2 2 9" xfId="8778" xr:uid="{68DB5447-DF58-4D8A-898D-5D628354DB75}"/>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2 2 2" xfId="15557" xr:uid="{6F5B43D8-D31B-4159-AE9E-DC21D7340E85}"/>
    <cellStyle name="20% - Accent6 2 3 2 2 3" xfId="11339" xr:uid="{06EE1820-B442-4E83-A53E-E9C7AF399345}"/>
    <cellStyle name="20% - Accent6 2 3 2 3" xfId="4962" xr:uid="{00000000-0005-0000-0000-00004F030000}"/>
    <cellStyle name="20% - Accent6 2 3 2 3 2" xfId="13412" xr:uid="{29931D01-E60B-4F69-B962-7E42C8B95C61}"/>
    <cellStyle name="20% - Accent6 2 3 2 4" xfId="9194" xr:uid="{19EAA636-2D5C-4AAF-BA7A-B6E0946FCFEF}"/>
    <cellStyle name="20% - Accent6 2 3 3" xfId="1067" xr:uid="{00000000-0005-0000-0000-000050030000}"/>
    <cellStyle name="20% - Accent6 2 3 3 2" xfId="3298" xr:uid="{00000000-0005-0000-0000-000051030000}"/>
    <cellStyle name="20% - Accent6 2 3 3 2 2" xfId="7520" xr:uid="{00000000-0005-0000-0000-000052030000}"/>
    <cellStyle name="20% - Accent6 2 3 3 2 2 2" xfId="15970" xr:uid="{93753AFA-60D4-41AD-A258-B0861E203607}"/>
    <cellStyle name="20% - Accent6 2 3 3 2 3" xfId="11752" xr:uid="{951A4000-99D0-47B4-AE91-B208055BF294}"/>
    <cellStyle name="20% - Accent6 2 3 3 3" xfId="5375" xr:uid="{00000000-0005-0000-0000-000053030000}"/>
    <cellStyle name="20% - Accent6 2 3 3 3 2" xfId="13825" xr:uid="{92D241F9-A4C4-4B87-9296-437AC8CFD015}"/>
    <cellStyle name="20% - Accent6 2 3 3 4" xfId="9607" xr:uid="{CA7A6784-4881-4F91-99DC-4CF0CD00C0E5}"/>
    <cellStyle name="20% - Accent6 2 3 4" xfId="1481" xr:uid="{00000000-0005-0000-0000-000054030000}"/>
    <cellStyle name="20% - Accent6 2 3 4 2" xfId="3711" xr:uid="{00000000-0005-0000-0000-000055030000}"/>
    <cellStyle name="20% - Accent6 2 3 4 2 2" xfId="7933" xr:uid="{00000000-0005-0000-0000-000056030000}"/>
    <cellStyle name="20% - Accent6 2 3 4 2 2 2" xfId="16383" xr:uid="{AED0D57A-2630-4284-B83F-B7F7A588989D}"/>
    <cellStyle name="20% - Accent6 2 3 4 2 3" xfId="12165" xr:uid="{463E7C2A-6B5D-4505-B350-11A5B48E5799}"/>
    <cellStyle name="20% - Accent6 2 3 4 3" xfId="5788" xr:uid="{00000000-0005-0000-0000-000057030000}"/>
    <cellStyle name="20% - Accent6 2 3 4 3 2" xfId="14238" xr:uid="{10C98738-0DCF-43C8-98FD-2DC9C4DE14A9}"/>
    <cellStyle name="20% - Accent6 2 3 4 4" xfId="10020" xr:uid="{85AE7F12-F603-491D-840F-ABCAFC6C8C39}"/>
    <cellStyle name="20% - Accent6 2 3 5" xfId="1895" xr:uid="{00000000-0005-0000-0000-000058030000}"/>
    <cellStyle name="20% - Accent6 2 3 5 2" xfId="4124" xr:uid="{00000000-0005-0000-0000-000059030000}"/>
    <cellStyle name="20% - Accent6 2 3 5 2 2" xfId="8346" xr:uid="{00000000-0005-0000-0000-00005A030000}"/>
    <cellStyle name="20% - Accent6 2 3 5 2 2 2" xfId="16796" xr:uid="{7C02C79B-496B-41C8-A9E5-B2731B03B9EE}"/>
    <cellStyle name="20% - Accent6 2 3 5 2 3" xfId="12578" xr:uid="{D69AB674-89BA-4D6C-B368-D9D429BD0A4E}"/>
    <cellStyle name="20% - Accent6 2 3 5 3" xfId="6201" xr:uid="{00000000-0005-0000-0000-00005B030000}"/>
    <cellStyle name="20% - Accent6 2 3 5 3 2" xfId="14651" xr:uid="{44CA4980-9EAC-40F8-B36E-0E7E21574941}"/>
    <cellStyle name="20% - Accent6 2 3 5 4" xfId="10433" xr:uid="{ECE68E18-1932-4DFC-A564-D2851DC6C2B7}"/>
    <cellStyle name="20% - Accent6 2 3 6" xfId="2308" xr:uid="{00000000-0005-0000-0000-00005C030000}"/>
    <cellStyle name="20% - Accent6 2 3 6 2" xfId="6614" xr:uid="{00000000-0005-0000-0000-00005D030000}"/>
    <cellStyle name="20% - Accent6 2 3 6 2 2" xfId="15064" xr:uid="{C41A0F73-E99F-48BC-AAC3-78115549CA84}"/>
    <cellStyle name="20% - Accent6 2 3 6 3" xfId="10846" xr:uid="{FEEB7BF6-1C54-47C2-B9B3-288447F850D5}"/>
    <cellStyle name="20% - Accent6 2 3 7" xfId="4548" xr:uid="{00000000-0005-0000-0000-00005E030000}"/>
    <cellStyle name="20% - Accent6 2 3 7 2" xfId="12998" xr:uid="{2D5D98E7-93D1-4BBD-ACB2-0CFDE7065397}"/>
    <cellStyle name="20% - Accent6 2 3 8" xfId="8780" xr:uid="{B9A7C2BA-E7F8-4253-9EE0-62F7B257F2C9}"/>
    <cellStyle name="20% - Accent6 2 4" xfId="611" xr:uid="{00000000-0005-0000-0000-00005F030000}"/>
    <cellStyle name="20% - Accent6 2 4 2" xfId="2882" xr:uid="{00000000-0005-0000-0000-000060030000}"/>
    <cellStyle name="20% - Accent6 2 4 2 2" xfId="7104" xr:uid="{00000000-0005-0000-0000-000061030000}"/>
    <cellStyle name="20% - Accent6 2 4 2 2 2" xfId="15554" xr:uid="{52DC460A-FCAA-4BAD-8228-02B34D5FBD53}"/>
    <cellStyle name="20% - Accent6 2 4 2 3" xfId="11336" xr:uid="{7DEA43D5-5C1F-43E6-9C79-9EA4005003B0}"/>
    <cellStyle name="20% - Accent6 2 4 3" xfId="4959" xr:uid="{00000000-0005-0000-0000-000062030000}"/>
    <cellStyle name="20% - Accent6 2 4 3 2" xfId="13409" xr:uid="{CE77320F-D0F6-410B-AB3E-DC978916F80D}"/>
    <cellStyle name="20% - Accent6 2 4 4" xfId="9191" xr:uid="{62AA0A88-F6C7-43BF-A1B2-35CE9B01619D}"/>
    <cellStyle name="20% - Accent6 2 5" xfId="1064" xr:uid="{00000000-0005-0000-0000-000063030000}"/>
    <cellStyle name="20% - Accent6 2 5 2" xfId="3295" xr:uid="{00000000-0005-0000-0000-000064030000}"/>
    <cellStyle name="20% - Accent6 2 5 2 2" xfId="7517" xr:uid="{00000000-0005-0000-0000-000065030000}"/>
    <cellStyle name="20% - Accent6 2 5 2 2 2" xfId="15967" xr:uid="{81C1CA04-A5F2-4367-AC83-55C3EC2DB911}"/>
    <cellStyle name="20% - Accent6 2 5 2 3" xfId="11749" xr:uid="{4A8BE68C-5FCD-4B8A-8A5D-36BB36E0E9E5}"/>
    <cellStyle name="20% - Accent6 2 5 3" xfId="5372" xr:uid="{00000000-0005-0000-0000-000066030000}"/>
    <cellStyle name="20% - Accent6 2 5 3 2" xfId="13822" xr:uid="{BD638B34-3040-460C-BB02-3346EF092303}"/>
    <cellStyle name="20% - Accent6 2 5 4" xfId="9604" xr:uid="{E5D32A8A-016E-4024-9F27-D319277C4F76}"/>
    <cellStyle name="20% - Accent6 2 6" xfId="1478" xr:uid="{00000000-0005-0000-0000-000067030000}"/>
    <cellStyle name="20% - Accent6 2 6 2" xfId="3708" xr:uid="{00000000-0005-0000-0000-000068030000}"/>
    <cellStyle name="20% - Accent6 2 6 2 2" xfId="7930" xr:uid="{00000000-0005-0000-0000-000069030000}"/>
    <cellStyle name="20% - Accent6 2 6 2 2 2" xfId="16380" xr:uid="{F599D7AF-598E-4292-87B6-100097A3D0E8}"/>
    <cellStyle name="20% - Accent6 2 6 2 3" xfId="12162" xr:uid="{0A1406C4-DBB0-4866-A630-ED7962AE765A}"/>
    <cellStyle name="20% - Accent6 2 6 3" xfId="5785" xr:uid="{00000000-0005-0000-0000-00006A030000}"/>
    <cellStyle name="20% - Accent6 2 6 3 2" xfId="14235" xr:uid="{D7E0685C-A757-499A-B8F4-6935E5AE815A}"/>
    <cellStyle name="20% - Accent6 2 6 4" xfId="10017" xr:uid="{2E9A1E86-381E-492F-A9C2-145E61ECD35D}"/>
    <cellStyle name="20% - Accent6 2 7" xfId="1892" xr:uid="{00000000-0005-0000-0000-00006B030000}"/>
    <cellStyle name="20% - Accent6 2 7 2" xfId="4121" xr:uid="{00000000-0005-0000-0000-00006C030000}"/>
    <cellStyle name="20% - Accent6 2 7 2 2" xfId="8343" xr:uid="{00000000-0005-0000-0000-00006D030000}"/>
    <cellStyle name="20% - Accent6 2 7 2 2 2" xfId="16793" xr:uid="{6D2EA17C-A9DA-4FBC-8750-896BEFDE3003}"/>
    <cellStyle name="20% - Accent6 2 7 2 3" xfId="12575" xr:uid="{7538ADCD-5EEF-4A0D-9A28-EBADB5585C81}"/>
    <cellStyle name="20% - Accent6 2 7 3" xfId="6198" xr:uid="{00000000-0005-0000-0000-00006E030000}"/>
    <cellStyle name="20% - Accent6 2 7 3 2" xfId="14648" xr:uid="{52105339-D614-4DFE-BA80-6833897FAA29}"/>
    <cellStyle name="20% - Accent6 2 7 4" xfId="10430" xr:uid="{4A176F18-A38D-455F-B600-23F793FCD137}"/>
    <cellStyle name="20% - Accent6 2 8" xfId="2305" xr:uid="{00000000-0005-0000-0000-00006F030000}"/>
    <cellStyle name="20% - Accent6 2 8 2" xfId="6611" xr:uid="{00000000-0005-0000-0000-000070030000}"/>
    <cellStyle name="20% - Accent6 2 8 2 2" xfId="15061" xr:uid="{2AFC6DD8-D58F-409F-8519-B1C41C21D7E7}"/>
    <cellStyle name="20% - Accent6 2 8 3" xfId="10843" xr:uid="{2BB2B83C-B466-42A6-A408-42FD6323C6BD}"/>
    <cellStyle name="20% - Accent6 2 9" xfId="4545" xr:uid="{00000000-0005-0000-0000-000071030000}"/>
    <cellStyle name="20% - Accent6 2 9 2" xfId="12995" xr:uid="{CABE2B12-3FDD-4938-BB9E-6875EC1544BF}"/>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2 2 2" xfId="15559" xr:uid="{4D60F67D-F5A1-47B9-B8DB-F46AC6A2342A}"/>
    <cellStyle name="20% - Accent6 3 2 2 2 3" xfId="11341" xr:uid="{FF153E62-FEA2-4693-8BC9-BBFE53777100}"/>
    <cellStyle name="20% - Accent6 3 2 2 3" xfId="4964" xr:uid="{00000000-0005-0000-0000-000077030000}"/>
    <cellStyle name="20% - Accent6 3 2 2 3 2" xfId="13414" xr:uid="{FA770FF0-E115-4A63-B59A-54F60B61BFE8}"/>
    <cellStyle name="20% - Accent6 3 2 2 4" xfId="9196" xr:uid="{C172CD1F-F6C1-4487-8F11-5EBF517D1A28}"/>
    <cellStyle name="20% - Accent6 3 2 3" xfId="1069" xr:uid="{00000000-0005-0000-0000-000078030000}"/>
    <cellStyle name="20% - Accent6 3 2 3 2" xfId="3300" xr:uid="{00000000-0005-0000-0000-000079030000}"/>
    <cellStyle name="20% - Accent6 3 2 3 2 2" xfId="7522" xr:uid="{00000000-0005-0000-0000-00007A030000}"/>
    <cellStyle name="20% - Accent6 3 2 3 2 2 2" xfId="15972" xr:uid="{C421155A-B4DC-46ED-AFFB-6F4556E29923}"/>
    <cellStyle name="20% - Accent6 3 2 3 2 3" xfId="11754" xr:uid="{5CB0DF99-7B52-4C96-A093-CEF554A83B86}"/>
    <cellStyle name="20% - Accent6 3 2 3 3" xfId="5377" xr:uid="{00000000-0005-0000-0000-00007B030000}"/>
    <cellStyle name="20% - Accent6 3 2 3 3 2" xfId="13827" xr:uid="{A93FC317-A0DF-4690-BC17-5A94B2F130DC}"/>
    <cellStyle name="20% - Accent6 3 2 3 4" xfId="9609" xr:uid="{73831506-5ED1-4258-A78B-3875A7374BB2}"/>
    <cellStyle name="20% - Accent6 3 2 4" xfId="1483" xr:uid="{00000000-0005-0000-0000-00007C030000}"/>
    <cellStyle name="20% - Accent6 3 2 4 2" xfId="3713" xr:uid="{00000000-0005-0000-0000-00007D030000}"/>
    <cellStyle name="20% - Accent6 3 2 4 2 2" xfId="7935" xr:uid="{00000000-0005-0000-0000-00007E030000}"/>
    <cellStyle name="20% - Accent6 3 2 4 2 2 2" xfId="16385" xr:uid="{82741A9D-FBFA-4ED4-A84E-58691C293392}"/>
    <cellStyle name="20% - Accent6 3 2 4 2 3" xfId="12167" xr:uid="{5BADC122-02F2-451F-BACF-2801EE38A3AC}"/>
    <cellStyle name="20% - Accent6 3 2 4 3" xfId="5790" xr:uid="{00000000-0005-0000-0000-00007F030000}"/>
    <cellStyle name="20% - Accent6 3 2 4 3 2" xfId="14240" xr:uid="{66CC8603-B034-453E-9629-DCC4ABAE27E6}"/>
    <cellStyle name="20% - Accent6 3 2 4 4" xfId="10022" xr:uid="{B8D58F59-B211-4749-AA2A-519C143BEBED}"/>
    <cellStyle name="20% - Accent6 3 2 5" xfId="1897" xr:uid="{00000000-0005-0000-0000-000080030000}"/>
    <cellStyle name="20% - Accent6 3 2 5 2" xfId="4126" xr:uid="{00000000-0005-0000-0000-000081030000}"/>
    <cellStyle name="20% - Accent6 3 2 5 2 2" xfId="8348" xr:uid="{00000000-0005-0000-0000-000082030000}"/>
    <cellStyle name="20% - Accent6 3 2 5 2 2 2" xfId="16798" xr:uid="{508DA556-253D-4312-A052-21877F6CFCDB}"/>
    <cellStyle name="20% - Accent6 3 2 5 2 3" xfId="12580" xr:uid="{A3B3E799-C48D-4511-A2D7-7CE7A6C0F5F1}"/>
    <cellStyle name="20% - Accent6 3 2 5 3" xfId="6203" xr:uid="{00000000-0005-0000-0000-000083030000}"/>
    <cellStyle name="20% - Accent6 3 2 5 3 2" xfId="14653" xr:uid="{626EBC26-14D0-474D-A257-E7B45F536B63}"/>
    <cellStyle name="20% - Accent6 3 2 5 4" xfId="10435" xr:uid="{D84296BA-D877-481F-A5CB-5F0C7973E149}"/>
    <cellStyle name="20% - Accent6 3 2 6" xfId="2310" xr:uid="{00000000-0005-0000-0000-000084030000}"/>
    <cellStyle name="20% - Accent6 3 2 6 2" xfId="6616" xr:uid="{00000000-0005-0000-0000-000085030000}"/>
    <cellStyle name="20% - Accent6 3 2 6 2 2" xfId="15066" xr:uid="{58FDBD53-49E6-4B4A-9AD7-FE9DAC5D993A}"/>
    <cellStyle name="20% - Accent6 3 2 6 3" xfId="10848" xr:uid="{9BFFCD6C-D07B-4D9D-99F0-48BB5A029933}"/>
    <cellStyle name="20% - Accent6 3 2 7" xfId="4550" xr:uid="{00000000-0005-0000-0000-000086030000}"/>
    <cellStyle name="20% - Accent6 3 2 7 2" xfId="13000" xr:uid="{4EA198D8-2B79-48BA-80FA-1C50393FE3B5}"/>
    <cellStyle name="20% - Accent6 3 2 8" xfId="8782" xr:uid="{12548380-0E47-4388-A03C-437369E238A8}"/>
    <cellStyle name="20% - Accent6 3 3" xfId="615" xr:uid="{00000000-0005-0000-0000-000087030000}"/>
    <cellStyle name="20% - Accent6 3 3 2" xfId="2886" xr:uid="{00000000-0005-0000-0000-000088030000}"/>
    <cellStyle name="20% - Accent6 3 3 2 2" xfId="7108" xr:uid="{00000000-0005-0000-0000-000089030000}"/>
    <cellStyle name="20% - Accent6 3 3 2 2 2" xfId="15558" xr:uid="{D32BAD7C-074B-4AD4-BF6D-FDF5C265D181}"/>
    <cellStyle name="20% - Accent6 3 3 2 3" xfId="11340" xr:uid="{93FF476A-3806-4CDF-A3E2-D485DD138B6E}"/>
    <cellStyle name="20% - Accent6 3 3 3" xfId="4963" xr:uid="{00000000-0005-0000-0000-00008A030000}"/>
    <cellStyle name="20% - Accent6 3 3 3 2" xfId="13413" xr:uid="{89C728F2-7AFD-46D0-8E97-70B5CF5A9963}"/>
    <cellStyle name="20% - Accent6 3 3 4" xfId="9195" xr:uid="{646A93A0-DB46-4F41-A3F6-4E06DB1CFADE}"/>
    <cellStyle name="20% - Accent6 3 4" xfId="1068" xr:uid="{00000000-0005-0000-0000-00008B030000}"/>
    <cellStyle name="20% - Accent6 3 4 2" xfId="3299" xr:uid="{00000000-0005-0000-0000-00008C030000}"/>
    <cellStyle name="20% - Accent6 3 4 2 2" xfId="7521" xr:uid="{00000000-0005-0000-0000-00008D030000}"/>
    <cellStyle name="20% - Accent6 3 4 2 2 2" xfId="15971" xr:uid="{085576AE-4B52-4BC4-B641-5082AF3E8FC0}"/>
    <cellStyle name="20% - Accent6 3 4 2 3" xfId="11753" xr:uid="{F9EF14A1-0F9C-45E8-A7FC-B7231360931A}"/>
    <cellStyle name="20% - Accent6 3 4 3" xfId="5376" xr:uid="{00000000-0005-0000-0000-00008E030000}"/>
    <cellStyle name="20% - Accent6 3 4 3 2" xfId="13826" xr:uid="{0B255EF6-F832-4DCF-831A-42D3B607DC7C}"/>
    <cellStyle name="20% - Accent6 3 4 4" xfId="9608" xr:uid="{48DC9BDB-B320-49A7-A176-59B6F47EFF26}"/>
    <cellStyle name="20% - Accent6 3 5" xfId="1482" xr:uid="{00000000-0005-0000-0000-00008F030000}"/>
    <cellStyle name="20% - Accent6 3 5 2" xfId="3712" xr:uid="{00000000-0005-0000-0000-000090030000}"/>
    <cellStyle name="20% - Accent6 3 5 2 2" xfId="7934" xr:uid="{00000000-0005-0000-0000-000091030000}"/>
    <cellStyle name="20% - Accent6 3 5 2 2 2" xfId="16384" xr:uid="{3CB12DEC-33F3-4B9E-892E-1FB87D9EC17D}"/>
    <cellStyle name="20% - Accent6 3 5 2 3" xfId="12166" xr:uid="{E770DD27-C3FD-43A1-9156-B7B3938B35FF}"/>
    <cellStyle name="20% - Accent6 3 5 3" xfId="5789" xr:uid="{00000000-0005-0000-0000-000092030000}"/>
    <cellStyle name="20% - Accent6 3 5 3 2" xfId="14239" xr:uid="{454A96CF-5143-4D27-B616-27D56BF06194}"/>
    <cellStyle name="20% - Accent6 3 5 4" xfId="10021" xr:uid="{7E264750-93F1-4832-A95A-E5B8EB1D16B4}"/>
    <cellStyle name="20% - Accent6 3 6" xfId="1896" xr:uid="{00000000-0005-0000-0000-000093030000}"/>
    <cellStyle name="20% - Accent6 3 6 2" xfId="4125" xr:uid="{00000000-0005-0000-0000-000094030000}"/>
    <cellStyle name="20% - Accent6 3 6 2 2" xfId="8347" xr:uid="{00000000-0005-0000-0000-000095030000}"/>
    <cellStyle name="20% - Accent6 3 6 2 2 2" xfId="16797" xr:uid="{C6BDCEAD-3343-4024-9B14-E3408028F426}"/>
    <cellStyle name="20% - Accent6 3 6 2 3" xfId="12579" xr:uid="{4E03F3BC-70DC-4900-A970-1EE08A00DC69}"/>
    <cellStyle name="20% - Accent6 3 6 3" xfId="6202" xr:uid="{00000000-0005-0000-0000-000096030000}"/>
    <cellStyle name="20% - Accent6 3 6 3 2" xfId="14652" xr:uid="{FA3ACAA8-9AF0-448C-886B-471B795B5207}"/>
    <cellStyle name="20% - Accent6 3 6 4" xfId="10434" xr:uid="{55ED2A0B-C915-459B-A9A7-5135E1170700}"/>
    <cellStyle name="20% - Accent6 3 7" xfId="2309" xr:uid="{00000000-0005-0000-0000-000097030000}"/>
    <cellStyle name="20% - Accent6 3 7 2" xfId="6615" xr:uid="{00000000-0005-0000-0000-000098030000}"/>
    <cellStyle name="20% - Accent6 3 7 2 2" xfId="15065" xr:uid="{0A33E332-E38B-4FA1-BA06-B51580AA7718}"/>
    <cellStyle name="20% - Accent6 3 7 3" xfId="10847" xr:uid="{F5CB51CD-8E20-4D5E-BD60-6093096F6A01}"/>
    <cellStyle name="20% - Accent6 3 8" xfId="4549" xr:uid="{00000000-0005-0000-0000-000099030000}"/>
    <cellStyle name="20% - Accent6 3 8 2" xfId="12999" xr:uid="{47F0EBF6-8290-4104-8CB2-E7B952D5C2B0}"/>
    <cellStyle name="20% - Accent6 3 9" xfId="8781" xr:uid="{06A7FD59-9219-481E-858F-46E9FC4C5051}"/>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2 2 2" xfId="15560" xr:uid="{3B562473-37DD-4FF8-9FA3-6162E5F09D7A}"/>
    <cellStyle name="20% - Accent6 4 2 2 3" xfId="11342" xr:uid="{F89BC96A-3FA9-440A-8025-C562BFD80EE3}"/>
    <cellStyle name="20% - Accent6 4 2 3" xfId="4965" xr:uid="{00000000-0005-0000-0000-00009E030000}"/>
    <cellStyle name="20% - Accent6 4 2 3 2" xfId="13415" xr:uid="{8994596B-EC91-46BF-B1AC-C927EAAE1B2C}"/>
    <cellStyle name="20% - Accent6 4 2 4" xfId="9197" xr:uid="{9530E969-BE53-4255-B793-B50F4CB25344}"/>
    <cellStyle name="20% - Accent6 4 3" xfId="1070" xr:uid="{00000000-0005-0000-0000-00009F030000}"/>
    <cellStyle name="20% - Accent6 4 3 2" xfId="3301" xr:uid="{00000000-0005-0000-0000-0000A0030000}"/>
    <cellStyle name="20% - Accent6 4 3 2 2" xfId="7523" xr:uid="{00000000-0005-0000-0000-0000A1030000}"/>
    <cellStyle name="20% - Accent6 4 3 2 2 2" xfId="15973" xr:uid="{5A8859ED-257E-4A89-B258-856C345EC724}"/>
    <cellStyle name="20% - Accent6 4 3 2 3" xfId="11755" xr:uid="{703B629F-6FC5-4934-B6FF-9EDE724D8A83}"/>
    <cellStyle name="20% - Accent6 4 3 3" xfId="5378" xr:uid="{00000000-0005-0000-0000-0000A2030000}"/>
    <cellStyle name="20% - Accent6 4 3 3 2" xfId="13828" xr:uid="{68EC8E4F-64E8-4AD3-A09B-CFF53D61E95C}"/>
    <cellStyle name="20% - Accent6 4 3 4" xfId="9610" xr:uid="{DF9AE760-DFD5-4C68-86E4-25CE7B6AD29E}"/>
    <cellStyle name="20% - Accent6 4 4" xfId="1484" xr:uid="{00000000-0005-0000-0000-0000A3030000}"/>
    <cellStyle name="20% - Accent6 4 4 2" xfId="3714" xr:uid="{00000000-0005-0000-0000-0000A4030000}"/>
    <cellStyle name="20% - Accent6 4 4 2 2" xfId="7936" xr:uid="{00000000-0005-0000-0000-0000A5030000}"/>
    <cellStyle name="20% - Accent6 4 4 2 2 2" xfId="16386" xr:uid="{F0A68A0E-FF8B-4C05-B73E-C799CC91AFC6}"/>
    <cellStyle name="20% - Accent6 4 4 2 3" xfId="12168" xr:uid="{F3619D19-ABF1-4F18-845B-071607EE4709}"/>
    <cellStyle name="20% - Accent6 4 4 3" xfId="5791" xr:uid="{00000000-0005-0000-0000-0000A6030000}"/>
    <cellStyle name="20% - Accent6 4 4 3 2" xfId="14241" xr:uid="{36452F3F-04E3-4947-B084-4D32C31E9CF4}"/>
    <cellStyle name="20% - Accent6 4 4 4" xfId="10023" xr:uid="{AA9D190F-6272-45DA-9E3D-765A674C42A4}"/>
    <cellStyle name="20% - Accent6 4 5" xfId="1898" xr:uid="{00000000-0005-0000-0000-0000A7030000}"/>
    <cellStyle name="20% - Accent6 4 5 2" xfId="4127" xr:uid="{00000000-0005-0000-0000-0000A8030000}"/>
    <cellStyle name="20% - Accent6 4 5 2 2" xfId="8349" xr:uid="{00000000-0005-0000-0000-0000A9030000}"/>
    <cellStyle name="20% - Accent6 4 5 2 2 2" xfId="16799" xr:uid="{B304BCC6-7C1D-487A-ABA9-2DE7B243A46A}"/>
    <cellStyle name="20% - Accent6 4 5 2 3" xfId="12581" xr:uid="{59B58045-99D7-4881-ADD9-969B82118B7B}"/>
    <cellStyle name="20% - Accent6 4 5 3" xfId="6204" xr:uid="{00000000-0005-0000-0000-0000AA030000}"/>
    <cellStyle name="20% - Accent6 4 5 3 2" xfId="14654" xr:uid="{309C30C2-9BE6-46DF-ABA0-A0C4C14F5211}"/>
    <cellStyle name="20% - Accent6 4 5 4" xfId="10436" xr:uid="{7D91F559-3CDB-4C3C-94AC-D42D995791F0}"/>
    <cellStyle name="20% - Accent6 4 6" xfId="2311" xr:uid="{00000000-0005-0000-0000-0000AB030000}"/>
    <cellStyle name="20% - Accent6 4 6 2" xfId="6617" xr:uid="{00000000-0005-0000-0000-0000AC030000}"/>
    <cellStyle name="20% - Accent6 4 6 2 2" xfId="15067" xr:uid="{EE8DB8E9-45B2-495C-B9E3-FCF366378ECC}"/>
    <cellStyle name="20% - Accent6 4 6 3" xfId="10849" xr:uid="{94459831-A8CF-4F6C-988A-EAD7B8838152}"/>
    <cellStyle name="20% - Accent6 4 7" xfId="4551" xr:uid="{00000000-0005-0000-0000-0000AD030000}"/>
    <cellStyle name="20% - Accent6 4 7 2" xfId="13001" xr:uid="{9BACF2C6-718F-4EEF-A92E-D0919F4D5A9A}"/>
    <cellStyle name="20% - Accent6 4 8" xfId="8783" xr:uid="{03FD9C08-253A-42BB-BC46-911857376AF8}"/>
    <cellStyle name="20% - Accent6 5" xfId="610" xr:uid="{00000000-0005-0000-0000-0000AE030000}"/>
    <cellStyle name="20% - Accent6 5 2" xfId="2881" xr:uid="{00000000-0005-0000-0000-0000AF030000}"/>
    <cellStyle name="20% - Accent6 5 2 2" xfId="7103" xr:uid="{00000000-0005-0000-0000-0000B0030000}"/>
    <cellStyle name="20% - Accent6 5 2 2 2" xfId="15553" xr:uid="{046FBAEC-1DAF-413C-8C4A-EC88E9B5E1F7}"/>
    <cellStyle name="20% - Accent6 5 2 3" xfId="11335" xr:uid="{C65E8E1A-9F80-44C6-948E-101E69CD2D7D}"/>
    <cellStyle name="20% - Accent6 5 3" xfId="4958" xr:uid="{00000000-0005-0000-0000-0000B1030000}"/>
    <cellStyle name="20% - Accent6 5 3 2" xfId="13408" xr:uid="{40C22A19-A115-4E7A-9C07-4E383E04790C}"/>
    <cellStyle name="20% - Accent6 5 4" xfId="9190" xr:uid="{2E1124EC-7051-4D6C-9FF3-87BBD33077FD}"/>
    <cellStyle name="20% - Accent6 6" xfId="1063" xr:uid="{00000000-0005-0000-0000-0000B2030000}"/>
    <cellStyle name="20% - Accent6 6 2" xfId="3294" xr:uid="{00000000-0005-0000-0000-0000B3030000}"/>
    <cellStyle name="20% - Accent6 6 2 2" xfId="7516" xr:uid="{00000000-0005-0000-0000-0000B4030000}"/>
    <cellStyle name="20% - Accent6 6 2 2 2" xfId="15966" xr:uid="{DCE43FF1-8954-4426-90C7-E065555A445A}"/>
    <cellStyle name="20% - Accent6 6 2 3" xfId="11748" xr:uid="{BA11BEBE-4C9A-44BB-B194-49AA5375AC86}"/>
    <cellStyle name="20% - Accent6 6 3" xfId="5371" xr:uid="{00000000-0005-0000-0000-0000B5030000}"/>
    <cellStyle name="20% - Accent6 6 3 2" xfId="13821" xr:uid="{B2D1A6A1-5498-4F2A-B25B-6C5FAE4EEAB0}"/>
    <cellStyle name="20% - Accent6 6 4" xfId="9603" xr:uid="{029B82E7-FD65-4490-8CF5-C2EE9DE86E4F}"/>
    <cellStyle name="20% - Accent6 7" xfId="1477" xr:uid="{00000000-0005-0000-0000-0000B6030000}"/>
    <cellStyle name="20% - Accent6 7 2" xfId="3707" xr:uid="{00000000-0005-0000-0000-0000B7030000}"/>
    <cellStyle name="20% - Accent6 7 2 2" xfId="7929" xr:uid="{00000000-0005-0000-0000-0000B8030000}"/>
    <cellStyle name="20% - Accent6 7 2 2 2" xfId="16379" xr:uid="{34CC4F7A-074F-468F-9F16-2AB43972C09C}"/>
    <cellStyle name="20% - Accent6 7 2 3" xfId="12161" xr:uid="{EB07D3FD-A6F9-41C7-8BFE-FA0F18A1140C}"/>
    <cellStyle name="20% - Accent6 7 3" xfId="5784" xr:uid="{00000000-0005-0000-0000-0000B9030000}"/>
    <cellStyle name="20% - Accent6 7 3 2" xfId="14234" xr:uid="{D480EA98-36D1-47F9-9F21-49319E23609C}"/>
    <cellStyle name="20% - Accent6 7 4" xfId="10016" xr:uid="{D7147792-6B76-4FFE-BBE6-C72387EBF68A}"/>
    <cellStyle name="20% - Accent6 8" xfId="1891" xr:uid="{00000000-0005-0000-0000-0000BA030000}"/>
    <cellStyle name="20% - Accent6 8 2" xfId="4120" xr:uid="{00000000-0005-0000-0000-0000BB030000}"/>
    <cellStyle name="20% - Accent6 8 2 2" xfId="8342" xr:uid="{00000000-0005-0000-0000-0000BC030000}"/>
    <cellStyle name="20% - Accent6 8 2 2 2" xfId="16792" xr:uid="{ECE3A91D-B28E-4115-97BB-C880C3B5752C}"/>
    <cellStyle name="20% - Accent6 8 2 3" xfId="12574" xr:uid="{206ED341-18BA-41AF-9250-EB2D4BC28F20}"/>
    <cellStyle name="20% - Accent6 8 3" xfId="6197" xr:uid="{00000000-0005-0000-0000-0000BD030000}"/>
    <cellStyle name="20% - Accent6 8 3 2" xfId="14647" xr:uid="{EAA180E6-E345-46DE-9891-342ABD0A4544}"/>
    <cellStyle name="20% - Accent6 8 4" xfId="10429" xr:uid="{49BBDC52-34D8-4F8C-8997-C3CC9507230D}"/>
    <cellStyle name="20% - Accent6 9" xfId="2304" xr:uid="{00000000-0005-0000-0000-0000BE030000}"/>
    <cellStyle name="20% - Accent6 9 2" xfId="6610" xr:uid="{00000000-0005-0000-0000-0000BF030000}"/>
    <cellStyle name="20% - Accent6 9 2 2" xfId="15060" xr:uid="{3B5A137A-5761-41B5-A5F3-BAA60D5CAEDD}"/>
    <cellStyle name="20% - Accent6 9 3" xfId="10842" xr:uid="{2E99BB57-016F-4725-A4D6-38F98BA68647}"/>
    <cellStyle name="40% - Accent1" xfId="49" builtinId="31" customBuiltin="1"/>
    <cellStyle name="40% - Accent1 10" xfId="4552" xr:uid="{00000000-0005-0000-0000-0000C1030000}"/>
    <cellStyle name="40% - Accent1 10 2" xfId="13002" xr:uid="{3148F542-0333-46A1-BE9D-6ECD122863A6}"/>
    <cellStyle name="40% - Accent1 11" xfId="8784" xr:uid="{43B7AC31-4047-4B67-9A48-C3722B34197A}"/>
    <cellStyle name="40% - Accent1 2" xfId="50" xr:uid="{00000000-0005-0000-0000-0000C2030000}"/>
    <cellStyle name="40% - Accent1 2 10" xfId="8785" xr:uid="{09298160-9F63-47B3-BB8A-4AEC4701ADEB}"/>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2 2 2" xfId="15564" xr:uid="{32A9462E-3BA9-499E-8BBA-F3EDA0096821}"/>
    <cellStyle name="40% - Accent1 2 2 2 2 2 3" xfId="11346" xr:uid="{152E1143-9D43-4D22-9A92-9AC807DCEFE9}"/>
    <cellStyle name="40% - Accent1 2 2 2 2 3" xfId="4969" xr:uid="{00000000-0005-0000-0000-0000C8030000}"/>
    <cellStyle name="40% - Accent1 2 2 2 2 3 2" xfId="13419" xr:uid="{65A71E5E-A793-4A69-B4F5-E302A6D2230C}"/>
    <cellStyle name="40% - Accent1 2 2 2 2 4" xfId="9201" xr:uid="{FB14EFD0-9059-4BB8-AEE6-58A3DDD2016E}"/>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2 2 2" xfId="15977" xr:uid="{D711E98E-16E3-4816-9EBB-64EF9DA3A62B}"/>
    <cellStyle name="40% - Accent1 2 2 2 3 2 3" xfId="11759" xr:uid="{5B753226-E042-48D0-98E9-7DE66A1FF132}"/>
    <cellStyle name="40% - Accent1 2 2 2 3 3" xfId="5382" xr:uid="{00000000-0005-0000-0000-0000CC030000}"/>
    <cellStyle name="40% - Accent1 2 2 2 3 3 2" xfId="13832" xr:uid="{3FFBC061-B66D-423C-8FD5-F226770352C9}"/>
    <cellStyle name="40% - Accent1 2 2 2 3 4" xfId="9614" xr:uid="{96D8E230-4FBE-4762-930D-86F89ECC838C}"/>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2 2 2" xfId="16390" xr:uid="{788BBC58-8A4D-4421-B143-76C4F2E83760}"/>
    <cellStyle name="40% - Accent1 2 2 2 4 2 3" xfId="12172" xr:uid="{577449E0-4B75-4B60-8C4E-AD1777565088}"/>
    <cellStyle name="40% - Accent1 2 2 2 4 3" xfId="5795" xr:uid="{00000000-0005-0000-0000-0000D0030000}"/>
    <cellStyle name="40% - Accent1 2 2 2 4 3 2" xfId="14245" xr:uid="{005B0040-2255-483B-AFDB-AAAD733AE898}"/>
    <cellStyle name="40% - Accent1 2 2 2 4 4" xfId="10027" xr:uid="{819CE5E1-4B9F-480B-B0C9-1DFC0DE731B6}"/>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2 2 2" xfId="16803" xr:uid="{2BD549E3-C631-4355-A552-A16DE200C8F1}"/>
    <cellStyle name="40% - Accent1 2 2 2 5 2 3" xfId="12585" xr:uid="{55BBC189-444E-439F-B739-5BCB5802548A}"/>
    <cellStyle name="40% - Accent1 2 2 2 5 3" xfId="6208" xr:uid="{00000000-0005-0000-0000-0000D4030000}"/>
    <cellStyle name="40% - Accent1 2 2 2 5 3 2" xfId="14658" xr:uid="{490D5024-1179-4502-AD84-F0404F0B2407}"/>
    <cellStyle name="40% - Accent1 2 2 2 5 4" xfId="10440" xr:uid="{B8750896-C73A-48BA-9A90-77A4875AFF71}"/>
    <cellStyle name="40% - Accent1 2 2 2 6" xfId="2315" xr:uid="{00000000-0005-0000-0000-0000D5030000}"/>
    <cellStyle name="40% - Accent1 2 2 2 6 2" xfId="6621" xr:uid="{00000000-0005-0000-0000-0000D6030000}"/>
    <cellStyle name="40% - Accent1 2 2 2 6 2 2" xfId="15071" xr:uid="{EB415ACA-699F-44AF-B0A8-558ED70656DD}"/>
    <cellStyle name="40% - Accent1 2 2 2 6 3" xfId="10853" xr:uid="{04D3BAE8-58E0-4A60-8FF9-A5F6C871A3DA}"/>
    <cellStyle name="40% - Accent1 2 2 2 7" xfId="4555" xr:uid="{00000000-0005-0000-0000-0000D7030000}"/>
    <cellStyle name="40% - Accent1 2 2 2 7 2" xfId="13005" xr:uid="{16996EF5-A722-4914-A4E1-43445EDF1A73}"/>
    <cellStyle name="40% - Accent1 2 2 2 8" xfId="8787" xr:uid="{87A1BE74-240C-4210-81C9-438882E25503}"/>
    <cellStyle name="40% - Accent1 2 2 3" xfId="620" xr:uid="{00000000-0005-0000-0000-0000D8030000}"/>
    <cellStyle name="40% - Accent1 2 2 3 2" xfId="2891" xr:uid="{00000000-0005-0000-0000-0000D9030000}"/>
    <cellStyle name="40% - Accent1 2 2 3 2 2" xfId="7113" xr:uid="{00000000-0005-0000-0000-0000DA030000}"/>
    <cellStyle name="40% - Accent1 2 2 3 2 2 2" xfId="15563" xr:uid="{43F30E00-CF3B-4DE0-BED1-3D3F0E621E05}"/>
    <cellStyle name="40% - Accent1 2 2 3 2 3" xfId="11345" xr:uid="{7BA27492-40D7-4289-9606-E900EE672CD5}"/>
    <cellStyle name="40% - Accent1 2 2 3 3" xfId="4968" xr:uid="{00000000-0005-0000-0000-0000DB030000}"/>
    <cellStyle name="40% - Accent1 2 2 3 3 2" xfId="13418" xr:uid="{E72CD89F-5480-4155-A73D-E4FCCA5A1A66}"/>
    <cellStyle name="40% - Accent1 2 2 3 4" xfId="9200" xr:uid="{3617562C-057C-489E-81B1-12F0F377FE4D}"/>
    <cellStyle name="40% - Accent1 2 2 4" xfId="1073" xr:uid="{00000000-0005-0000-0000-0000DC030000}"/>
    <cellStyle name="40% - Accent1 2 2 4 2" xfId="3304" xr:uid="{00000000-0005-0000-0000-0000DD030000}"/>
    <cellStyle name="40% - Accent1 2 2 4 2 2" xfId="7526" xr:uid="{00000000-0005-0000-0000-0000DE030000}"/>
    <cellStyle name="40% - Accent1 2 2 4 2 2 2" xfId="15976" xr:uid="{12EA4A50-5EA3-4364-9F5E-FE6416CEAED5}"/>
    <cellStyle name="40% - Accent1 2 2 4 2 3" xfId="11758" xr:uid="{149F84CE-B66E-4F2F-89D9-57B3D14746ED}"/>
    <cellStyle name="40% - Accent1 2 2 4 3" xfId="5381" xr:uid="{00000000-0005-0000-0000-0000DF030000}"/>
    <cellStyle name="40% - Accent1 2 2 4 3 2" xfId="13831" xr:uid="{3D8921D0-8ACE-4EB0-819C-D53159127F48}"/>
    <cellStyle name="40% - Accent1 2 2 4 4" xfId="9613" xr:uid="{6AA73596-3F5C-4F06-9B4D-BCF02B346C02}"/>
    <cellStyle name="40% - Accent1 2 2 5" xfId="1487" xr:uid="{00000000-0005-0000-0000-0000E0030000}"/>
    <cellStyle name="40% - Accent1 2 2 5 2" xfId="3717" xr:uid="{00000000-0005-0000-0000-0000E1030000}"/>
    <cellStyle name="40% - Accent1 2 2 5 2 2" xfId="7939" xr:uid="{00000000-0005-0000-0000-0000E2030000}"/>
    <cellStyle name="40% - Accent1 2 2 5 2 2 2" xfId="16389" xr:uid="{BD21852A-5EA1-4F3A-BFA5-D0C7A6F4FE6C}"/>
    <cellStyle name="40% - Accent1 2 2 5 2 3" xfId="12171" xr:uid="{F2223673-DC11-4F59-8F64-B96881AFF92A}"/>
    <cellStyle name="40% - Accent1 2 2 5 3" xfId="5794" xr:uid="{00000000-0005-0000-0000-0000E3030000}"/>
    <cellStyle name="40% - Accent1 2 2 5 3 2" xfId="14244" xr:uid="{49287268-BD5D-430B-93C8-4D24820F28BC}"/>
    <cellStyle name="40% - Accent1 2 2 5 4" xfId="10026" xr:uid="{F52EDC02-DA1F-493A-B4B1-A498CD3AC882}"/>
    <cellStyle name="40% - Accent1 2 2 6" xfId="1901" xr:uid="{00000000-0005-0000-0000-0000E4030000}"/>
    <cellStyle name="40% - Accent1 2 2 6 2" xfId="4130" xr:uid="{00000000-0005-0000-0000-0000E5030000}"/>
    <cellStyle name="40% - Accent1 2 2 6 2 2" xfId="8352" xr:uid="{00000000-0005-0000-0000-0000E6030000}"/>
    <cellStyle name="40% - Accent1 2 2 6 2 2 2" xfId="16802" xr:uid="{884B53E7-C7DB-4A59-9520-818B9E4DDCA8}"/>
    <cellStyle name="40% - Accent1 2 2 6 2 3" xfId="12584" xr:uid="{39F3D51C-36A8-4266-A991-81C53520DD88}"/>
    <cellStyle name="40% - Accent1 2 2 6 3" xfId="6207" xr:uid="{00000000-0005-0000-0000-0000E7030000}"/>
    <cellStyle name="40% - Accent1 2 2 6 3 2" xfId="14657" xr:uid="{23823EFB-79A5-4A37-AD96-78E5A3AC7BCD}"/>
    <cellStyle name="40% - Accent1 2 2 6 4" xfId="10439" xr:uid="{8887E478-4482-446B-9CF9-BEBA478CD4C3}"/>
    <cellStyle name="40% - Accent1 2 2 7" xfId="2314" xr:uid="{00000000-0005-0000-0000-0000E8030000}"/>
    <cellStyle name="40% - Accent1 2 2 7 2" xfId="6620" xr:uid="{00000000-0005-0000-0000-0000E9030000}"/>
    <cellStyle name="40% - Accent1 2 2 7 2 2" xfId="15070" xr:uid="{9EBACA29-E284-4F67-A426-E1155E66CB3B}"/>
    <cellStyle name="40% - Accent1 2 2 7 3" xfId="10852" xr:uid="{6FE6F6D1-5399-4D15-82B2-2F0D662FA0DE}"/>
    <cellStyle name="40% - Accent1 2 2 8" xfId="4554" xr:uid="{00000000-0005-0000-0000-0000EA030000}"/>
    <cellStyle name="40% - Accent1 2 2 8 2" xfId="13004" xr:uid="{70AE9D9A-D3E0-4C1B-96AA-A33E227BBAC7}"/>
    <cellStyle name="40% - Accent1 2 2 9" xfId="8786" xr:uid="{95C55AA7-98BA-4239-8FA2-9624B2DDDF98}"/>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2 2 2" xfId="15565" xr:uid="{81F85F66-BD08-4541-87B2-7B69F8186522}"/>
    <cellStyle name="40% - Accent1 2 3 2 2 3" xfId="11347" xr:uid="{7C670F33-A89D-435B-9EFD-5A6639DF63B1}"/>
    <cellStyle name="40% - Accent1 2 3 2 3" xfId="4970" xr:uid="{00000000-0005-0000-0000-0000EF030000}"/>
    <cellStyle name="40% - Accent1 2 3 2 3 2" xfId="13420" xr:uid="{86905914-1DB9-4912-8C31-4C04B5760C7A}"/>
    <cellStyle name="40% - Accent1 2 3 2 4" xfId="9202" xr:uid="{AA40E670-119F-44E5-BEA6-0F0B470A8285}"/>
    <cellStyle name="40% - Accent1 2 3 3" xfId="1075" xr:uid="{00000000-0005-0000-0000-0000F0030000}"/>
    <cellStyle name="40% - Accent1 2 3 3 2" xfId="3306" xr:uid="{00000000-0005-0000-0000-0000F1030000}"/>
    <cellStyle name="40% - Accent1 2 3 3 2 2" xfId="7528" xr:uid="{00000000-0005-0000-0000-0000F2030000}"/>
    <cellStyle name="40% - Accent1 2 3 3 2 2 2" xfId="15978" xr:uid="{41022484-6686-44F5-BC1B-7E09214B4580}"/>
    <cellStyle name="40% - Accent1 2 3 3 2 3" xfId="11760" xr:uid="{4CE17B53-C2EC-408C-A25D-B022B2E05B24}"/>
    <cellStyle name="40% - Accent1 2 3 3 3" xfId="5383" xr:uid="{00000000-0005-0000-0000-0000F3030000}"/>
    <cellStyle name="40% - Accent1 2 3 3 3 2" xfId="13833" xr:uid="{53CFEAA8-36BB-471C-B256-8D5AD04A137A}"/>
    <cellStyle name="40% - Accent1 2 3 3 4" xfId="9615" xr:uid="{C88A873D-802C-4E5F-BD6D-D3C79F951980}"/>
    <cellStyle name="40% - Accent1 2 3 4" xfId="1489" xr:uid="{00000000-0005-0000-0000-0000F4030000}"/>
    <cellStyle name="40% - Accent1 2 3 4 2" xfId="3719" xr:uid="{00000000-0005-0000-0000-0000F5030000}"/>
    <cellStyle name="40% - Accent1 2 3 4 2 2" xfId="7941" xr:uid="{00000000-0005-0000-0000-0000F6030000}"/>
    <cellStyle name="40% - Accent1 2 3 4 2 2 2" xfId="16391" xr:uid="{31FCD56A-C35E-4195-A08F-B17A771D2865}"/>
    <cellStyle name="40% - Accent1 2 3 4 2 3" xfId="12173" xr:uid="{8DEEC46D-3BAF-4243-9525-D03C5D8D8A54}"/>
    <cellStyle name="40% - Accent1 2 3 4 3" xfId="5796" xr:uid="{00000000-0005-0000-0000-0000F7030000}"/>
    <cellStyle name="40% - Accent1 2 3 4 3 2" xfId="14246" xr:uid="{0E6DA8D8-39C8-4419-88D2-90A1E1C43D89}"/>
    <cellStyle name="40% - Accent1 2 3 4 4" xfId="10028" xr:uid="{213438D1-1F29-4CE9-B322-CE2757BE6A95}"/>
    <cellStyle name="40% - Accent1 2 3 5" xfId="1903" xr:uid="{00000000-0005-0000-0000-0000F8030000}"/>
    <cellStyle name="40% - Accent1 2 3 5 2" xfId="4132" xr:uid="{00000000-0005-0000-0000-0000F9030000}"/>
    <cellStyle name="40% - Accent1 2 3 5 2 2" xfId="8354" xr:uid="{00000000-0005-0000-0000-0000FA030000}"/>
    <cellStyle name="40% - Accent1 2 3 5 2 2 2" xfId="16804" xr:uid="{6A4EC9A1-D996-47B3-BE68-95E385469F93}"/>
    <cellStyle name="40% - Accent1 2 3 5 2 3" xfId="12586" xr:uid="{E920BE6F-55A0-4B27-B13A-FC79C3630076}"/>
    <cellStyle name="40% - Accent1 2 3 5 3" xfId="6209" xr:uid="{00000000-0005-0000-0000-0000FB030000}"/>
    <cellStyle name="40% - Accent1 2 3 5 3 2" xfId="14659" xr:uid="{C5496944-2714-444D-9F36-B4E52F775010}"/>
    <cellStyle name="40% - Accent1 2 3 5 4" xfId="10441" xr:uid="{44F0C0B2-9025-434C-93BB-E0398B08A735}"/>
    <cellStyle name="40% - Accent1 2 3 6" xfId="2316" xr:uid="{00000000-0005-0000-0000-0000FC030000}"/>
    <cellStyle name="40% - Accent1 2 3 6 2" xfId="6622" xr:uid="{00000000-0005-0000-0000-0000FD030000}"/>
    <cellStyle name="40% - Accent1 2 3 6 2 2" xfId="15072" xr:uid="{C4CE7CDE-2911-480C-8DCD-60A920AEDDF3}"/>
    <cellStyle name="40% - Accent1 2 3 6 3" xfId="10854" xr:uid="{C1684B0B-DBAE-4E4B-8B46-2758C0DB63F9}"/>
    <cellStyle name="40% - Accent1 2 3 7" xfId="4556" xr:uid="{00000000-0005-0000-0000-0000FE030000}"/>
    <cellStyle name="40% - Accent1 2 3 7 2" xfId="13006" xr:uid="{A66E8959-C19E-467D-8C05-5834BEAB9065}"/>
    <cellStyle name="40% - Accent1 2 3 8" xfId="8788" xr:uid="{FA8F2B30-26EF-4D0C-AE2F-66AFD3800C76}"/>
    <cellStyle name="40% - Accent1 2 4" xfId="619" xr:uid="{00000000-0005-0000-0000-0000FF030000}"/>
    <cellStyle name="40% - Accent1 2 4 2" xfId="2890" xr:uid="{00000000-0005-0000-0000-000000040000}"/>
    <cellStyle name="40% - Accent1 2 4 2 2" xfId="7112" xr:uid="{00000000-0005-0000-0000-000001040000}"/>
    <cellStyle name="40% - Accent1 2 4 2 2 2" xfId="15562" xr:uid="{53BAE91A-1020-4D1C-87CA-7F7C300445B2}"/>
    <cellStyle name="40% - Accent1 2 4 2 3" xfId="11344" xr:uid="{1C00CBF3-3BB1-4A0D-980E-B569696EB4C2}"/>
    <cellStyle name="40% - Accent1 2 4 3" xfId="4967" xr:uid="{00000000-0005-0000-0000-000002040000}"/>
    <cellStyle name="40% - Accent1 2 4 3 2" xfId="13417" xr:uid="{6496BCBD-A431-4841-8D27-B69193467E09}"/>
    <cellStyle name="40% - Accent1 2 4 4" xfId="9199" xr:uid="{B596929E-7897-4F5B-9C6F-FB0E49AF3634}"/>
    <cellStyle name="40% - Accent1 2 5" xfId="1072" xr:uid="{00000000-0005-0000-0000-000003040000}"/>
    <cellStyle name="40% - Accent1 2 5 2" xfId="3303" xr:uid="{00000000-0005-0000-0000-000004040000}"/>
    <cellStyle name="40% - Accent1 2 5 2 2" xfId="7525" xr:uid="{00000000-0005-0000-0000-000005040000}"/>
    <cellStyle name="40% - Accent1 2 5 2 2 2" xfId="15975" xr:uid="{967D25CA-A718-4F89-BDDD-9EAF00C332C1}"/>
    <cellStyle name="40% - Accent1 2 5 2 3" xfId="11757" xr:uid="{73CEE386-B11C-48CB-8FE1-48C78234B840}"/>
    <cellStyle name="40% - Accent1 2 5 3" xfId="5380" xr:uid="{00000000-0005-0000-0000-000006040000}"/>
    <cellStyle name="40% - Accent1 2 5 3 2" xfId="13830" xr:uid="{6F586D45-E3CD-4D58-85D5-0D4AD6A69ABE}"/>
    <cellStyle name="40% - Accent1 2 5 4" xfId="9612" xr:uid="{3E6C2570-0B53-4DBB-978E-A28A713B34F2}"/>
    <cellStyle name="40% - Accent1 2 6" xfId="1486" xr:uid="{00000000-0005-0000-0000-000007040000}"/>
    <cellStyle name="40% - Accent1 2 6 2" xfId="3716" xr:uid="{00000000-0005-0000-0000-000008040000}"/>
    <cellStyle name="40% - Accent1 2 6 2 2" xfId="7938" xr:uid="{00000000-0005-0000-0000-000009040000}"/>
    <cellStyle name="40% - Accent1 2 6 2 2 2" xfId="16388" xr:uid="{332EF42A-7178-462D-9515-87B89FD44883}"/>
    <cellStyle name="40% - Accent1 2 6 2 3" xfId="12170" xr:uid="{08ECF099-2919-4789-B553-8BEB62C44A62}"/>
    <cellStyle name="40% - Accent1 2 6 3" xfId="5793" xr:uid="{00000000-0005-0000-0000-00000A040000}"/>
    <cellStyle name="40% - Accent1 2 6 3 2" xfId="14243" xr:uid="{A479AA30-906C-4D2E-A42F-7EA68E0CF935}"/>
    <cellStyle name="40% - Accent1 2 6 4" xfId="10025" xr:uid="{FA43032F-D63D-4497-91DD-9390DCD70BA4}"/>
    <cellStyle name="40% - Accent1 2 7" xfId="1900" xr:uid="{00000000-0005-0000-0000-00000B040000}"/>
    <cellStyle name="40% - Accent1 2 7 2" xfId="4129" xr:uid="{00000000-0005-0000-0000-00000C040000}"/>
    <cellStyle name="40% - Accent1 2 7 2 2" xfId="8351" xr:uid="{00000000-0005-0000-0000-00000D040000}"/>
    <cellStyle name="40% - Accent1 2 7 2 2 2" xfId="16801" xr:uid="{EE71DE90-57BD-4E9A-A625-9A3DB21B32F9}"/>
    <cellStyle name="40% - Accent1 2 7 2 3" xfId="12583" xr:uid="{8F1E6CA9-3FA7-47C4-978B-00372A2FC613}"/>
    <cellStyle name="40% - Accent1 2 7 3" xfId="6206" xr:uid="{00000000-0005-0000-0000-00000E040000}"/>
    <cellStyle name="40% - Accent1 2 7 3 2" xfId="14656" xr:uid="{B770D2D2-B4B2-4D0F-BC9C-0EBE842196C3}"/>
    <cellStyle name="40% - Accent1 2 7 4" xfId="10438" xr:uid="{817AA940-6F68-4BAC-8190-2F2321BCD6BE}"/>
    <cellStyle name="40% - Accent1 2 8" xfId="2313" xr:uid="{00000000-0005-0000-0000-00000F040000}"/>
    <cellStyle name="40% - Accent1 2 8 2" xfId="6619" xr:uid="{00000000-0005-0000-0000-000010040000}"/>
    <cellStyle name="40% - Accent1 2 8 2 2" xfId="15069" xr:uid="{EFA9DC71-A38D-4E00-AA83-573195E07739}"/>
    <cellStyle name="40% - Accent1 2 8 3" xfId="10851" xr:uid="{2A0E359F-4720-4D18-951D-32D4D2D142E1}"/>
    <cellStyle name="40% - Accent1 2 9" xfId="4553" xr:uid="{00000000-0005-0000-0000-000011040000}"/>
    <cellStyle name="40% - Accent1 2 9 2" xfId="13003" xr:uid="{056D6F48-3FC3-4568-942C-F334A7382E25}"/>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2 2 2" xfId="15567" xr:uid="{07EF7622-8A55-454D-8DA1-655CF162E8C8}"/>
    <cellStyle name="40% - Accent1 3 2 2 2 3" xfId="11349" xr:uid="{12A0FF95-389E-4792-876C-014545511BC4}"/>
    <cellStyle name="40% - Accent1 3 2 2 3" xfId="4972" xr:uid="{00000000-0005-0000-0000-000017040000}"/>
    <cellStyle name="40% - Accent1 3 2 2 3 2" xfId="13422" xr:uid="{F3973762-D049-4BB5-8541-FDBFCA02845B}"/>
    <cellStyle name="40% - Accent1 3 2 2 4" xfId="9204" xr:uid="{A7202E5D-F215-4013-8790-16813711CF79}"/>
    <cellStyle name="40% - Accent1 3 2 3" xfId="1077" xr:uid="{00000000-0005-0000-0000-000018040000}"/>
    <cellStyle name="40% - Accent1 3 2 3 2" xfId="3308" xr:uid="{00000000-0005-0000-0000-000019040000}"/>
    <cellStyle name="40% - Accent1 3 2 3 2 2" xfId="7530" xr:uid="{00000000-0005-0000-0000-00001A040000}"/>
    <cellStyle name="40% - Accent1 3 2 3 2 2 2" xfId="15980" xr:uid="{7A5ABAC0-BB9F-4B12-B364-2C43F133E38B}"/>
    <cellStyle name="40% - Accent1 3 2 3 2 3" xfId="11762" xr:uid="{023B03E5-9EE9-4B51-9F2E-CF4533E84B2F}"/>
    <cellStyle name="40% - Accent1 3 2 3 3" xfId="5385" xr:uid="{00000000-0005-0000-0000-00001B040000}"/>
    <cellStyle name="40% - Accent1 3 2 3 3 2" xfId="13835" xr:uid="{2DB5858D-B31D-4495-8C0C-73F501764848}"/>
    <cellStyle name="40% - Accent1 3 2 3 4" xfId="9617" xr:uid="{04C0E856-E4F4-4261-8AF8-83ABA035E7DC}"/>
    <cellStyle name="40% - Accent1 3 2 4" xfId="1491" xr:uid="{00000000-0005-0000-0000-00001C040000}"/>
    <cellStyle name="40% - Accent1 3 2 4 2" xfId="3721" xr:uid="{00000000-0005-0000-0000-00001D040000}"/>
    <cellStyle name="40% - Accent1 3 2 4 2 2" xfId="7943" xr:uid="{00000000-0005-0000-0000-00001E040000}"/>
    <cellStyle name="40% - Accent1 3 2 4 2 2 2" xfId="16393" xr:uid="{DC5BBAF9-AD92-4F2D-AF98-AE43F045C2F9}"/>
    <cellStyle name="40% - Accent1 3 2 4 2 3" xfId="12175" xr:uid="{357C5A8A-17C0-4641-A40F-B91E0DF47938}"/>
    <cellStyle name="40% - Accent1 3 2 4 3" xfId="5798" xr:uid="{00000000-0005-0000-0000-00001F040000}"/>
    <cellStyle name="40% - Accent1 3 2 4 3 2" xfId="14248" xr:uid="{FA00C023-DE9E-42AB-98EF-CD3D10442EFF}"/>
    <cellStyle name="40% - Accent1 3 2 4 4" xfId="10030" xr:uid="{22B2F7DE-AACE-4B24-B5DE-3C491F198648}"/>
    <cellStyle name="40% - Accent1 3 2 5" xfId="1905" xr:uid="{00000000-0005-0000-0000-000020040000}"/>
    <cellStyle name="40% - Accent1 3 2 5 2" xfId="4134" xr:uid="{00000000-0005-0000-0000-000021040000}"/>
    <cellStyle name="40% - Accent1 3 2 5 2 2" xfId="8356" xr:uid="{00000000-0005-0000-0000-000022040000}"/>
    <cellStyle name="40% - Accent1 3 2 5 2 2 2" xfId="16806" xr:uid="{39064F60-308A-472D-B854-59BDD2E025A3}"/>
    <cellStyle name="40% - Accent1 3 2 5 2 3" xfId="12588" xr:uid="{A73D4A8D-401B-4F61-8F14-53B936BBA6A8}"/>
    <cellStyle name="40% - Accent1 3 2 5 3" xfId="6211" xr:uid="{00000000-0005-0000-0000-000023040000}"/>
    <cellStyle name="40% - Accent1 3 2 5 3 2" xfId="14661" xr:uid="{FE0B64AC-3DD8-4A06-BF00-9420F6D509DA}"/>
    <cellStyle name="40% - Accent1 3 2 5 4" xfId="10443" xr:uid="{F2CDDA27-0029-40E3-BADC-1907D6499F91}"/>
    <cellStyle name="40% - Accent1 3 2 6" xfId="2318" xr:uid="{00000000-0005-0000-0000-000024040000}"/>
    <cellStyle name="40% - Accent1 3 2 6 2" xfId="6624" xr:uid="{00000000-0005-0000-0000-000025040000}"/>
    <cellStyle name="40% - Accent1 3 2 6 2 2" xfId="15074" xr:uid="{18FFFC9E-3561-407D-AF64-47780452581A}"/>
    <cellStyle name="40% - Accent1 3 2 6 3" xfId="10856" xr:uid="{776792D8-78C0-4CD7-9D22-5B018641499A}"/>
    <cellStyle name="40% - Accent1 3 2 7" xfId="4558" xr:uid="{00000000-0005-0000-0000-000026040000}"/>
    <cellStyle name="40% - Accent1 3 2 7 2" xfId="13008" xr:uid="{FCA230AF-C0A1-4DB3-ADC9-889B097C2C48}"/>
    <cellStyle name="40% - Accent1 3 2 8" xfId="8790" xr:uid="{756A5247-5B7A-406D-9AA3-D3EE091300BA}"/>
    <cellStyle name="40% - Accent1 3 3" xfId="623" xr:uid="{00000000-0005-0000-0000-000027040000}"/>
    <cellStyle name="40% - Accent1 3 3 2" xfId="2894" xr:uid="{00000000-0005-0000-0000-000028040000}"/>
    <cellStyle name="40% - Accent1 3 3 2 2" xfId="7116" xr:uid="{00000000-0005-0000-0000-000029040000}"/>
    <cellStyle name="40% - Accent1 3 3 2 2 2" xfId="15566" xr:uid="{5EEE3AE4-3C84-43A1-8B3B-D533196E81CF}"/>
    <cellStyle name="40% - Accent1 3 3 2 3" xfId="11348" xr:uid="{34CF0E6D-CD12-402F-BA29-DEAA715A9EB2}"/>
    <cellStyle name="40% - Accent1 3 3 3" xfId="4971" xr:uid="{00000000-0005-0000-0000-00002A040000}"/>
    <cellStyle name="40% - Accent1 3 3 3 2" xfId="13421" xr:uid="{88753989-1AAD-4788-92DF-5E43EE3B94C6}"/>
    <cellStyle name="40% - Accent1 3 3 4" xfId="9203" xr:uid="{456F43AA-84CA-428D-A4B4-3B1D1126C1D2}"/>
    <cellStyle name="40% - Accent1 3 4" xfId="1076" xr:uid="{00000000-0005-0000-0000-00002B040000}"/>
    <cellStyle name="40% - Accent1 3 4 2" xfId="3307" xr:uid="{00000000-0005-0000-0000-00002C040000}"/>
    <cellStyle name="40% - Accent1 3 4 2 2" xfId="7529" xr:uid="{00000000-0005-0000-0000-00002D040000}"/>
    <cellStyle name="40% - Accent1 3 4 2 2 2" xfId="15979" xr:uid="{9FD1573F-7EB4-4362-86DE-DD2B9A79ED1C}"/>
    <cellStyle name="40% - Accent1 3 4 2 3" xfId="11761" xr:uid="{A68C0B97-837E-4753-A52C-E2B70561D512}"/>
    <cellStyle name="40% - Accent1 3 4 3" xfId="5384" xr:uid="{00000000-0005-0000-0000-00002E040000}"/>
    <cellStyle name="40% - Accent1 3 4 3 2" xfId="13834" xr:uid="{C5426A8D-B8E2-40FF-83FE-6D0DE4048E22}"/>
    <cellStyle name="40% - Accent1 3 4 4" xfId="9616" xr:uid="{E0CA7D12-A983-46A2-8871-A2A5A6BAE623}"/>
    <cellStyle name="40% - Accent1 3 5" xfId="1490" xr:uid="{00000000-0005-0000-0000-00002F040000}"/>
    <cellStyle name="40% - Accent1 3 5 2" xfId="3720" xr:uid="{00000000-0005-0000-0000-000030040000}"/>
    <cellStyle name="40% - Accent1 3 5 2 2" xfId="7942" xr:uid="{00000000-0005-0000-0000-000031040000}"/>
    <cellStyle name="40% - Accent1 3 5 2 2 2" xfId="16392" xr:uid="{C909CDEA-7976-4F8E-887D-7A6D3430EDB9}"/>
    <cellStyle name="40% - Accent1 3 5 2 3" xfId="12174" xr:uid="{F5C98475-CA95-4B41-9F8A-1411E60106D4}"/>
    <cellStyle name="40% - Accent1 3 5 3" xfId="5797" xr:uid="{00000000-0005-0000-0000-000032040000}"/>
    <cellStyle name="40% - Accent1 3 5 3 2" xfId="14247" xr:uid="{8CA95B0F-3A82-4714-B68D-2AC5041AD7B3}"/>
    <cellStyle name="40% - Accent1 3 5 4" xfId="10029" xr:uid="{4F28DA09-C6EC-4DF6-B157-9BBC2776F594}"/>
    <cellStyle name="40% - Accent1 3 6" xfId="1904" xr:uid="{00000000-0005-0000-0000-000033040000}"/>
    <cellStyle name="40% - Accent1 3 6 2" xfId="4133" xr:uid="{00000000-0005-0000-0000-000034040000}"/>
    <cellStyle name="40% - Accent1 3 6 2 2" xfId="8355" xr:uid="{00000000-0005-0000-0000-000035040000}"/>
    <cellStyle name="40% - Accent1 3 6 2 2 2" xfId="16805" xr:uid="{0E0C1CD0-9390-42EA-AA8B-587234838E76}"/>
    <cellStyle name="40% - Accent1 3 6 2 3" xfId="12587" xr:uid="{705C2400-147F-4E3F-A150-B3CFDA8B0B60}"/>
    <cellStyle name="40% - Accent1 3 6 3" xfId="6210" xr:uid="{00000000-0005-0000-0000-000036040000}"/>
    <cellStyle name="40% - Accent1 3 6 3 2" xfId="14660" xr:uid="{5A5724BE-6C87-4D11-838F-A2384418D73B}"/>
    <cellStyle name="40% - Accent1 3 6 4" xfId="10442" xr:uid="{4E5B6400-7321-4CA1-A7FC-FC3C252F0A36}"/>
    <cellStyle name="40% - Accent1 3 7" xfId="2317" xr:uid="{00000000-0005-0000-0000-000037040000}"/>
    <cellStyle name="40% - Accent1 3 7 2" xfId="6623" xr:uid="{00000000-0005-0000-0000-000038040000}"/>
    <cellStyle name="40% - Accent1 3 7 2 2" xfId="15073" xr:uid="{F77BB942-08B1-42E2-A343-BFE783064A82}"/>
    <cellStyle name="40% - Accent1 3 7 3" xfId="10855" xr:uid="{6C51C697-F39A-41B7-A655-5616B2067F51}"/>
    <cellStyle name="40% - Accent1 3 8" xfId="4557" xr:uid="{00000000-0005-0000-0000-000039040000}"/>
    <cellStyle name="40% - Accent1 3 8 2" xfId="13007" xr:uid="{5C79CAC2-60B7-40EB-B03B-8C482AFDBE6A}"/>
    <cellStyle name="40% - Accent1 3 9" xfId="8789" xr:uid="{C2CEF19F-3060-4BB3-814C-898C61805862}"/>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2 2 2" xfId="15568" xr:uid="{D586D7A2-8F04-4A11-A639-54EB149A473A}"/>
    <cellStyle name="40% - Accent1 4 2 2 3" xfId="11350" xr:uid="{97172F3D-0777-4132-9E26-D533F46B9D05}"/>
    <cellStyle name="40% - Accent1 4 2 3" xfId="4973" xr:uid="{00000000-0005-0000-0000-00003E040000}"/>
    <cellStyle name="40% - Accent1 4 2 3 2" xfId="13423" xr:uid="{CFE4583B-6B85-43A8-A0C8-DD5869C05150}"/>
    <cellStyle name="40% - Accent1 4 2 4" xfId="9205" xr:uid="{9ABCD1A6-E9E6-46E5-BF08-8CDE74A05492}"/>
    <cellStyle name="40% - Accent1 4 3" xfId="1078" xr:uid="{00000000-0005-0000-0000-00003F040000}"/>
    <cellStyle name="40% - Accent1 4 3 2" xfId="3309" xr:uid="{00000000-0005-0000-0000-000040040000}"/>
    <cellStyle name="40% - Accent1 4 3 2 2" xfId="7531" xr:uid="{00000000-0005-0000-0000-000041040000}"/>
    <cellStyle name="40% - Accent1 4 3 2 2 2" xfId="15981" xr:uid="{EA657232-EDF6-4D63-93F5-967E902F1AC7}"/>
    <cellStyle name="40% - Accent1 4 3 2 3" xfId="11763" xr:uid="{8FC896D4-03E9-4932-8BB9-1A8B76E060D5}"/>
    <cellStyle name="40% - Accent1 4 3 3" xfId="5386" xr:uid="{00000000-0005-0000-0000-000042040000}"/>
    <cellStyle name="40% - Accent1 4 3 3 2" xfId="13836" xr:uid="{54EF10E5-4A8F-4B3D-A853-EE084A6F7CA5}"/>
    <cellStyle name="40% - Accent1 4 3 4" xfId="9618" xr:uid="{58575719-EB6C-40EA-A483-F9CB7036FC54}"/>
    <cellStyle name="40% - Accent1 4 4" xfId="1492" xr:uid="{00000000-0005-0000-0000-000043040000}"/>
    <cellStyle name="40% - Accent1 4 4 2" xfId="3722" xr:uid="{00000000-0005-0000-0000-000044040000}"/>
    <cellStyle name="40% - Accent1 4 4 2 2" xfId="7944" xr:uid="{00000000-0005-0000-0000-000045040000}"/>
    <cellStyle name="40% - Accent1 4 4 2 2 2" xfId="16394" xr:uid="{149B9641-0240-4203-9D8F-68E40B19E2B4}"/>
    <cellStyle name="40% - Accent1 4 4 2 3" xfId="12176" xr:uid="{73F98793-84C7-4B55-9C11-33B3B64E03AB}"/>
    <cellStyle name="40% - Accent1 4 4 3" xfId="5799" xr:uid="{00000000-0005-0000-0000-000046040000}"/>
    <cellStyle name="40% - Accent1 4 4 3 2" xfId="14249" xr:uid="{93044840-F627-439A-9BC5-B3CA97764AFD}"/>
    <cellStyle name="40% - Accent1 4 4 4" xfId="10031" xr:uid="{4C6A005F-001A-4E8D-A665-71FF299ABC54}"/>
    <cellStyle name="40% - Accent1 4 5" xfId="1906" xr:uid="{00000000-0005-0000-0000-000047040000}"/>
    <cellStyle name="40% - Accent1 4 5 2" xfId="4135" xr:uid="{00000000-0005-0000-0000-000048040000}"/>
    <cellStyle name="40% - Accent1 4 5 2 2" xfId="8357" xr:uid="{00000000-0005-0000-0000-000049040000}"/>
    <cellStyle name="40% - Accent1 4 5 2 2 2" xfId="16807" xr:uid="{E288FDEA-B9B9-4C6B-80BB-503FD9E57A15}"/>
    <cellStyle name="40% - Accent1 4 5 2 3" xfId="12589" xr:uid="{B324AD1A-7BF8-4250-B76F-02A2845AD37B}"/>
    <cellStyle name="40% - Accent1 4 5 3" xfId="6212" xr:uid="{00000000-0005-0000-0000-00004A040000}"/>
    <cellStyle name="40% - Accent1 4 5 3 2" xfId="14662" xr:uid="{868EAA42-76F3-4006-9B68-87C94E632127}"/>
    <cellStyle name="40% - Accent1 4 5 4" xfId="10444" xr:uid="{EFECEEB3-A735-4058-810A-84E1DA267CC4}"/>
    <cellStyle name="40% - Accent1 4 6" xfId="2319" xr:uid="{00000000-0005-0000-0000-00004B040000}"/>
    <cellStyle name="40% - Accent1 4 6 2" xfId="6625" xr:uid="{00000000-0005-0000-0000-00004C040000}"/>
    <cellStyle name="40% - Accent1 4 6 2 2" xfId="15075" xr:uid="{9440B217-9DD4-4DEF-A489-924A903125EE}"/>
    <cellStyle name="40% - Accent1 4 6 3" xfId="10857" xr:uid="{B15CA75E-4513-4B99-80C4-F65A4D86EC7F}"/>
    <cellStyle name="40% - Accent1 4 7" xfId="4559" xr:uid="{00000000-0005-0000-0000-00004D040000}"/>
    <cellStyle name="40% - Accent1 4 7 2" xfId="13009" xr:uid="{FE5114D6-79A2-4DF7-9ACE-5AF784F1D39A}"/>
    <cellStyle name="40% - Accent1 4 8" xfId="8791" xr:uid="{4E4225D9-9A02-448B-8D0C-BC76704C920F}"/>
    <cellStyle name="40% - Accent1 5" xfId="618" xr:uid="{00000000-0005-0000-0000-00004E040000}"/>
    <cellStyle name="40% - Accent1 5 2" xfId="2889" xr:uid="{00000000-0005-0000-0000-00004F040000}"/>
    <cellStyle name="40% - Accent1 5 2 2" xfId="7111" xr:uid="{00000000-0005-0000-0000-000050040000}"/>
    <cellStyle name="40% - Accent1 5 2 2 2" xfId="15561" xr:uid="{B2B841B6-8015-4840-80E4-1E1C6783EB54}"/>
    <cellStyle name="40% - Accent1 5 2 3" xfId="11343" xr:uid="{85CB5592-911E-45C0-88E7-15A53C7E6B19}"/>
    <cellStyle name="40% - Accent1 5 3" xfId="4966" xr:uid="{00000000-0005-0000-0000-000051040000}"/>
    <cellStyle name="40% - Accent1 5 3 2" xfId="13416" xr:uid="{3AA4BBB3-041A-471E-878C-AD3403DF569D}"/>
    <cellStyle name="40% - Accent1 5 4" xfId="9198" xr:uid="{511ECF4B-9C0C-4492-98D8-27C2CE1A1F74}"/>
    <cellStyle name="40% - Accent1 6" xfId="1071" xr:uid="{00000000-0005-0000-0000-000052040000}"/>
    <cellStyle name="40% - Accent1 6 2" xfId="3302" xr:uid="{00000000-0005-0000-0000-000053040000}"/>
    <cellStyle name="40% - Accent1 6 2 2" xfId="7524" xr:uid="{00000000-0005-0000-0000-000054040000}"/>
    <cellStyle name="40% - Accent1 6 2 2 2" xfId="15974" xr:uid="{A09C19DF-1B17-4DA9-A598-530D56F3D007}"/>
    <cellStyle name="40% - Accent1 6 2 3" xfId="11756" xr:uid="{71A7460F-338F-41BE-8874-82F2F51FB49E}"/>
    <cellStyle name="40% - Accent1 6 3" xfId="5379" xr:uid="{00000000-0005-0000-0000-000055040000}"/>
    <cellStyle name="40% - Accent1 6 3 2" xfId="13829" xr:uid="{EE5F953B-F243-4C6C-BAC9-D1E458457A32}"/>
    <cellStyle name="40% - Accent1 6 4" xfId="9611" xr:uid="{639960E8-7289-43BE-B09F-071374E60572}"/>
    <cellStyle name="40% - Accent1 7" xfId="1485" xr:uid="{00000000-0005-0000-0000-000056040000}"/>
    <cellStyle name="40% - Accent1 7 2" xfId="3715" xr:uid="{00000000-0005-0000-0000-000057040000}"/>
    <cellStyle name="40% - Accent1 7 2 2" xfId="7937" xr:uid="{00000000-0005-0000-0000-000058040000}"/>
    <cellStyle name="40% - Accent1 7 2 2 2" xfId="16387" xr:uid="{1685C7F4-34A2-4160-B816-B652CE73C3D3}"/>
    <cellStyle name="40% - Accent1 7 2 3" xfId="12169" xr:uid="{E1DD162B-7A24-46E0-8634-231BC9F519CE}"/>
    <cellStyle name="40% - Accent1 7 3" xfId="5792" xr:uid="{00000000-0005-0000-0000-000059040000}"/>
    <cellStyle name="40% - Accent1 7 3 2" xfId="14242" xr:uid="{A935EB2D-7E65-475A-852C-6A9784F3BCF4}"/>
    <cellStyle name="40% - Accent1 7 4" xfId="10024" xr:uid="{F98658C0-9EC0-47BF-BC78-28171E73F8DB}"/>
    <cellStyle name="40% - Accent1 8" xfId="1899" xr:uid="{00000000-0005-0000-0000-00005A040000}"/>
    <cellStyle name="40% - Accent1 8 2" xfId="4128" xr:uid="{00000000-0005-0000-0000-00005B040000}"/>
    <cellStyle name="40% - Accent1 8 2 2" xfId="8350" xr:uid="{00000000-0005-0000-0000-00005C040000}"/>
    <cellStyle name="40% - Accent1 8 2 2 2" xfId="16800" xr:uid="{03DD20BF-4F99-4A81-A1E7-C096F1100E04}"/>
    <cellStyle name="40% - Accent1 8 2 3" xfId="12582" xr:uid="{7063A838-CD3B-4E03-9A2B-67DC6CF78AF2}"/>
    <cellStyle name="40% - Accent1 8 3" xfId="6205" xr:uid="{00000000-0005-0000-0000-00005D040000}"/>
    <cellStyle name="40% - Accent1 8 3 2" xfId="14655" xr:uid="{FE7D1E58-9DCA-4D4A-B593-326753F8DD74}"/>
    <cellStyle name="40% - Accent1 8 4" xfId="10437" xr:uid="{35AEB1CA-F087-4EA8-9A39-D2417AB04187}"/>
    <cellStyle name="40% - Accent1 9" xfId="2312" xr:uid="{00000000-0005-0000-0000-00005E040000}"/>
    <cellStyle name="40% - Accent1 9 2" xfId="6618" xr:uid="{00000000-0005-0000-0000-00005F040000}"/>
    <cellStyle name="40% - Accent1 9 2 2" xfId="15068" xr:uid="{F1856149-5622-44D6-B075-9BEAB17D3EBC}"/>
    <cellStyle name="40% - Accent1 9 3" xfId="10850" xr:uid="{461B768A-5C0B-4674-9A67-3BB7AFD88B3E}"/>
    <cellStyle name="40% - Accent2" xfId="57" builtinId="35" customBuiltin="1"/>
    <cellStyle name="40% - Accent2 10" xfId="4560" xr:uid="{00000000-0005-0000-0000-000061040000}"/>
    <cellStyle name="40% - Accent2 10 2" xfId="13010" xr:uid="{BB1E4A97-774C-4F76-B3F4-7293170C26FA}"/>
    <cellStyle name="40% - Accent2 11" xfId="8792" xr:uid="{26077EE1-3D01-4DD4-8E84-84FA7F331072}"/>
    <cellStyle name="40% - Accent2 2" xfId="58" xr:uid="{00000000-0005-0000-0000-000062040000}"/>
    <cellStyle name="40% - Accent2 2 10" xfId="8793" xr:uid="{52B346B6-0EE5-4AE9-BF12-5DFA1B9B013B}"/>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2 2 2" xfId="15572" xr:uid="{E08CC80C-72F0-4016-9540-B18FFD454893}"/>
    <cellStyle name="40% - Accent2 2 2 2 2 2 3" xfId="11354" xr:uid="{2AE49D5B-BD5C-4EF5-9B2E-578EEB25A388}"/>
    <cellStyle name="40% - Accent2 2 2 2 2 3" xfId="4977" xr:uid="{00000000-0005-0000-0000-000068040000}"/>
    <cellStyle name="40% - Accent2 2 2 2 2 3 2" xfId="13427" xr:uid="{DEF65868-6457-405E-8B9A-57B483007C14}"/>
    <cellStyle name="40% - Accent2 2 2 2 2 4" xfId="9209" xr:uid="{9BBB7365-8613-4F47-89C7-D21B70F7D6FA}"/>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2 2 2" xfId="15985" xr:uid="{B95E0B21-A359-4F3B-8117-FB9465F2C977}"/>
    <cellStyle name="40% - Accent2 2 2 2 3 2 3" xfId="11767" xr:uid="{4069E845-42F5-487E-BF70-30A95A9F0534}"/>
    <cellStyle name="40% - Accent2 2 2 2 3 3" xfId="5390" xr:uid="{00000000-0005-0000-0000-00006C040000}"/>
    <cellStyle name="40% - Accent2 2 2 2 3 3 2" xfId="13840" xr:uid="{5B452D4F-3707-40C8-BD60-07AC1A9F3A16}"/>
    <cellStyle name="40% - Accent2 2 2 2 3 4" xfId="9622" xr:uid="{658B5EAE-8656-4C84-8FEE-09C30B868881}"/>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2 2 2" xfId="16398" xr:uid="{AAA809C5-39F8-437E-910A-D6C63208ECA6}"/>
    <cellStyle name="40% - Accent2 2 2 2 4 2 3" xfId="12180" xr:uid="{1D84A225-6E97-45B7-ADA8-083FEF7378AF}"/>
    <cellStyle name="40% - Accent2 2 2 2 4 3" xfId="5803" xr:uid="{00000000-0005-0000-0000-000070040000}"/>
    <cellStyle name="40% - Accent2 2 2 2 4 3 2" xfId="14253" xr:uid="{5CE660C1-9EB2-447C-B5FB-0D64CD35C761}"/>
    <cellStyle name="40% - Accent2 2 2 2 4 4" xfId="10035" xr:uid="{AF10A38B-962D-44E2-9662-7538AF7E6C2C}"/>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2 2 2" xfId="16811" xr:uid="{9C253F3D-156D-45AA-BCD3-30E4F36C94F5}"/>
    <cellStyle name="40% - Accent2 2 2 2 5 2 3" xfId="12593" xr:uid="{AD5D9051-D1D5-40E2-A61D-3105743FCE84}"/>
    <cellStyle name="40% - Accent2 2 2 2 5 3" xfId="6216" xr:uid="{00000000-0005-0000-0000-000074040000}"/>
    <cellStyle name="40% - Accent2 2 2 2 5 3 2" xfId="14666" xr:uid="{9F0509B3-0F47-4B94-8630-C2A25A700A28}"/>
    <cellStyle name="40% - Accent2 2 2 2 5 4" xfId="10448" xr:uid="{DEFEF5E8-E071-40B0-9520-95DCB195BB56}"/>
    <cellStyle name="40% - Accent2 2 2 2 6" xfId="2323" xr:uid="{00000000-0005-0000-0000-000075040000}"/>
    <cellStyle name="40% - Accent2 2 2 2 6 2" xfId="6629" xr:uid="{00000000-0005-0000-0000-000076040000}"/>
    <cellStyle name="40% - Accent2 2 2 2 6 2 2" xfId="15079" xr:uid="{F34C1699-903B-41C0-AD9A-4FBE7747691F}"/>
    <cellStyle name="40% - Accent2 2 2 2 6 3" xfId="10861" xr:uid="{DC832423-DCBB-459B-B249-307954E29E80}"/>
    <cellStyle name="40% - Accent2 2 2 2 7" xfId="4563" xr:uid="{00000000-0005-0000-0000-000077040000}"/>
    <cellStyle name="40% - Accent2 2 2 2 7 2" xfId="13013" xr:uid="{84AA767D-708E-491F-AF7E-752BEB54353B}"/>
    <cellStyle name="40% - Accent2 2 2 2 8" xfId="8795" xr:uid="{40EB2549-2BD3-4304-9FDB-322CBBF16ABF}"/>
    <cellStyle name="40% - Accent2 2 2 3" xfId="628" xr:uid="{00000000-0005-0000-0000-000078040000}"/>
    <cellStyle name="40% - Accent2 2 2 3 2" xfId="2899" xr:uid="{00000000-0005-0000-0000-000079040000}"/>
    <cellStyle name="40% - Accent2 2 2 3 2 2" xfId="7121" xr:uid="{00000000-0005-0000-0000-00007A040000}"/>
    <cellStyle name="40% - Accent2 2 2 3 2 2 2" xfId="15571" xr:uid="{70802DB8-B0DB-409B-9026-D4443D75BBEE}"/>
    <cellStyle name="40% - Accent2 2 2 3 2 3" xfId="11353" xr:uid="{64175E54-A3D6-44F6-BC9D-2D68BBFC353F}"/>
    <cellStyle name="40% - Accent2 2 2 3 3" xfId="4976" xr:uid="{00000000-0005-0000-0000-00007B040000}"/>
    <cellStyle name="40% - Accent2 2 2 3 3 2" xfId="13426" xr:uid="{3AD662C8-2F47-461D-B228-191980C2F547}"/>
    <cellStyle name="40% - Accent2 2 2 3 4" xfId="9208" xr:uid="{9E8983D3-6499-42AB-A03C-56AB645BD613}"/>
    <cellStyle name="40% - Accent2 2 2 4" xfId="1081" xr:uid="{00000000-0005-0000-0000-00007C040000}"/>
    <cellStyle name="40% - Accent2 2 2 4 2" xfId="3312" xr:uid="{00000000-0005-0000-0000-00007D040000}"/>
    <cellStyle name="40% - Accent2 2 2 4 2 2" xfId="7534" xr:uid="{00000000-0005-0000-0000-00007E040000}"/>
    <cellStyle name="40% - Accent2 2 2 4 2 2 2" xfId="15984" xr:uid="{921A5E89-EE43-4B06-A00F-18D890275063}"/>
    <cellStyle name="40% - Accent2 2 2 4 2 3" xfId="11766" xr:uid="{10F14CD4-B12B-42AB-837A-7F9139C9BA8C}"/>
    <cellStyle name="40% - Accent2 2 2 4 3" xfId="5389" xr:uid="{00000000-0005-0000-0000-00007F040000}"/>
    <cellStyle name="40% - Accent2 2 2 4 3 2" xfId="13839" xr:uid="{FD44B8A2-F155-4A83-BB3D-088D1D651874}"/>
    <cellStyle name="40% - Accent2 2 2 4 4" xfId="9621" xr:uid="{13B2206A-907A-416F-8DCE-2DDDD9D1B25A}"/>
    <cellStyle name="40% - Accent2 2 2 5" xfId="1495" xr:uid="{00000000-0005-0000-0000-000080040000}"/>
    <cellStyle name="40% - Accent2 2 2 5 2" xfId="3725" xr:uid="{00000000-0005-0000-0000-000081040000}"/>
    <cellStyle name="40% - Accent2 2 2 5 2 2" xfId="7947" xr:uid="{00000000-0005-0000-0000-000082040000}"/>
    <cellStyle name="40% - Accent2 2 2 5 2 2 2" xfId="16397" xr:uid="{0992A938-4ED1-4508-944A-88F281116080}"/>
    <cellStyle name="40% - Accent2 2 2 5 2 3" xfId="12179" xr:uid="{F6EA335A-7CD5-4211-9444-D802A2A9B37D}"/>
    <cellStyle name="40% - Accent2 2 2 5 3" xfId="5802" xr:uid="{00000000-0005-0000-0000-000083040000}"/>
    <cellStyle name="40% - Accent2 2 2 5 3 2" xfId="14252" xr:uid="{FD98F125-91C1-4CF4-9A6E-2933A9128467}"/>
    <cellStyle name="40% - Accent2 2 2 5 4" xfId="10034" xr:uid="{3A2A0974-A83F-46B5-8296-86CB941758FC}"/>
    <cellStyle name="40% - Accent2 2 2 6" xfId="1909" xr:uid="{00000000-0005-0000-0000-000084040000}"/>
    <cellStyle name="40% - Accent2 2 2 6 2" xfId="4138" xr:uid="{00000000-0005-0000-0000-000085040000}"/>
    <cellStyle name="40% - Accent2 2 2 6 2 2" xfId="8360" xr:uid="{00000000-0005-0000-0000-000086040000}"/>
    <cellStyle name="40% - Accent2 2 2 6 2 2 2" xfId="16810" xr:uid="{3FD1808E-13EB-4428-BFA4-A3F776B81D61}"/>
    <cellStyle name="40% - Accent2 2 2 6 2 3" xfId="12592" xr:uid="{D9075CF8-60F4-4C67-A0E9-D5ED36FE8F0F}"/>
    <cellStyle name="40% - Accent2 2 2 6 3" xfId="6215" xr:uid="{00000000-0005-0000-0000-000087040000}"/>
    <cellStyle name="40% - Accent2 2 2 6 3 2" xfId="14665" xr:uid="{6CA5E31D-18DC-42CF-8687-2A51CB2B4404}"/>
    <cellStyle name="40% - Accent2 2 2 6 4" xfId="10447" xr:uid="{6EC13937-D6A1-4D5B-9E1C-FE877AE43664}"/>
    <cellStyle name="40% - Accent2 2 2 7" xfId="2322" xr:uid="{00000000-0005-0000-0000-000088040000}"/>
    <cellStyle name="40% - Accent2 2 2 7 2" xfId="6628" xr:uid="{00000000-0005-0000-0000-000089040000}"/>
    <cellStyle name="40% - Accent2 2 2 7 2 2" xfId="15078" xr:uid="{BEE48445-7287-4540-9069-CB5770FE93A8}"/>
    <cellStyle name="40% - Accent2 2 2 7 3" xfId="10860" xr:uid="{96AAC6BE-FF14-4ACA-9DB4-2DC63E5DEFE2}"/>
    <cellStyle name="40% - Accent2 2 2 8" xfId="4562" xr:uid="{00000000-0005-0000-0000-00008A040000}"/>
    <cellStyle name="40% - Accent2 2 2 8 2" xfId="13012" xr:uid="{BD812C64-0712-48C3-BA4A-05CA172262BB}"/>
    <cellStyle name="40% - Accent2 2 2 9" xfId="8794" xr:uid="{2688394C-556B-4D64-BCD2-5CCBBE86763F}"/>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2 2 2" xfId="15573" xr:uid="{E468986E-7793-4355-8E00-5D45E25E6946}"/>
    <cellStyle name="40% - Accent2 2 3 2 2 3" xfId="11355" xr:uid="{12CE652D-074A-4F53-969F-41146A1605E4}"/>
    <cellStyle name="40% - Accent2 2 3 2 3" xfId="4978" xr:uid="{00000000-0005-0000-0000-00008F040000}"/>
    <cellStyle name="40% - Accent2 2 3 2 3 2" xfId="13428" xr:uid="{EB2805E4-3511-4716-82E1-B43B0F563860}"/>
    <cellStyle name="40% - Accent2 2 3 2 4" xfId="9210" xr:uid="{9179EA2E-C69F-46C3-9FA5-89A0F3DB55FB}"/>
    <cellStyle name="40% - Accent2 2 3 3" xfId="1083" xr:uid="{00000000-0005-0000-0000-000090040000}"/>
    <cellStyle name="40% - Accent2 2 3 3 2" xfId="3314" xr:uid="{00000000-0005-0000-0000-000091040000}"/>
    <cellStyle name="40% - Accent2 2 3 3 2 2" xfId="7536" xr:uid="{00000000-0005-0000-0000-000092040000}"/>
    <cellStyle name="40% - Accent2 2 3 3 2 2 2" xfId="15986" xr:uid="{290153BA-ED10-4653-89C7-A3BC571CDE33}"/>
    <cellStyle name="40% - Accent2 2 3 3 2 3" xfId="11768" xr:uid="{216AA6B8-542C-4DC5-A64B-1F5A3591D65D}"/>
    <cellStyle name="40% - Accent2 2 3 3 3" xfId="5391" xr:uid="{00000000-0005-0000-0000-000093040000}"/>
    <cellStyle name="40% - Accent2 2 3 3 3 2" xfId="13841" xr:uid="{C04F0C7A-D229-43F9-914C-496106670957}"/>
    <cellStyle name="40% - Accent2 2 3 3 4" xfId="9623" xr:uid="{73110002-6B78-400F-BBD6-EC0255199702}"/>
    <cellStyle name="40% - Accent2 2 3 4" xfId="1497" xr:uid="{00000000-0005-0000-0000-000094040000}"/>
    <cellStyle name="40% - Accent2 2 3 4 2" xfId="3727" xr:uid="{00000000-0005-0000-0000-000095040000}"/>
    <cellStyle name="40% - Accent2 2 3 4 2 2" xfId="7949" xr:uid="{00000000-0005-0000-0000-000096040000}"/>
    <cellStyle name="40% - Accent2 2 3 4 2 2 2" xfId="16399" xr:uid="{3ED0F2A6-A0C9-4684-96C2-884BEEA8B2EE}"/>
    <cellStyle name="40% - Accent2 2 3 4 2 3" xfId="12181" xr:uid="{EF84EDDB-B645-44D2-B267-64DCAC6A248E}"/>
    <cellStyle name="40% - Accent2 2 3 4 3" xfId="5804" xr:uid="{00000000-0005-0000-0000-000097040000}"/>
    <cellStyle name="40% - Accent2 2 3 4 3 2" xfId="14254" xr:uid="{90280764-D804-42FD-9937-DE3D0808B1C8}"/>
    <cellStyle name="40% - Accent2 2 3 4 4" xfId="10036" xr:uid="{E6FF3E61-47E4-4C78-8AA9-49DD9424C17E}"/>
    <cellStyle name="40% - Accent2 2 3 5" xfId="1911" xr:uid="{00000000-0005-0000-0000-000098040000}"/>
    <cellStyle name="40% - Accent2 2 3 5 2" xfId="4140" xr:uid="{00000000-0005-0000-0000-000099040000}"/>
    <cellStyle name="40% - Accent2 2 3 5 2 2" xfId="8362" xr:uid="{00000000-0005-0000-0000-00009A040000}"/>
    <cellStyle name="40% - Accent2 2 3 5 2 2 2" xfId="16812" xr:uid="{544ABFA0-B99E-4422-B672-C86019FD6FB0}"/>
    <cellStyle name="40% - Accent2 2 3 5 2 3" xfId="12594" xr:uid="{EBD0CD23-041C-4086-8663-78234EC3CCBE}"/>
    <cellStyle name="40% - Accent2 2 3 5 3" xfId="6217" xr:uid="{00000000-0005-0000-0000-00009B040000}"/>
    <cellStyle name="40% - Accent2 2 3 5 3 2" xfId="14667" xr:uid="{D657E5CD-B35F-427C-9E3B-3FD62700878B}"/>
    <cellStyle name="40% - Accent2 2 3 5 4" xfId="10449" xr:uid="{F5466657-1D08-4E3D-AF2E-209B3EE588A5}"/>
    <cellStyle name="40% - Accent2 2 3 6" xfId="2324" xr:uid="{00000000-0005-0000-0000-00009C040000}"/>
    <cellStyle name="40% - Accent2 2 3 6 2" xfId="6630" xr:uid="{00000000-0005-0000-0000-00009D040000}"/>
    <cellStyle name="40% - Accent2 2 3 6 2 2" xfId="15080" xr:uid="{9B8978B3-3022-431F-8332-3116EA3EBE16}"/>
    <cellStyle name="40% - Accent2 2 3 6 3" xfId="10862" xr:uid="{F6492E60-D419-4BC6-9F53-CCCC42D1B17A}"/>
    <cellStyle name="40% - Accent2 2 3 7" xfId="4564" xr:uid="{00000000-0005-0000-0000-00009E040000}"/>
    <cellStyle name="40% - Accent2 2 3 7 2" xfId="13014" xr:uid="{6044518F-1495-4501-B3C4-D5D55F5577E7}"/>
    <cellStyle name="40% - Accent2 2 3 8" xfId="8796" xr:uid="{2E518FA9-ADD7-4EFC-98BD-FF63DBA9B888}"/>
    <cellStyle name="40% - Accent2 2 4" xfId="627" xr:uid="{00000000-0005-0000-0000-00009F040000}"/>
    <cellStyle name="40% - Accent2 2 4 2" xfId="2898" xr:uid="{00000000-0005-0000-0000-0000A0040000}"/>
    <cellStyle name="40% - Accent2 2 4 2 2" xfId="7120" xr:uid="{00000000-0005-0000-0000-0000A1040000}"/>
    <cellStyle name="40% - Accent2 2 4 2 2 2" xfId="15570" xr:uid="{72064E8E-C12B-46F4-AA9C-6C76E88C1F6D}"/>
    <cellStyle name="40% - Accent2 2 4 2 3" xfId="11352" xr:uid="{074F88A6-758A-4D6C-B02A-D656DCB5059D}"/>
    <cellStyle name="40% - Accent2 2 4 3" xfId="4975" xr:uid="{00000000-0005-0000-0000-0000A2040000}"/>
    <cellStyle name="40% - Accent2 2 4 3 2" xfId="13425" xr:uid="{6ADE416A-3610-4030-92C0-F4FDB43C3761}"/>
    <cellStyle name="40% - Accent2 2 4 4" xfId="9207" xr:uid="{5A937474-F78E-421B-84C5-F6ADD9DA0783}"/>
    <cellStyle name="40% - Accent2 2 5" xfId="1080" xr:uid="{00000000-0005-0000-0000-0000A3040000}"/>
    <cellStyle name="40% - Accent2 2 5 2" xfId="3311" xr:uid="{00000000-0005-0000-0000-0000A4040000}"/>
    <cellStyle name="40% - Accent2 2 5 2 2" xfId="7533" xr:uid="{00000000-0005-0000-0000-0000A5040000}"/>
    <cellStyle name="40% - Accent2 2 5 2 2 2" xfId="15983" xr:uid="{D16C936C-CACB-4C6E-A083-220251D227A3}"/>
    <cellStyle name="40% - Accent2 2 5 2 3" xfId="11765" xr:uid="{56860850-575E-4726-BEFC-C8D5642DEA4E}"/>
    <cellStyle name="40% - Accent2 2 5 3" xfId="5388" xr:uid="{00000000-0005-0000-0000-0000A6040000}"/>
    <cellStyle name="40% - Accent2 2 5 3 2" xfId="13838" xr:uid="{DC36EFF3-6A3F-48B4-9598-5C1B68673B11}"/>
    <cellStyle name="40% - Accent2 2 5 4" xfId="9620" xr:uid="{3BB84C19-AAFC-4D91-9E81-8ED9537EA210}"/>
    <cellStyle name="40% - Accent2 2 6" xfId="1494" xr:uid="{00000000-0005-0000-0000-0000A7040000}"/>
    <cellStyle name="40% - Accent2 2 6 2" xfId="3724" xr:uid="{00000000-0005-0000-0000-0000A8040000}"/>
    <cellStyle name="40% - Accent2 2 6 2 2" xfId="7946" xr:uid="{00000000-0005-0000-0000-0000A9040000}"/>
    <cellStyle name="40% - Accent2 2 6 2 2 2" xfId="16396" xr:uid="{9693A639-A1A9-4339-B8D6-213976A77AA5}"/>
    <cellStyle name="40% - Accent2 2 6 2 3" xfId="12178" xr:uid="{C2D8307B-FF22-4B9D-9085-FE565F3A8523}"/>
    <cellStyle name="40% - Accent2 2 6 3" xfId="5801" xr:uid="{00000000-0005-0000-0000-0000AA040000}"/>
    <cellStyle name="40% - Accent2 2 6 3 2" xfId="14251" xr:uid="{F766E754-FC6D-4E24-B32B-6D0C338E184A}"/>
    <cellStyle name="40% - Accent2 2 6 4" xfId="10033" xr:uid="{4650737B-E725-416A-BFFC-A7EC0C5BA51A}"/>
    <cellStyle name="40% - Accent2 2 7" xfId="1908" xr:uid="{00000000-0005-0000-0000-0000AB040000}"/>
    <cellStyle name="40% - Accent2 2 7 2" xfId="4137" xr:uid="{00000000-0005-0000-0000-0000AC040000}"/>
    <cellStyle name="40% - Accent2 2 7 2 2" xfId="8359" xr:uid="{00000000-0005-0000-0000-0000AD040000}"/>
    <cellStyle name="40% - Accent2 2 7 2 2 2" xfId="16809" xr:uid="{3908BFBD-5579-485D-B2DB-83D257236C76}"/>
    <cellStyle name="40% - Accent2 2 7 2 3" xfId="12591" xr:uid="{CA0762E8-3229-4221-B77E-07D3B501C45D}"/>
    <cellStyle name="40% - Accent2 2 7 3" xfId="6214" xr:uid="{00000000-0005-0000-0000-0000AE040000}"/>
    <cellStyle name="40% - Accent2 2 7 3 2" xfId="14664" xr:uid="{019345C3-E215-428C-A6CB-06F986A9F4C2}"/>
    <cellStyle name="40% - Accent2 2 7 4" xfId="10446" xr:uid="{8B6C3DD7-AFDD-4D58-AF68-2BE9235427DE}"/>
    <cellStyle name="40% - Accent2 2 8" xfId="2321" xr:uid="{00000000-0005-0000-0000-0000AF040000}"/>
    <cellStyle name="40% - Accent2 2 8 2" xfId="6627" xr:uid="{00000000-0005-0000-0000-0000B0040000}"/>
    <cellStyle name="40% - Accent2 2 8 2 2" xfId="15077" xr:uid="{DA225DF6-5A1C-48F8-8C93-E7C79F58A32A}"/>
    <cellStyle name="40% - Accent2 2 8 3" xfId="10859" xr:uid="{46C1323B-52DD-45B4-B28C-CC3578F52A11}"/>
    <cellStyle name="40% - Accent2 2 9" xfId="4561" xr:uid="{00000000-0005-0000-0000-0000B1040000}"/>
    <cellStyle name="40% - Accent2 2 9 2" xfId="13011" xr:uid="{9A0467C0-BCC8-4F3C-8F83-44C2744839B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2 2 2" xfId="15575" xr:uid="{C76819CF-E04D-45BA-B34E-76C57BCBA2D3}"/>
    <cellStyle name="40% - Accent2 3 2 2 2 3" xfId="11357" xr:uid="{AC12FB00-322E-4499-A1AD-CDAB4A76F482}"/>
    <cellStyle name="40% - Accent2 3 2 2 3" xfId="4980" xr:uid="{00000000-0005-0000-0000-0000B7040000}"/>
    <cellStyle name="40% - Accent2 3 2 2 3 2" xfId="13430" xr:uid="{85D72713-1A9A-4D6E-8773-ADD15DE0C355}"/>
    <cellStyle name="40% - Accent2 3 2 2 4" xfId="9212" xr:uid="{F1559EB1-A871-4844-AF8F-61F6519C0CE7}"/>
    <cellStyle name="40% - Accent2 3 2 3" xfId="1085" xr:uid="{00000000-0005-0000-0000-0000B8040000}"/>
    <cellStyle name="40% - Accent2 3 2 3 2" xfId="3316" xr:uid="{00000000-0005-0000-0000-0000B9040000}"/>
    <cellStyle name="40% - Accent2 3 2 3 2 2" xfId="7538" xr:uid="{00000000-0005-0000-0000-0000BA040000}"/>
    <cellStyle name="40% - Accent2 3 2 3 2 2 2" xfId="15988" xr:uid="{95F5F8E1-B23B-4B44-A0EF-0CC3E7ABFB4A}"/>
    <cellStyle name="40% - Accent2 3 2 3 2 3" xfId="11770" xr:uid="{B2FE47B6-6ABE-4B94-B8C0-07B0F838E77B}"/>
    <cellStyle name="40% - Accent2 3 2 3 3" xfId="5393" xr:uid="{00000000-0005-0000-0000-0000BB040000}"/>
    <cellStyle name="40% - Accent2 3 2 3 3 2" xfId="13843" xr:uid="{47667860-3DFE-4A0A-9D54-7A4B9A1AF2D4}"/>
    <cellStyle name="40% - Accent2 3 2 3 4" xfId="9625" xr:uid="{E7EEF44C-85F6-496F-BC2F-FFEECA9588EC}"/>
    <cellStyle name="40% - Accent2 3 2 4" xfId="1499" xr:uid="{00000000-0005-0000-0000-0000BC040000}"/>
    <cellStyle name="40% - Accent2 3 2 4 2" xfId="3729" xr:uid="{00000000-0005-0000-0000-0000BD040000}"/>
    <cellStyle name="40% - Accent2 3 2 4 2 2" xfId="7951" xr:uid="{00000000-0005-0000-0000-0000BE040000}"/>
    <cellStyle name="40% - Accent2 3 2 4 2 2 2" xfId="16401" xr:uid="{25B88DDB-AB09-4345-97ED-7319D81CA5BC}"/>
    <cellStyle name="40% - Accent2 3 2 4 2 3" xfId="12183" xr:uid="{48B3524B-2DDD-4AF7-B332-266556D9E221}"/>
    <cellStyle name="40% - Accent2 3 2 4 3" xfId="5806" xr:uid="{00000000-0005-0000-0000-0000BF040000}"/>
    <cellStyle name="40% - Accent2 3 2 4 3 2" xfId="14256" xr:uid="{DC367807-0861-4A29-9C41-FB6F94D72B5D}"/>
    <cellStyle name="40% - Accent2 3 2 4 4" xfId="10038" xr:uid="{5FAC4CF8-6D1B-4FDF-BA23-306A15658F15}"/>
    <cellStyle name="40% - Accent2 3 2 5" xfId="1913" xr:uid="{00000000-0005-0000-0000-0000C0040000}"/>
    <cellStyle name="40% - Accent2 3 2 5 2" xfId="4142" xr:uid="{00000000-0005-0000-0000-0000C1040000}"/>
    <cellStyle name="40% - Accent2 3 2 5 2 2" xfId="8364" xr:uid="{00000000-0005-0000-0000-0000C2040000}"/>
    <cellStyle name="40% - Accent2 3 2 5 2 2 2" xfId="16814" xr:uid="{2493D4CA-B707-4FDE-8B44-808B7E35387A}"/>
    <cellStyle name="40% - Accent2 3 2 5 2 3" xfId="12596" xr:uid="{3A8DFE17-301F-4CC6-B14B-F9442F901B38}"/>
    <cellStyle name="40% - Accent2 3 2 5 3" xfId="6219" xr:uid="{00000000-0005-0000-0000-0000C3040000}"/>
    <cellStyle name="40% - Accent2 3 2 5 3 2" xfId="14669" xr:uid="{D663798F-157F-4519-8003-AEE8E097B912}"/>
    <cellStyle name="40% - Accent2 3 2 5 4" xfId="10451" xr:uid="{F3BBD703-213B-466C-9065-21B84F764DFB}"/>
    <cellStyle name="40% - Accent2 3 2 6" xfId="2326" xr:uid="{00000000-0005-0000-0000-0000C4040000}"/>
    <cellStyle name="40% - Accent2 3 2 6 2" xfId="6632" xr:uid="{00000000-0005-0000-0000-0000C5040000}"/>
    <cellStyle name="40% - Accent2 3 2 6 2 2" xfId="15082" xr:uid="{C4769C6C-5B34-49BD-B2B8-B984B1543FA0}"/>
    <cellStyle name="40% - Accent2 3 2 6 3" xfId="10864" xr:uid="{DA72E735-FBA1-4E40-8A4A-50A3BAFE255F}"/>
    <cellStyle name="40% - Accent2 3 2 7" xfId="4566" xr:uid="{00000000-0005-0000-0000-0000C6040000}"/>
    <cellStyle name="40% - Accent2 3 2 7 2" xfId="13016" xr:uid="{47B6B570-2CD7-41D0-8E89-DDCF308ED149}"/>
    <cellStyle name="40% - Accent2 3 2 8" xfId="8798" xr:uid="{A7FB6F42-3920-4BAA-9729-EB41B913799E}"/>
    <cellStyle name="40% - Accent2 3 3" xfId="631" xr:uid="{00000000-0005-0000-0000-0000C7040000}"/>
    <cellStyle name="40% - Accent2 3 3 2" xfId="2902" xr:uid="{00000000-0005-0000-0000-0000C8040000}"/>
    <cellStyle name="40% - Accent2 3 3 2 2" xfId="7124" xr:uid="{00000000-0005-0000-0000-0000C9040000}"/>
    <cellStyle name="40% - Accent2 3 3 2 2 2" xfId="15574" xr:uid="{537879F4-1647-4335-AC26-1F1D259CF3B5}"/>
    <cellStyle name="40% - Accent2 3 3 2 3" xfId="11356" xr:uid="{9E722585-A569-4575-B377-68A82EFE79BD}"/>
    <cellStyle name="40% - Accent2 3 3 3" xfId="4979" xr:uid="{00000000-0005-0000-0000-0000CA040000}"/>
    <cellStyle name="40% - Accent2 3 3 3 2" xfId="13429" xr:uid="{DA70F234-9C64-4D6C-9129-49CCECA45978}"/>
    <cellStyle name="40% - Accent2 3 3 4" xfId="9211" xr:uid="{A72A8810-64E9-441F-8D25-3F7A82A095A7}"/>
    <cellStyle name="40% - Accent2 3 4" xfId="1084" xr:uid="{00000000-0005-0000-0000-0000CB040000}"/>
    <cellStyle name="40% - Accent2 3 4 2" xfId="3315" xr:uid="{00000000-0005-0000-0000-0000CC040000}"/>
    <cellStyle name="40% - Accent2 3 4 2 2" xfId="7537" xr:uid="{00000000-0005-0000-0000-0000CD040000}"/>
    <cellStyle name="40% - Accent2 3 4 2 2 2" xfId="15987" xr:uid="{42B8370F-5D3F-4B4D-9CA3-318B6327D7B8}"/>
    <cellStyle name="40% - Accent2 3 4 2 3" xfId="11769" xr:uid="{F9C65BAD-0DDE-41B5-A028-3F3253A2C542}"/>
    <cellStyle name="40% - Accent2 3 4 3" xfId="5392" xr:uid="{00000000-0005-0000-0000-0000CE040000}"/>
    <cellStyle name="40% - Accent2 3 4 3 2" xfId="13842" xr:uid="{2232D9D8-2292-4CBA-A4B0-1FCD59B7B84D}"/>
    <cellStyle name="40% - Accent2 3 4 4" xfId="9624" xr:uid="{DD9CD994-ADDE-4044-AC0B-F2140FC3214A}"/>
    <cellStyle name="40% - Accent2 3 5" xfId="1498" xr:uid="{00000000-0005-0000-0000-0000CF040000}"/>
    <cellStyle name="40% - Accent2 3 5 2" xfId="3728" xr:uid="{00000000-0005-0000-0000-0000D0040000}"/>
    <cellStyle name="40% - Accent2 3 5 2 2" xfId="7950" xr:uid="{00000000-0005-0000-0000-0000D1040000}"/>
    <cellStyle name="40% - Accent2 3 5 2 2 2" xfId="16400" xr:uid="{039154E7-7DE0-46A3-A1D4-F28637713114}"/>
    <cellStyle name="40% - Accent2 3 5 2 3" xfId="12182" xr:uid="{B8E119CC-803C-4A21-8402-4C7049BBBCDB}"/>
    <cellStyle name="40% - Accent2 3 5 3" xfId="5805" xr:uid="{00000000-0005-0000-0000-0000D2040000}"/>
    <cellStyle name="40% - Accent2 3 5 3 2" xfId="14255" xr:uid="{50C50DA5-7390-48CB-9A6A-163BEC29709B}"/>
    <cellStyle name="40% - Accent2 3 5 4" xfId="10037" xr:uid="{5D60E8BF-DDE1-42FC-81E4-F29C52F84142}"/>
    <cellStyle name="40% - Accent2 3 6" xfId="1912" xr:uid="{00000000-0005-0000-0000-0000D3040000}"/>
    <cellStyle name="40% - Accent2 3 6 2" xfId="4141" xr:uid="{00000000-0005-0000-0000-0000D4040000}"/>
    <cellStyle name="40% - Accent2 3 6 2 2" xfId="8363" xr:uid="{00000000-0005-0000-0000-0000D5040000}"/>
    <cellStyle name="40% - Accent2 3 6 2 2 2" xfId="16813" xr:uid="{28FD9F56-A346-44BA-9449-C4E3B36197CA}"/>
    <cellStyle name="40% - Accent2 3 6 2 3" xfId="12595" xr:uid="{4779579B-8BF7-430D-8FBB-61CBCDB169BE}"/>
    <cellStyle name="40% - Accent2 3 6 3" xfId="6218" xr:uid="{00000000-0005-0000-0000-0000D6040000}"/>
    <cellStyle name="40% - Accent2 3 6 3 2" xfId="14668" xr:uid="{7FC32ECA-E82A-4F1B-B205-692D753C08FF}"/>
    <cellStyle name="40% - Accent2 3 6 4" xfId="10450" xr:uid="{46DA6CD0-E438-49DA-A746-463F999D679E}"/>
    <cellStyle name="40% - Accent2 3 7" xfId="2325" xr:uid="{00000000-0005-0000-0000-0000D7040000}"/>
    <cellStyle name="40% - Accent2 3 7 2" xfId="6631" xr:uid="{00000000-0005-0000-0000-0000D8040000}"/>
    <cellStyle name="40% - Accent2 3 7 2 2" xfId="15081" xr:uid="{E932DCB8-8BD8-49F6-808E-2DEECC56E43B}"/>
    <cellStyle name="40% - Accent2 3 7 3" xfId="10863" xr:uid="{3075B1D7-84C3-44FB-8F96-5C839C069F66}"/>
    <cellStyle name="40% - Accent2 3 8" xfId="4565" xr:uid="{00000000-0005-0000-0000-0000D9040000}"/>
    <cellStyle name="40% - Accent2 3 8 2" xfId="13015" xr:uid="{7EFA95B8-3A3E-4297-BA63-236F7FCD871E}"/>
    <cellStyle name="40% - Accent2 3 9" xfId="8797" xr:uid="{EBEF2652-562A-4468-BB67-AEDDA949ED7B}"/>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2 2 2" xfId="15576" xr:uid="{2FCA743E-C232-411F-A8FE-7524EDB4AB35}"/>
    <cellStyle name="40% - Accent2 4 2 2 3" xfId="11358" xr:uid="{C3D2E566-3FB7-430B-8895-1356A998E5A6}"/>
    <cellStyle name="40% - Accent2 4 2 3" xfId="4981" xr:uid="{00000000-0005-0000-0000-0000DE040000}"/>
    <cellStyle name="40% - Accent2 4 2 3 2" xfId="13431" xr:uid="{E5CC5085-2A49-4026-BD82-EE4F344EAE40}"/>
    <cellStyle name="40% - Accent2 4 2 4" xfId="9213" xr:uid="{FB22DB9C-F09D-4E5F-9A9B-0CDD1B4A1295}"/>
    <cellStyle name="40% - Accent2 4 3" xfId="1086" xr:uid="{00000000-0005-0000-0000-0000DF040000}"/>
    <cellStyle name="40% - Accent2 4 3 2" xfId="3317" xr:uid="{00000000-0005-0000-0000-0000E0040000}"/>
    <cellStyle name="40% - Accent2 4 3 2 2" xfId="7539" xr:uid="{00000000-0005-0000-0000-0000E1040000}"/>
    <cellStyle name="40% - Accent2 4 3 2 2 2" xfId="15989" xr:uid="{6337292C-8D5D-4C27-ACB1-80C2ECE62613}"/>
    <cellStyle name="40% - Accent2 4 3 2 3" xfId="11771" xr:uid="{152ABD2F-1D97-49C9-A135-E803B3D67AEE}"/>
    <cellStyle name="40% - Accent2 4 3 3" xfId="5394" xr:uid="{00000000-0005-0000-0000-0000E2040000}"/>
    <cellStyle name="40% - Accent2 4 3 3 2" xfId="13844" xr:uid="{A57048B5-2454-4CB8-B3EF-79767C16F595}"/>
    <cellStyle name="40% - Accent2 4 3 4" xfId="9626" xr:uid="{DBEE0174-E538-4576-8927-2A3B1EE1C883}"/>
    <cellStyle name="40% - Accent2 4 4" xfId="1500" xr:uid="{00000000-0005-0000-0000-0000E3040000}"/>
    <cellStyle name="40% - Accent2 4 4 2" xfId="3730" xr:uid="{00000000-0005-0000-0000-0000E4040000}"/>
    <cellStyle name="40% - Accent2 4 4 2 2" xfId="7952" xr:uid="{00000000-0005-0000-0000-0000E5040000}"/>
    <cellStyle name="40% - Accent2 4 4 2 2 2" xfId="16402" xr:uid="{470AD7DD-A97F-4BAE-92EF-2BBD00581776}"/>
    <cellStyle name="40% - Accent2 4 4 2 3" xfId="12184" xr:uid="{E8B7863A-8ACA-4B79-8EE0-B53A39E34082}"/>
    <cellStyle name="40% - Accent2 4 4 3" xfId="5807" xr:uid="{00000000-0005-0000-0000-0000E6040000}"/>
    <cellStyle name="40% - Accent2 4 4 3 2" xfId="14257" xr:uid="{BD2C21A2-0349-4982-ACE9-DAFB577428F5}"/>
    <cellStyle name="40% - Accent2 4 4 4" xfId="10039" xr:uid="{377DD070-640D-4ECB-A01C-ADFFE80B61F4}"/>
    <cellStyle name="40% - Accent2 4 5" xfId="1914" xr:uid="{00000000-0005-0000-0000-0000E7040000}"/>
    <cellStyle name="40% - Accent2 4 5 2" xfId="4143" xr:uid="{00000000-0005-0000-0000-0000E8040000}"/>
    <cellStyle name="40% - Accent2 4 5 2 2" xfId="8365" xr:uid="{00000000-0005-0000-0000-0000E9040000}"/>
    <cellStyle name="40% - Accent2 4 5 2 2 2" xfId="16815" xr:uid="{110CACC4-F83B-4674-884F-58A7054F9825}"/>
    <cellStyle name="40% - Accent2 4 5 2 3" xfId="12597" xr:uid="{4733E7AB-605F-489D-A30D-498A0C7B4A1D}"/>
    <cellStyle name="40% - Accent2 4 5 3" xfId="6220" xr:uid="{00000000-0005-0000-0000-0000EA040000}"/>
    <cellStyle name="40% - Accent2 4 5 3 2" xfId="14670" xr:uid="{3BEFD264-7E3C-4C14-828A-BEDAAC59546D}"/>
    <cellStyle name="40% - Accent2 4 5 4" xfId="10452" xr:uid="{3083D924-5CAC-4320-8D0A-99270BFC5900}"/>
    <cellStyle name="40% - Accent2 4 6" xfId="2327" xr:uid="{00000000-0005-0000-0000-0000EB040000}"/>
    <cellStyle name="40% - Accent2 4 6 2" xfId="6633" xr:uid="{00000000-0005-0000-0000-0000EC040000}"/>
    <cellStyle name="40% - Accent2 4 6 2 2" xfId="15083" xr:uid="{84CE2578-196F-404D-9C8D-8E8A46C95E0B}"/>
    <cellStyle name="40% - Accent2 4 6 3" xfId="10865" xr:uid="{F7AF7DE6-F969-48D7-BA25-5FC2C56E08D0}"/>
    <cellStyle name="40% - Accent2 4 7" xfId="4567" xr:uid="{00000000-0005-0000-0000-0000ED040000}"/>
    <cellStyle name="40% - Accent2 4 7 2" xfId="13017" xr:uid="{C04879EE-16D9-4384-B950-12AAF769868E}"/>
    <cellStyle name="40% - Accent2 4 8" xfId="8799" xr:uid="{21F46ECD-9BD3-482F-91C2-8953E61FDC7E}"/>
    <cellStyle name="40% - Accent2 5" xfId="626" xr:uid="{00000000-0005-0000-0000-0000EE040000}"/>
    <cellStyle name="40% - Accent2 5 2" xfId="2897" xr:uid="{00000000-0005-0000-0000-0000EF040000}"/>
    <cellStyle name="40% - Accent2 5 2 2" xfId="7119" xr:uid="{00000000-0005-0000-0000-0000F0040000}"/>
    <cellStyle name="40% - Accent2 5 2 2 2" xfId="15569" xr:uid="{8267A4DF-4440-4F3F-A301-CCC97E25B530}"/>
    <cellStyle name="40% - Accent2 5 2 3" xfId="11351" xr:uid="{D27B522E-AE37-4867-B29C-D7FEF5B40E4B}"/>
    <cellStyle name="40% - Accent2 5 3" xfId="4974" xr:uid="{00000000-0005-0000-0000-0000F1040000}"/>
    <cellStyle name="40% - Accent2 5 3 2" xfId="13424" xr:uid="{E8C32E7F-C187-4431-BB3E-4C0515B8A8EC}"/>
    <cellStyle name="40% - Accent2 5 4" xfId="9206" xr:uid="{24B57EC0-06A1-4555-834B-8EC3FF6E873D}"/>
    <cellStyle name="40% - Accent2 6" xfId="1079" xr:uid="{00000000-0005-0000-0000-0000F2040000}"/>
    <cellStyle name="40% - Accent2 6 2" xfId="3310" xr:uid="{00000000-0005-0000-0000-0000F3040000}"/>
    <cellStyle name="40% - Accent2 6 2 2" xfId="7532" xr:uid="{00000000-0005-0000-0000-0000F4040000}"/>
    <cellStyle name="40% - Accent2 6 2 2 2" xfId="15982" xr:uid="{49CCD653-B53C-46B5-9BEB-C66925553939}"/>
    <cellStyle name="40% - Accent2 6 2 3" xfId="11764" xr:uid="{D04A33A9-EB0D-4B11-91D9-35E6CA2D8376}"/>
    <cellStyle name="40% - Accent2 6 3" xfId="5387" xr:uid="{00000000-0005-0000-0000-0000F5040000}"/>
    <cellStyle name="40% - Accent2 6 3 2" xfId="13837" xr:uid="{AF92182C-2267-4B72-98F6-C164739FD94A}"/>
    <cellStyle name="40% - Accent2 6 4" xfId="9619" xr:uid="{8F1AA330-E42D-462F-A83E-96C6E2907D21}"/>
    <cellStyle name="40% - Accent2 7" xfId="1493" xr:uid="{00000000-0005-0000-0000-0000F6040000}"/>
    <cellStyle name="40% - Accent2 7 2" xfId="3723" xr:uid="{00000000-0005-0000-0000-0000F7040000}"/>
    <cellStyle name="40% - Accent2 7 2 2" xfId="7945" xr:uid="{00000000-0005-0000-0000-0000F8040000}"/>
    <cellStyle name="40% - Accent2 7 2 2 2" xfId="16395" xr:uid="{7F0BA61F-9B72-437C-BAAB-FC216D7F758E}"/>
    <cellStyle name="40% - Accent2 7 2 3" xfId="12177" xr:uid="{C82A65FB-189F-412A-AA13-1DF4CF71DBBA}"/>
    <cellStyle name="40% - Accent2 7 3" xfId="5800" xr:uid="{00000000-0005-0000-0000-0000F9040000}"/>
    <cellStyle name="40% - Accent2 7 3 2" xfId="14250" xr:uid="{E64A285D-4D16-4087-AFB6-E505F9A5913C}"/>
    <cellStyle name="40% - Accent2 7 4" xfId="10032" xr:uid="{307A7B97-139E-487A-8BFE-2E2A821FA70C}"/>
    <cellStyle name="40% - Accent2 8" xfId="1907" xr:uid="{00000000-0005-0000-0000-0000FA040000}"/>
    <cellStyle name="40% - Accent2 8 2" xfId="4136" xr:uid="{00000000-0005-0000-0000-0000FB040000}"/>
    <cellStyle name="40% - Accent2 8 2 2" xfId="8358" xr:uid="{00000000-0005-0000-0000-0000FC040000}"/>
    <cellStyle name="40% - Accent2 8 2 2 2" xfId="16808" xr:uid="{961D3D8E-C5CE-4A15-9493-21EC0BD33C2C}"/>
    <cellStyle name="40% - Accent2 8 2 3" xfId="12590" xr:uid="{396544C1-AC11-47C4-A6C6-B53574C11D3E}"/>
    <cellStyle name="40% - Accent2 8 3" xfId="6213" xr:uid="{00000000-0005-0000-0000-0000FD040000}"/>
    <cellStyle name="40% - Accent2 8 3 2" xfId="14663" xr:uid="{5F10E9F9-268B-48E6-9E3E-71D11A602D70}"/>
    <cellStyle name="40% - Accent2 8 4" xfId="10445" xr:uid="{7660D5DE-625D-4C63-945B-8C8E4744F617}"/>
    <cellStyle name="40% - Accent2 9" xfId="2320" xr:uid="{00000000-0005-0000-0000-0000FE040000}"/>
    <cellStyle name="40% - Accent2 9 2" xfId="6626" xr:uid="{00000000-0005-0000-0000-0000FF040000}"/>
    <cellStyle name="40% - Accent2 9 2 2" xfId="15076" xr:uid="{77ACC648-C712-42CC-9AB3-143DE9889E76}"/>
    <cellStyle name="40% - Accent2 9 3" xfId="10858" xr:uid="{4E12F2D1-C10C-46A9-9FC9-FBD67AA051C2}"/>
    <cellStyle name="40% - Accent3" xfId="65" builtinId="39" customBuiltin="1"/>
    <cellStyle name="40% - Accent3 10" xfId="4568" xr:uid="{00000000-0005-0000-0000-000001050000}"/>
    <cellStyle name="40% - Accent3 10 2" xfId="13018" xr:uid="{4AED42BE-9958-4CD5-9DF9-3081721F6023}"/>
    <cellStyle name="40% - Accent3 11" xfId="8800" xr:uid="{D4521B90-CF71-4F19-99F4-B29AC3A11C42}"/>
    <cellStyle name="40% - Accent3 2" xfId="66" xr:uid="{00000000-0005-0000-0000-000002050000}"/>
    <cellStyle name="40% - Accent3 2 10" xfId="8801" xr:uid="{ADF4FA71-E604-4EF3-9715-69035044F7C9}"/>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2 2 2" xfId="15580" xr:uid="{88A0ADE0-8D74-4621-A930-BB0FCAE0AFA8}"/>
    <cellStyle name="40% - Accent3 2 2 2 2 2 3" xfId="11362" xr:uid="{9D8EBA79-D09C-4DFA-AC26-32CBE13A56F2}"/>
    <cellStyle name="40% - Accent3 2 2 2 2 3" xfId="4985" xr:uid="{00000000-0005-0000-0000-000008050000}"/>
    <cellStyle name="40% - Accent3 2 2 2 2 3 2" xfId="13435" xr:uid="{AE8B16F1-3213-400A-A61F-48E6847812C8}"/>
    <cellStyle name="40% - Accent3 2 2 2 2 4" xfId="9217" xr:uid="{2190947C-0D0A-40A5-9152-C4FB711E95B0}"/>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2 2 2" xfId="15993" xr:uid="{02C224E5-0DD6-46AD-AB62-76CBB7BE5284}"/>
    <cellStyle name="40% - Accent3 2 2 2 3 2 3" xfId="11775" xr:uid="{D4D228BD-B722-4AD5-BC3B-21AF2D476EE2}"/>
    <cellStyle name="40% - Accent3 2 2 2 3 3" xfId="5398" xr:uid="{00000000-0005-0000-0000-00000C050000}"/>
    <cellStyle name="40% - Accent3 2 2 2 3 3 2" xfId="13848" xr:uid="{F46908D0-2252-4641-A6BC-ACA11FD2BED5}"/>
    <cellStyle name="40% - Accent3 2 2 2 3 4" xfId="9630" xr:uid="{8099843F-6E39-4539-A895-9CD7BF258D7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2 2 2" xfId="16406" xr:uid="{D637B32A-5F98-493C-99D1-4238DD016144}"/>
    <cellStyle name="40% - Accent3 2 2 2 4 2 3" xfId="12188" xr:uid="{42F41043-B11A-423B-9083-4AE338E49856}"/>
    <cellStyle name="40% - Accent3 2 2 2 4 3" xfId="5811" xr:uid="{00000000-0005-0000-0000-000010050000}"/>
    <cellStyle name="40% - Accent3 2 2 2 4 3 2" xfId="14261" xr:uid="{578A9621-FC9A-4543-8A35-AADD73FD9A0D}"/>
    <cellStyle name="40% - Accent3 2 2 2 4 4" xfId="10043" xr:uid="{BDF3D2F5-CC9C-4F84-89DA-31AE9BD43FF4}"/>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2 2 2" xfId="16819" xr:uid="{600688B5-7A7D-452B-9280-FE51BA0D41BE}"/>
    <cellStyle name="40% - Accent3 2 2 2 5 2 3" xfId="12601" xr:uid="{FDFA17C6-EFC6-4349-A570-188FFD783A43}"/>
    <cellStyle name="40% - Accent3 2 2 2 5 3" xfId="6224" xr:uid="{00000000-0005-0000-0000-000014050000}"/>
    <cellStyle name="40% - Accent3 2 2 2 5 3 2" xfId="14674" xr:uid="{274471E9-65DD-42F5-B54B-68CAE78F4A21}"/>
    <cellStyle name="40% - Accent3 2 2 2 5 4" xfId="10456" xr:uid="{F3FAEF92-B2B3-4A4C-B2C7-77A9EFC683DA}"/>
    <cellStyle name="40% - Accent3 2 2 2 6" xfId="2331" xr:uid="{00000000-0005-0000-0000-000015050000}"/>
    <cellStyle name="40% - Accent3 2 2 2 6 2" xfId="6637" xr:uid="{00000000-0005-0000-0000-000016050000}"/>
    <cellStyle name="40% - Accent3 2 2 2 6 2 2" xfId="15087" xr:uid="{81481268-1D98-4727-88C7-B82C6A5FE23B}"/>
    <cellStyle name="40% - Accent3 2 2 2 6 3" xfId="10869" xr:uid="{0E3E2DBD-4E57-4E67-A738-59729F5EB1AA}"/>
    <cellStyle name="40% - Accent3 2 2 2 7" xfId="4571" xr:uid="{00000000-0005-0000-0000-000017050000}"/>
    <cellStyle name="40% - Accent3 2 2 2 7 2" xfId="13021" xr:uid="{46E56150-EE02-4A95-A673-B5AB9B6AE22E}"/>
    <cellStyle name="40% - Accent3 2 2 2 8" xfId="8803" xr:uid="{F5E1724D-C091-445F-82A6-A80AF72230A6}"/>
    <cellStyle name="40% - Accent3 2 2 3" xfId="636" xr:uid="{00000000-0005-0000-0000-000018050000}"/>
    <cellStyle name="40% - Accent3 2 2 3 2" xfId="2907" xr:uid="{00000000-0005-0000-0000-000019050000}"/>
    <cellStyle name="40% - Accent3 2 2 3 2 2" xfId="7129" xr:uid="{00000000-0005-0000-0000-00001A050000}"/>
    <cellStyle name="40% - Accent3 2 2 3 2 2 2" xfId="15579" xr:uid="{0E7E5297-BD6E-4C55-8949-8D438BC4D04F}"/>
    <cellStyle name="40% - Accent3 2 2 3 2 3" xfId="11361" xr:uid="{B3D11FC4-8A10-49D2-A70D-09B3719CF624}"/>
    <cellStyle name="40% - Accent3 2 2 3 3" xfId="4984" xr:uid="{00000000-0005-0000-0000-00001B050000}"/>
    <cellStyle name="40% - Accent3 2 2 3 3 2" xfId="13434" xr:uid="{D22C049D-541F-45B5-B9FE-1B9BBB4613E3}"/>
    <cellStyle name="40% - Accent3 2 2 3 4" xfId="9216" xr:uid="{D47EA3C1-5D8A-4410-911F-D82BA524C6B4}"/>
    <cellStyle name="40% - Accent3 2 2 4" xfId="1089" xr:uid="{00000000-0005-0000-0000-00001C050000}"/>
    <cellStyle name="40% - Accent3 2 2 4 2" xfId="3320" xr:uid="{00000000-0005-0000-0000-00001D050000}"/>
    <cellStyle name="40% - Accent3 2 2 4 2 2" xfId="7542" xr:uid="{00000000-0005-0000-0000-00001E050000}"/>
    <cellStyle name="40% - Accent3 2 2 4 2 2 2" xfId="15992" xr:uid="{1AC0C0E7-0B61-41F4-9D37-1972FCB978AC}"/>
    <cellStyle name="40% - Accent3 2 2 4 2 3" xfId="11774" xr:uid="{49B738FD-C121-4D17-92D5-97F240D74C7E}"/>
    <cellStyle name="40% - Accent3 2 2 4 3" xfId="5397" xr:uid="{00000000-0005-0000-0000-00001F050000}"/>
    <cellStyle name="40% - Accent3 2 2 4 3 2" xfId="13847" xr:uid="{E325B59B-5148-4F5F-8B44-A265F9483E27}"/>
    <cellStyle name="40% - Accent3 2 2 4 4" xfId="9629" xr:uid="{07174019-F802-4B0C-A49B-3715BE62DBEF}"/>
    <cellStyle name="40% - Accent3 2 2 5" xfId="1503" xr:uid="{00000000-0005-0000-0000-000020050000}"/>
    <cellStyle name="40% - Accent3 2 2 5 2" xfId="3733" xr:uid="{00000000-0005-0000-0000-000021050000}"/>
    <cellStyle name="40% - Accent3 2 2 5 2 2" xfId="7955" xr:uid="{00000000-0005-0000-0000-000022050000}"/>
    <cellStyle name="40% - Accent3 2 2 5 2 2 2" xfId="16405" xr:uid="{B5D73A78-AEA7-4E1A-B4C1-748F15A489B8}"/>
    <cellStyle name="40% - Accent3 2 2 5 2 3" xfId="12187" xr:uid="{61C3D724-4927-482F-940C-8D0D7C4901F0}"/>
    <cellStyle name="40% - Accent3 2 2 5 3" xfId="5810" xr:uid="{00000000-0005-0000-0000-000023050000}"/>
    <cellStyle name="40% - Accent3 2 2 5 3 2" xfId="14260" xr:uid="{EA747438-1213-48C5-B428-6915EDA53137}"/>
    <cellStyle name="40% - Accent3 2 2 5 4" xfId="10042" xr:uid="{915D04FE-3FF5-4818-A41C-8992A227BBFC}"/>
    <cellStyle name="40% - Accent3 2 2 6" xfId="1917" xr:uid="{00000000-0005-0000-0000-000024050000}"/>
    <cellStyle name="40% - Accent3 2 2 6 2" xfId="4146" xr:uid="{00000000-0005-0000-0000-000025050000}"/>
    <cellStyle name="40% - Accent3 2 2 6 2 2" xfId="8368" xr:uid="{00000000-0005-0000-0000-000026050000}"/>
    <cellStyle name="40% - Accent3 2 2 6 2 2 2" xfId="16818" xr:uid="{4193CB1C-C95E-4F15-934E-5E2C556ED896}"/>
    <cellStyle name="40% - Accent3 2 2 6 2 3" xfId="12600" xr:uid="{F4914B6C-A1D5-424D-8C59-F74A1A3E05BA}"/>
    <cellStyle name="40% - Accent3 2 2 6 3" xfId="6223" xr:uid="{00000000-0005-0000-0000-000027050000}"/>
    <cellStyle name="40% - Accent3 2 2 6 3 2" xfId="14673" xr:uid="{12AF0D01-1188-4855-991A-9FCAFC835F9E}"/>
    <cellStyle name="40% - Accent3 2 2 6 4" xfId="10455" xr:uid="{15DF4DA4-791A-4A49-9889-B26C29F59CF8}"/>
    <cellStyle name="40% - Accent3 2 2 7" xfId="2330" xr:uid="{00000000-0005-0000-0000-000028050000}"/>
    <cellStyle name="40% - Accent3 2 2 7 2" xfId="6636" xr:uid="{00000000-0005-0000-0000-000029050000}"/>
    <cellStyle name="40% - Accent3 2 2 7 2 2" xfId="15086" xr:uid="{F8D8ECA5-4528-42B8-ACFE-160026FB0039}"/>
    <cellStyle name="40% - Accent3 2 2 7 3" xfId="10868" xr:uid="{FEB8FE4E-5827-47F9-8BDE-5070E46CBB96}"/>
    <cellStyle name="40% - Accent3 2 2 8" xfId="4570" xr:uid="{00000000-0005-0000-0000-00002A050000}"/>
    <cellStyle name="40% - Accent3 2 2 8 2" xfId="13020" xr:uid="{4D207659-B4CF-468A-8FB4-570E3F1BFEBD}"/>
    <cellStyle name="40% - Accent3 2 2 9" xfId="8802" xr:uid="{2EAA1466-7E4E-4F3F-92EF-95FBD6E4AB93}"/>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2 2 2" xfId="15581" xr:uid="{2BDC00AE-8D51-40A7-A6FD-F5938490AE37}"/>
    <cellStyle name="40% - Accent3 2 3 2 2 3" xfId="11363" xr:uid="{B1A1F616-E280-46F2-9BED-4875F3E5A8A0}"/>
    <cellStyle name="40% - Accent3 2 3 2 3" xfId="4986" xr:uid="{00000000-0005-0000-0000-00002F050000}"/>
    <cellStyle name="40% - Accent3 2 3 2 3 2" xfId="13436" xr:uid="{1E69BE27-D9F4-4784-8779-5D8C2F5D8DB4}"/>
    <cellStyle name="40% - Accent3 2 3 2 4" xfId="9218" xr:uid="{2E834765-5D59-41F9-AAFE-B3CDBED0EFA7}"/>
    <cellStyle name="40% - Accent3 2 3 3" xfId="1091" xr:uid="{00000000-0005-0000-0000-000030050000}"/>
    <cellStyle name="40% - Accent3 2 3 3 2" xfId="3322" xr:uid="{00000000-0005-0000-0000-000031050000}"/>
    <cellStyle name="40% - Accent3 2 3 3 2 2" xfId="7544" xr:uid="{00000000-0005-0000-0000-000032050000}"/>
    <cellStyle name="40% - Accent3 2 3 3 2 2 2" xfId="15994" xr:uid="{C632D082-588F-44EC-BDDE-CA77E446EA49}"/>
    <cellStyle name="40% - Accent3 2 3 3 2 3" xfId="11776" xr:uid="{3362834E-4F22-4B1D-B60C-D1A152B99628}"/>
    <cellStyle name="40% - Accent3 2 3 3 3" xfId="5399" xr:uid="{00000000-0005-0000-0000-000033050000}"/>
    <cellStyle name="40% - Accent3 2 3 3 3 2" xfId="13849" xr:uid="{3E08FBBE-237D-4310-A161-6F3014E3BC15}"/>
    <cellStyle name="40% - Accent3 2 3 3 4" xfId="9631" xr:uid="{7CAAC28F-0928-4CF7-9AA7-8099531879C1}"/>
    <cellStyle name="40% - Accent3 2 3 4" xfId="1505" xr:uid="{00000000-0005-0000-0000-000034050000}"/>
    <cellStyle name="40% - Accent3 2 3 4 2" xfId="3735" xr:uid="{00000000-0005-0000-0000-000035050000}"/>
    <cellStyle name="40% - Accent3 2 3 4 2 2" xfId="7957" xr:uid="{00000000-0005-0000-0000-000036050000}"/>
    <cellStyle name="40% - Accent3 2 3 4 2 2 2" xfId="16407" xr:uid="{DE90512B-0F87-432B-876D-FBDC92B52856}"/>
    <cellStyle name="40% - Accent3 2 3 4 2 3" xfId="12189" xr:uid="{1F829C45-B8A7-4D8A-89D7-D0DAD09BC297}"/>
    <cellStyle name="40% - Accent3 2 3 4 3" xfId="5812" xr:uid="{00000000-0005-0000-0000-000037050000}"/>
    <cellStyle name="40% - Accent3 2 3 4 3 2" xfId="14262" xr:uid="{4AB54A22-F995-4E9B-9181-CFBAA76A1D8F}"/>
    <cellStyle name="40% - Accent3 2 3 4 4" xfId="10044" xr:uid="{2FF1098F-FD05-47A3-82A1-8FD672C25AC3}"/>
    <cellStyle name="40% - Accent3 2 3 5" xfId="1919" xr:uid="{00000000-0005-0000-0000-000038050000}"/>
    <cellStyle name="40% - Accent3 2 3 5 2" xfId="4148" xr:uid="{00000000-0005-0000-0000-000039050000}"/>
    <cellStyle name="40% - Accent3 2 3 5 2 2" xfId="8370" xr:uid="{00000000-0005-0000-0000-00003A050000}"/>
    <cellStyle name="40% - Accent3 2 3 5 2 2 2" xfId="16820" xr:uid="{1B8AE46D-01CB-4A5A-91D3-C294DD68C45E}"/>
    <cellStyle name="40% - Accent3 2 3 5 2 3" xfId="12602" xr:uid="{6C5247DD-7159-4B0C-81D0-EE0CE769C452}"/>
    <cellStyle name="40% - Accent3 2 3 5 3" xfId="6225" xr:uid="{00000000-0005-0000-0000-00003B050000}"/>
    <cellStyle name="40% - Accent3 2 3 5 3 2" xfId="14675" xr:uid="{62B85E45-02E0-4000-944B-49C3865444EA}"/>
    <cellStyle name="40% - Accent3 2 3 5 4" xfId="10457" xr:uid="{ED81339B-638A-4F43-A9C4-9134A8C94456}"/>
    <cellStyle name="40% - Accent3 2 3 6" xfId="2332" xr:uid="{00000000-0005-0000-0000-00003C050000}"/>
    <cellStyle name="40% - Accent3 2 3 6 2" xfId="6638" xr:uid="{00000000-0005-0000-0000-00003D050000}"/>
    <cellStyle name="40% - Accent3 2 3 6 2 2" xfId="15088" xr:uid="{BA524D2C-9F38-444C-90DB-1F96F30EB249}"/>
    <cellStyle name="40% - Accent3 2 3 6 3" xfId="10870" xr:uid="{330CB260-10DD-4E2C-A804-7F08483AF1AC}"/>
    <cellStyle name="40% - Accent3 2 3 7" xfId="4572" xr:uid="{00000000-0005-0000-0000-00003E050000}"/>
    <cellStyle name="40% - Accent3 2 3 7 2" xfId="13022" xr:uid="{5A6220C9-6FE1-481F-9690-10598BBF4F62}"/>
    <cellStyle name="40% - Accent3 2 3 8" xfId="8804" xr:uid="{99155FF7-1979-4E19-AF57-D41ACCF07DBF}"/>
    <cellStyle name="40% - Accent3 2 4" xfId="635" xr:uid="{00000000-0005-0000-0000-00003F050000}"/>
    <cellStyle name="40% - Accent3 2 4 2" xfId="2906" xr:uid="{00000000-0005-0000-0000-000040050000}"/>
    <cellStyle name="40% - Accent3 2 4 2 2" xfId="7128" xr:uid="{00000000-0005-0000-0000-000041050000}"/>
    <cellStyle name="40% - Accent3 2 4 2 2 2" xfId="15578" xr:uid="{61D8930D-09A3-49ED-BC27-D32F4A41CF40}"/>
    <cellStyle name="40% - Accent3 2 4 2 3" xfId="11360" xr:uid="{42E67AB7-81BC-4C6E-86C0-E1840E945183}"/>
    <cellStyle name="40% - Accent3 2 4 3" xfId="4983" xr:uid="{00000000-0005-0000-0000-000042050000}"/>
    <cellStyle name="40% - Accent3 2 4 3 2" xfId="13433" xr:uid="{70F2E5F2-3498-4FCF-A06F-E09B83D6BCA2}"/>
    <cellStyle name="40% - Accent3 2 4 4" xfId="9215" xr:uid="{06C67DA8-FA9F-4885-8B88-7D6C91D8EDF3}"/>
    <cellStyle name="40% - Accent3 2 5" xfId="1088" xr:uid="{00000000-0005-0000-0000-000043050000}"/>
    <cellStyle name="40% - Accent3 2 5 2" xfId="3319" xr:uid="{00000000-0005-0000-0000-000044050000}"/>
    <cellStyle name="40% - Accent3 2 5 2 2" xfId="7541" xr:uid="{00000000-0005-0000-0000-000045050000}"/>
    <cellStyle name="40% - Accent3 2 5 2 2 2" xfId="15991" xr:uid="{65558816-9279-470B-8C20-76B67C19B810}"/>
    <cellStyle name="40% - Accent3 2 5 2 3" xfId="11773" xr:uid="{31EDA1E2-7B69-4CEA-84AC-8019E9FFC525}"/>
    <cellStyle name="40% - Accent3 2 5 3" xfId="5396" xr:uid="{00000000-0005-0000-0000-000046050000}"/>
    <cellStyle name="40% - Accent3 2 5 3 2" xfId="13846" xr:uid="{070C5532-C8A3-4CC3-88D6-4176EAC6E329}"/>
    <cellStyle name="40% - Accent3 2 5 4" xfId="9628" xr:uid="{4C3B515C-2A44-4A85-850B-B2C6415F20AE}"/>
    <cellStyle name="40% - Accent3 2 6" xfId="1502" xr:uid="{00000000-0005-0000-0000-000047050000}"/>
    <cellStyle name="40% - Accent3 2 6 2" xfId="3732" xr:uid="{00000000-0005-0000-0000-000048050000}"/>
    <cellStyle name="40% - Accent3 2 6 2 2" xfId="7954" xr:uid="{00000000-0005-0000-0000-000049050000}"/>
    <cellStyle name="40% - Accent3 2 6 2 2 2" xfId="16404" xr:uid="{FCAC9B52-4F4D-4EB1-9496-F24616E306B4}"/>
    <cellStyle name="40% - Accent3 2 6 2 3" xfId="12186" xr:uid="{9BB5EFA9-DC9C-48A1-95E1-FC76B248D51B}"/>
    <cellStyle name="40% - Accent3 2 6 3" xfId="5809" xr:uid="{00000000-0005-0000-0000-00004A050000}"/>
    <cellStyle name="40% - Accent3 2 6 3 2" xfId="14259" xr:uid="{AD795E5F-8B08-4075-B6FC-D8E094C476E5}"/>
    <cellStyle name="40% - Accent3 2 6 4" xfId="10041" xr:uid="{190ACE2A-1B12-4A1A-B147-B011964B009A}"/>
    <cellStyle name="40% - Accent3 2 7" xfId="1916" xr:uid="{00000000-0005-0000-0000-00004B050000}"/>
    <cellStyle name="40% - Accent3 2 7 2" xfId="4145" xr:uid="{00000000-0005-0000-0000-00004C050000}"/>
    <cellStyle name="40% - Accent3 2 7 2 2" xfId="8367" xr:uid="{00000000-0005-0000-0000-00004D050000}"/>
    <cellStyle name="40% - Accent3 2 7 2 2 2" xfId="16817" xr:uid="{C3F2B4F4-0885-4A63-8325-24457B896A54}"/>
    <cellStyle name="40% - Accent3 2 7 2 3" xfId="12599" xr:uid="{281A835B-3B7E-488F-8544-B7E3691F78A2}"/>
    <cellStyle name="40% - Accent3 2 7 3" xfId="6222" xr:uid="{00000000-0005-0000-0000-00004E050000}"/>
    <cellStyle name="40% - Accent3 2 7 3 2" xfId="14672" xr:uid="{B73A0070-6187-4A0D-8D9A-213B905DE83A}"/>
    <cellStyle name="40% - Accent3 2 7 4" xfId="10454" xr:uid="{4B3A779E-DCC4-486F-B4C2-5398F4F1BF1C}"/>
    <cellStyle name="40% - Accent3 2 8" xfId="2329" xr:uid="{00000000-0005-0000-0000-00004F050000}"/>
    <cellStyle name="40% - Accent3 2 8 2" xfId="6635" xr:uid="{00000000-0005-0000-0000-000050050000}"/>
    <cellStyle name="40% - Accent3 2 8 2 2" xfId="15085" xr:uid="{E1253D06-721C-443E-911C-110A6369E72E}"/>
    <cellStyle name="40% - Accent3 2 8 3" xfId="10867" xr:uid="{FC020939-D2AB-46A1-8450-F3BE3B36C014}"/>
    <cellStyle name="40% - Accent3 2 9" xfId="4569" xr:uid="{00000000-0005-0000-0000-000051050000}"/>
    <cellStyle name="40% - Accent3 2 9 2" xfId="13019" xr:uid="{B10C03A5-5FAD-47BF-A804-4430D7EC9E5D}"/>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2 2 2" xfId="15583" xr:uid="{C0861C50-91F7-41E2-8DA7-BC9A49ACD849}"/>
    <cellStyle name="40% - Accent3 3 2 2 2 3" xfId="11365" xr:uid="{647CC689-94AC-4685-8D5A-41976200C6BF}"/>
    <cellStyle name="40% - Accent3 3 2 2 3" xfId="4988" xr:uid="{00000000-0005-0000-0000-000057050000}"/>
    <cellStyle name="40% - Accent3 3 2 2 3 2" xfId="13438" xr:uid="{1266885A-DCD0-4BF7-BA74-A0D0285D8593}"/>
    <cellStyle name="40% - Accent3 3 2 2 4" xfId="9220" xr:uid="{02E626D3-79B9-4F6C-A985-A603978F14B0}"/>
    <cellStyle name="40% - Accent3 3 2 3" xfId="1093" xr:uid="{00000000-0005-0000-0000-000058050000}"/>
    <cellStyle name="40% - Accent3 3 2 3 2" xfId="3324" xr:uid="{00000000-0005-0000-0000-000059050000}"/>
    <cellStyle name="40% - Accent3 3 2 3 2 2" xfId="7546" xr:uid="{00000000-0005-0000-0000-00005A050000}"/>
    <cellStyle name="40% - Accent3 3 2 3 2 2 2" xfId="15996" xr:uid="{9B23CA94-5979-43C3-BDA7-95C55F62E147}"/>
    <cellStyle name="40% - Accent3 3 2 3 2 3" xfId="11778" xr:uid="{080C7FD0-BF27-468B-96E4-788EE5433EF4}"/>
    <cellStyle name="40% - Accent3 3 2 3 3" xfId="5401" xr:uid="{00000000-0005-0000-0000-00005B050000}"/>
    <cellStyle name="40% - Accent3 3 2 3 3 2" xfId="13851" xr:uid="{3C4BC1A2-F47F-4FC2-8C14-CE9E94F3EDA6}"/>
    <cellStyle name="40% - Accent3 3 2 3 4" xfId="9633" xr:uid="{172C1F32-5F54-4411-A222-1C463F946ED8}"/>
    <cellStyle name="40% - Accent3 3 2 4" xfId="1507" xr:uid="{00000000-0005-0000-0000-00005C050000}"/>
    <cellStyle name="40% - Accent3 3 2 4 2" xfId="3737" xr:uid="{00000000-0005-0000-0000-00005D050000}"/>
    <cellStyle name="40% - Accent3 3 2 4 2 2" xfId="7959" xr:uid="{00000000-0005-0000-0000-00005E050000}"/>
    <cellStyle name="40% - Accent3 3 2 4 2 2 2" xfId="16409" xr:uid="{849C3807-79B2-4992-B198-2A7DC5D52DAD}"/>
    <cellStyle name="40% - Accent3 3 2 4 2 3" xfId="12191" xr:uid="{12608F24-E27C-4D95-B11B-21B537823A37}"/>
    <cellStyle name="40% - Accent3 3 2 4 3" xfId="5814" xr:uid="{00000000-0005-0000-0000-00005F050000}"/>
    <cellStyle name="40% - Accent3 3 2 4 3 2" xfId="14264" xr:uid="{1CFA918F-ACF0-448E-A4B6-3F433A7648B3}"/>
    <cellStyle name="40% - Accent3 3 2 4 4" xfId="10046" xr:uid="{A4D0815B-7B63-40C3-95CF-631875E9752A}"/>
    <cellStyle name="40% - Accent3 3 2 5" xfId="1921" xr:uid="{00000000-0005-0000-0000-000060050000}"/>
    <cellStyle name="40% - Accent3 3 2 5 2" xfId="4150" xr:uid="{00000000-0005-0000-0000-000061050000}"/>
    <cellStyle name="40% - Accent3 3 2 5 2 2" xfId="8372" xr:uid="{00000000-0005-0000-0000-000062050000}"/>
    <cellStyle name="40% - Accent3 3 2 5 2 2 2" xfId="16822" xr:uid="{237C664D-C31C-4F9D-8324-4A859E082041}"/>
    <cellStyle name="40% - Accent3 3 2 5 2 3" xfId="12604" xr:uid="{3922923B-F29A-443D-8FF7-D0C3CB489ED3}"/>
    <cellStyle name="40% - Accent3 3 2 5 3" xfId="6227" xr:uid="{00000000-0005-0000-0000-000063050000}"/>
    <cellStyle name="40% - Accent3 3 2 5 3 2" xfId="14677" xr:uid="{30F57C24-8085-4BB7-8CC9-F1ADD8CE73BF}"/>
    <cellStyle name="40% - Accent3 3 2 5 4" xfId="10459" xr:uid="{8CE056C8-175D-4C4C-AE98-FE6F9A834D91}"/>
    <cellStyle name="40% - Accent3 3 2 6" xfId="2334" xr:uid="{00000000-0005-0000-0000-000064050000}"/>
    <cellStyle name="40% - Accent3 3 2 6 2" xfId="6640" xr:uid="{00000000-0005-0000-0000-000065050000}"/>
    <cellStyle name="40% - Accent3 3 2 6 2 2" xfId="15090" xr:uid="{4B543A59-7900-4A5C-B742-286F270038CE}"/>
    <cellStyle name="40% - Accent3 3 2 6 3" xfId="10872" xr:uid="{1487993E-294C-4F30-8164-E8F8FED6612C}"/>
    <cellStyle name="40% - Accent3 3 2 7" xfId="4574" xr:uid="{00000000-0005-0000-0000-000066050000}"/>
    <cellStyle name="40% - Accent3 3 2 7 2" xfId="13024" xr:uid="{14DA48CD-F691-43DC-B02B-269A4F5B6D3B}"/>
    <cellStyle name="40% - Accent3 3 2 8" xfId="8806" xr:uid="{415A08C3-B2A1-426F-BBD2-54D4CE6A9423}"/>
    <cellStyle name="40% - Accent3 3 3" xfId="639" xr:uid="{00000000-0005-0000-0000-000067050000}"/>
    <cellStyle name="40% - Accent3 3 3 2" xfId="2910" xr:uid="{00000000-0005-0000-0000-000068050000}"/>
    <cellStyle name="40% - Accent3 3 3 2 2" xfId="7132" xr:uid="{00000000-0005-0000-0000-000069050000}"/>
    <cellStyle name="40% - Accent3 3 3 2 2 2" xfId="15582" xr:uid="{A25AC98C-C929-48AF-AB2D-DA7C582B6A8D}"/>
    <cellStyle name="40% - Accent3 3 3 2 3" xfId="11364" xr:uid="{85AE1B53-0A2F-4BEC-AF81-B3E54BF119D8}"/>
    <cellStyle name="40% - Accent3 3 3 3" xfId="4987" xr:uid="{00000000-0005-0000-0000-00006A050000}"/>
    <cellStyle name="40% - Accent3 3 3 3 2" xfId="13437" xr:uid="{A5AAD1E1-095F-4AA3-BCCF-2C7572ECEDBB}"/>
    <cellStyle name="40% - Accent3 3 3 4" xfId="9219" xr:uid="{4295C491-15F2-43E4-B858-844EA9FD86AE}"/>
    <cellStyle name="40% - Accent3 3 4" xfId="1092" xr:uid="{00000000-0005-0000-0000-00006B050000}"/>
    <cellStyle name="40% - Accent3 3 4 2" xfId="3323" xr:uid="{00000000-0005-0000-0000-00006C050000}"/>
    <cellStyle name="40% - Accent3 3 4 2 2" xfId="7545" xr:uid="{00000000-0005-0000-0000-00006D050000}"/>
    <cellStyle name="40% - Accent3 3 4 2 2 2" xfId="15995" xr:uid="{0C7C31D4-15FA-44AE-A7E0-A6DF5C23EF65}"/>
    <cellStyle name="40% - Accent3 3 4 2 3" xfId="11777" xr:uid="{83F7B14E-EBAA-4009-BDC5-3F7E630D585B}"/>
    <cellStyle name="40% - Accent3 3 4 3" xfId="5400" xr:uid="{00000000-0005-0000-0000-00006E050000}"/>
    <cellStyle name="40% - Accent3 3 4 3 2" xfId="13850" xr:uid="{E59A5407-4D33-456B-959D-E5F25E9F071A}"/>
    <cellStyle name="40% - Accent3 3 4 4" xfId="9632" xr:uid="{57B96F2B-6B0E-41DE-B909-EAADAD6B068D}"/>
    <cellStyle name="40% - Accent3 3 5" xfId="1506" xr:uid="{00000000-0005-0000-0000-00006F050000}"/>
    <cellStyle name="40% - Accent3 3 5 2" xfId="3736" xr:uid="{00000000-0005-0000-0000-000070050000}"/>
    <cellStyle name="40% - Accent3 3 5 2 2" xfId="7958" xr:uid="{00000000-0005-0000-0000-000071050000}"/>
    <cellStyle name="40% - Accent3 3 5 2 2 2" xfId="16408" xr:uid="{0348FDF7-FEF1-4A06-AD6F-6012617C9FAF}"/>
    <cellStyle name="40% - Accent3 3 5 2 3" xfId="12190" xr:uid="{8DEE31FA-7D6B-41D1-B324-2C0D9356E3D6}"/>
    <cellStyle name="40% - Accent3 3 5 3" xfId="5813" xr:uid="{00000000-0005-0000-0000-000072050000}"/>
    <cellStyle name="40% - Accent3 3 5 3 2" xfId="14263" xr:uid="{E97C705D-CF23-41BE-861C-5FF722676A58}"/>
    <cellStyle name="40% - Accent3 3 5 4" xfId="10045" xr:uid="{348DBD46-883F-4947-A5D7-6955CD7AA448}"/>
    <cellStyle name="40% - Accent3 3 6" xfId="1920" xr:uid="{00000000-0005-0000-0000-000073050000}"/>
    <cellStyle name="40% - Accent3 3 6 2" xfId="4149" xr:uid="{00000000-0005-0000-0000-000074050000}"/>
    <cellStyle name="40% - Accent3 3 6 2 2" xfId="8371" xr:uid="{00000000-0005-0000-0000-000075050000}"/>
    <cellStyle name="40% - Accent3 3 6 2 2 2" xfId="16821" xr:uid="{7BC7FAFA-617B-439D-91E4-299CB04DC952}"/>
    <cellStyle name="40% - Accent3 3 6 2 3" xfId="12603" xr:uid="{939E7F0A-B638-4338-B85D-49828A85BD0D}"/>
    <cellStyle name="40% - Accent3 3 6 3" xfId="6226" xr:uid="{00000000-0005-0000-0000-000076050000}"/>
    <cellStyle name="40% - Accent3 3 6 3 2" xfId="14676" xr:uid="{122B47B6-AAC8-44C0-A859-505A23AD511D}"/>
    <cellStyle name="40% - Accent3 3 6 4" xfId="10458" xr:uid="{2BF7E627-1909-441C-BE3D-DC1DEAF9AF14}"/>
    <cellStyle name="40% - Accent3 3 7" xfId="2333" xr:uid="{00000000-0005-0000-0000-000077050000}"/>
    <cellStyle name="40% - Accent3 3 7 2" xfId="6639" xr:uid="{00000000-0005-0000-0000-000078050000}"/>
    <cellStyle name="40% - Accent3 3 7 2 2" xfId="15089" xr:uid="{C188191F-7EA2-414B-8032-138B3FBBCA1B}"/>
    <cellStyle name="40% - Accent3 3 7 3" xfId="10871" xr:uid="{A2AB6BB8-1056-4A13-B374-495C4B814042}"/>
    <cellStyle name="40% - Accent3 3 8" xfId="4573" xr:uid="{00000000-0005-0000-0000-000079050000}"/>
    <cellStyle name="40% - Accent3 3 8 2" xfId="13023" xr:uid="{B93AF35A-F379-491C-94DB-8BAA75C548A3}"/>
    <cellStyle name="40% - Accent3 3 9" xfId="8805" xr:uid="{AA6CCFE4-ED9E-489A-9760-B934A2697250}"/>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2 2 2" xfId="15584" xr:uid="{8C96E6B1-4E75-43F0-A029-B71FD013E11A}"/>
    <cellStyle name="40% - Accent3 4 2 2 3" xfId="11366" xr:uid="{26FD13C0-0F5E-4349-B2ED-6DCC16F7B4CE}"/>
    <cellStyle name="40% - Accent3 4 2 3" xfId="4989" xr:uid="{00000000-0005-0000-0000-00007E050000}"/>
    <cellStyle name="40% - Accent3 4 2 3 2" xfId="13439" xr:uid="{66DF24E7-9CB0-496D-8C50-3FAB54BCB000}"/>
    <cellStyle name="40% - Accent3 4 2 4" xfId="9221" xr:uid="{C12B9252-D0F2-401A-9DDC-FD839A7CB42D}"/>
    <cellStyle name="40% - Accent3 4 3" xfId="1094" xr:uid="{00000000-0005-0000-0000-00007F050000}"/>
    <cellStyle name="40% - Accent3 4 3 2" xfId="3325" xr:uid="{00000000-0005-0000-0000-000080050000}"/>
    <cellStyle name="40% - Accent3 4 3 2 2" xfId="7547" xr:uid="{00000000-0005-0000-0000-000081050000}"/>
    <cellStyle name="40% - Accent3 4 3 2 2 2" xfId="15997" xr:uid="{559ACB0B-1031-474A-AE28-F8E4F0CC2F09}"/>
    <cellStyle name="40% - Accent3 4 3 2 3" xfId="11779" xr:uid="{94C84171-2065-473B-AEB6-CD8E3F17ABE9}"/>
    <cellStyle name="40% - Accent3 4 3 3" xfId="5402" xr:uid="{00000000-0005-0000-0000-000082050000}"/>
    <cellStyle name="40% - Accent3 4 3 3 2" xfId="13852" xr:uid="{BA4FFD1D-4C8E-4B90-B013-BB5AFB685057}"/>
    <cellStyle name="40% - Accent3 4 3 4" xfId="9634" xr:uid="{2B455FA4-8DB7-4B3D-811A-E2A587AFE6C9}"/>
    <cellStyle name="40% - Accent3 4 4" xfId="1508" xr:uid="{00000000-0005-0000-0000-000083050000}"/>
    <cellStyle name="40% - Accent3 4 4 2" xfId="3738" xr:uid="{00000000-0005-0000-0000-000084050000}"/>
    <cellStyle name="40% - Accent3 4 4 2 2" xfId="7960" xr:uid="{00000000-0005-0000-0000-000085050000}"/>
    <cellStyle name="40% - Accent3 4 4 2 2 2" xfId="16410" xr:uid="{DDB6B473-FFF5-4341-87A7-982871F89694}"/>
    <cellStyle name="40% - Accent3 4 4 2 3" xfId="12192" xr:uid="{2B7DF46B-02F5-4DD3-8850-AE6DC36E4C05}"/>
    <cellStyle name="40% - Accent3 4 4 3" xfId="5815" xr:uid="{00000000-0005-0000-0000-000086050000}"/>
    <cellStyle name="40% - Accent3 4 4 3 2" xfId="14265" xr:uid="{0A0A34D3-0463-4446-A761-E2CCB858ACE9}"/>
    <cellStyle name="40% - Accent3 4 4 4" xfId="10047" xr:uid="{96652278-F936-4B18-8BA3-C8155AE3DBC8}"/>
    <cellStyle name="40% - Accent3 4 5" xfId="1922" xr:uid="{00000000-0005-0000-0000-000087050000}"/>
    <cellStyle name="40% - Accent3 4 5 2" xfId="4151" xr:uid="{00000000-0005-0000-0000-000088050000}"/>
    <cellStyle name="40% - Accent3 4 5 2 2" xfId="8373" xr:uid="{00000000-0005-0000-0000-000089050000}"/>
    <cellStyle name="40% - Accent3 4 5 2 2 2" xfId="16823" xr:uid="{9D7037D6-BD41-4CDF-95A0-809E520FBE14}"/>
    <cellStyle name="40% - Accent3 4 5 2 3" xfId="12605" xr:uid="{F336C794-3300-4D77-B2F2-97BE6A5510A0}"/>
    <cellStyle name="40% - Accent3 4 5 3" xfId="6228" xr:uid="{00000000-0005-0000-0000-00008A050000}"/>
    <cellStyle name="40% - Accent3 4 5 3 2" xfId="14678" xr:uid="{79837239-F133-4713-9E99-6C4F21272995}"/>
    <cellStyle name="40% - Accent3 4 5 4" xfId="10460" xr:uid="{346C781A-93E0-402A-BAA0-BF3FC8707B21}"/>
    <cellStyle name="40% - Accent3 4 6" xfId="2335" xr:uid="{00000000-0005-0000-0000-00008B050000}"/>
    <cellStyle name="40% - Accent3 4 6 2" xfId="6641" xr:uid="{00000000-0005-0000-0000-00008C050000}"/>
    <cellStyle name="40% - Accent3 4 6 2 2" xfId="15091" xr:uid="{AD3CFBC0-8C2F-4113-BA1A-57FCBBCCD820}"/>
    <cellStyle name="40% - Accent3 4 6 3" xfId="10873" xr:uid="{0BEC4BC1-1026-4F23-B109-71F27D43C4E0}"/>
    <cellStyle name="40% - Accent3 4 7" xfId="4575" xr:uid="{00000000-0005-0000-0000-00008D050000}"/>
    <cellStyle name="40% - Accent3 4 7 2" xfId="13025" xr:uid="{33A014B2-3BF6-48A2-B807-4E3185BD3961}"/>
    <cellStyle name="40% - Accent3 4 8" xfId="8807" xr:uid="{D845A82C-A3BD-41E1-856C-D707A4A7F387}"/>
    <cellStyle name="40% - Accent3 5" xfId="634" xr:uid="{00000000-0005-0000-0000-00008E050000}"/>
    <cellStyle name="40% - Accent3 5 2" xfId="2905" xr:uid="{00000000-0005-0000-0000-00008F050000}"/>
    <cellStyle name="40% - Accent3 5 2 2" xfId="7127" xr:uid="{00000000-0005-0000-0000-000090050000}"/>
    <cellStyle name="40% - Accent3 5 2 2 2" xfId="15577" xr:uid="{0A9F3C9C-02CF-497F-99F9-C27BD43798A4}"/>
    <cellStyle name="40% - Accent3 5 2 3" xfId="11359" xr:uid="{BD2C0A84-6617-468E-A588-A9A6BA5540E0}"/>
    <cellStyle name="40% - Accent3 5 3" xfId="4982" xr:uid="{00000000-0005-0000-0000-000091050000}"/>
    <cellStyle name="40% - Accent3 5 3 2" xfId="13432" xr:uid="{D3FD0695-2ABF-4325-9A3C-FAE348560F39}"/>
    <cellStyle name="40% - Accent3 5 4" xfId="9214" xr:uid="{89EFA0C2-9A8A-4010-8330-A90591582840}"/>
    <cellStyle name="40% - Accent3 6" xfId="1087" xr:uid="{00000000-0005-0000-0000-000092050000}"/>
    <cellStyle name="40% - Accent3 6 2" xfId="3318" xr:uid="{00000000-0005-0000-0000-000093050000}"/>
    <cellStyle name="40% - Accent3 6 2 2" xfId="7540" xr:uid="{00000000-0005-0000-0000-000094050000}"/>
    <cellStyle name="40% - Accent3 6 2 2 2" xfId="15990" xr:uid="{C366BDF6-0AD2-464B-9749-9FF36C24AE4C}"/>
    <cellStyle name="40% - Accent3 6 2 3" xfId="11772" xr:uid="{D37D691D-B9D2-4967-962A-38DDAC46CE07}"/>
    <cellStyle name="40% - Accent3 6 3" xfId="5395" xr:uid="{00000000-0005-0000-0000-000095050000}"/>
    <cellStyle name="40% - Accent3 6 3 2" xfId="13845" xr:uid="{CCE1C716-9273-40FD-B6E0-77DA9C527C75}"/>
    <cellStyle name="40% - Accent3 6 4" xfId="9627" xr:uid="{C2A5BC56-99B7-4E61-8004-A82DB04B04E5}"/>
    <cellStyle name="40% - Accent3 7" xfId="1501" xr:uid="{00000000-0005-0000-0000-000096050000}"/>
    <cellStyle name="40% - Accent3 7 2" xfId="3731" xr:uid="{00000000-0005-0000-0000-000097050000}"/>
    <cellStyle name="40% - Accent3 7 2 2" xfId="7953" xr:uid="{00000000-0005-0000-0000-000098050000}"/>
    <cellStyle name="40% - Accent3 7 2 2 2" xfId="16403" xr:uid="{8CEF6072-B38E-4FCE-AC5B-F7D116EF5E18}"/>
    <cellStyle name="40% - Accent3 7 2 3" xfId="12185" xr:uid="{1658400E-F84B-4AA9-959E-BAB937AE4B53}"/>
    <cellStyle name="40% - Accent3 7 3" xfId="5808" xr:uid="{00000000-0005-0000-0000-000099050000}"/>
    <cellStyle name="40% - Accent3 7 3 2" xfId="14258" xr:uid="{AD3BC827-8B28-42C0-A021-A601FE1B2366}"/>
    <cellStyle name="40% - Accent3 7 4" xfId="10040" xr:uid="{99D764D7-D64C-4704-AABE-07C1C5EE977C}"/>
    <cellStyle name="40% - Accent3 8" xfId="1915" xr:uid="{00000000-0005-0000-0000-00009A050000}"/>
    <cellStyle name="40% - Accent3 8 2" xfId="4144" xr:uid="{00000000-0005-0000-0000-00009B050000}"/>
    <cellStyle name="40% - Accent3 8 2 2" xfId="8366" xr:uid="{00000000-0005-0000-0000-00009C050000}"/>
    <cellStyle name="40% - Accent3 8 2 2 2" xfId="16816" xr:uid="{133CA298-CB62-4744-859F-36A2313475D1}"/>
    <cellStyle name="40% - Accent3 8 2 3" xfId="12598" xr:uid="{FFADF65E-A516-434F-93B7-F82A7A59936A}"/>
    <cellStyle name="40% - Accent3 8 3" xfId="6221" xr:uid="{00000000-0005-0000-0000-00009D050000}"/>
    <cellStyle name="40% - Accent3 8 3 2" xfId="14671" xr:uid="{5C8E84EF-D204-47D3-ACD4-5EACE7DB8DF7}"/>
    <cellStyle name="40% - Accent3 8 4" xfId="10453" xr:uid="{1E22FB8A-DB29-4E69-9ED0-5296939C98E9}"/>
    <cellStyle name="40% - Accent3 9" xfId="2328" xr:uid="{00000000-0005-0000-0000-00009E050000}"/>
    <cellStyle name="40% - Accent3 9 2" xfId="6634" xr:uid="{00000000-0005-0000-0000-00009F050000}"/>
    <cellStyle name="40% - Accent3 9 2 2" xfId="15084" xr:uid="{7C29BDF4-1C53-44CB-801B-E6587AB932DE}"/>
    <cellStyle name="40% - Accent3 9 3" xfId="10866" xr:uid="{F4CB9F66-C522-4942-96D5-13651527296D}"/>
    <cellStyle name="40% - Accent4" xfId="73" builtinId="43" customBuiltin="1"/>
    <cellStyle name="40% - Accent4 10" xfId="4576" xr:uid="{00000000-0005-0000-0000-0000A1050000}"/>
    <cellStyle name="40% - Accent4 10 2" xfId="13026" xr:uid="{3E745DBD-F3C8-4B92-9F48-C2F5D5C919C4}"/>
    <cellStyle name="40% - Accent4 11" xfId="8808" xr:uid="{4B106B91-465E-4810-A00D-B806A228C6B6}"/>
    <cellStyle name="40% - Accent4 2" xfId="74" xr:uid="{00000000-0005-0000-0000-0000A2050000}"/>
    <cellStyle name="40% - Accent4 2 10" xfId="8809" xr:uid="{C3CC94B5-0607-4575-9DA9-EA87B280DDC3}"/>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2 2 2" xfId="15588" xr:uid="{AFC6230C-8F0E-402C-A78E-D7D422D0F14A}"/>
    <cellStyle name="40% - Accent4 2 2 2 2 2 3" xfId="11370" xr:uid="{D7471811-C0EF-4B6E-B4B9-55159B28F200}"/>
    <cellStyle name="40% - Accent4 2 2 2 2 3" xfId="4993" xr:uid="{00000000-0005-0000-0000-0000A8050000}"/>
    <cellStyle name="40% - Accent4 2 2 2 2 3 2" xfId="13443" xr:uid="{58749D3F-5D03-454A-A146-9AAE36CDDE69}"/>
    <cellStyle name="40% - Accent4 2 2 2 2 4" xfId="9225" xr:uid="{33F1A2AC-2508-472E-9F73-223CE69AD291}"/>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2 2 2" xfId="16001" xr:uid="{082F2170-8AFD-4F50-8DB3-0CFB5E53C5B3}"/>
    <cellStyle name="40% - Accent4 2 2 2 3 2 3" xfId="11783" xr:uid="{59DADE23-392D-456A-A2EA-8C2D6FB15BC3}"/>
    <cellStyle name="40% - Accent4 2 2 2 3 3" xfId="5406" xr:uid="{00000000-0005-0000-0000-0000AC050000}"/>
    <cellStyle name="40% - Accent4 2 2 2 3 3 2" xfId="13856" xr:uid="{92F55634-321E-4547-95EB-10A18B10B51D}"/>
    <cellStyle name="40% - Accent4 2 2 2 3 4" xfId="9638" xr:uid="{31BC2F96-8439-4C5A-987B-5EBD7FC653E1}"/>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2 2 2" xfId="16414" xr:uid="{3236D11C-3A84-4415-9D55-6AEEBAAB8FFD}"/>
    <cellStyle name="40% - Accent4 2 2 2 4 2 3" xfId="12196" xr:uid="{0FC3F1AC-309C-4CE4-B57B-E98C95DCA0E9}"/>
    <cellStyle name="40% - Accent4 2 2 2 4 3" xfId="5819" xr:uid="{00000000-0005-0000-0000-0000B0050000}"/>
    <cellStyle name="40% - Accent4 2 2 2 4 3 2" xfId="14269" xr:uid="{03DC048C-7337-4864-8A12-9189923C2E7D}"/>
    <cellStyle name="40% - Accent4 2 2 2 4 4" xfId="10051" xr:uid="{5AE48033-437D-4EFD-BE1C-4E40CA89DECA}"/>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2 2 2" xfId="16827" xr:uid="{715D1FB8-8270-484A-A14A-0F4496EC1E04}"/>
    <cellStyle name="40% - Accent4 2 2 2 5 2 3" xfId="12609" xr:uid="{FE57C3E1-71BD-42DD-A0D8-AD7BCAFE0DC1}"/>
    <cellStyle name="40% - Accent4 2 2 2 5 3" xfId="6232" xr:uid="{00000000-0005-0000-0000-0000B4050000}"/>
    <cellStyle name="40% - Accent4 2 2 2 5 3 2" xfId="14682" xr:uid="{29533A91-7432-475B-B90D-3507CE2718B3}"/>
    <cellStyle name="40% - Accent4 2 2 2 5 4" xfId="10464" xr:uid="{B2AFCC16-3A4F-425A-B35A-48896962A104}"/>
    <cellStyle name="40% - Accent4 2 2 2 6" xfId="2339" xr:uid="{00000000-0005-0000-0000-0000B5050000}"/>
    <cellStyle name="40% - Accent4 2 2 2 6 2" xfId="6645" xr:uid="{00000000-0005-0000-0000-0000B6050000}"/>
    <cellStyle name="40% - Accent4 2 2 2 6 2 2" xfId="15095" xr:uid="{74AD1301-3CF2-4892-911B-24CE616F53B5}"/>
    <cellStyle name="40% - Accent4 2 2 2 6 3" xfId="10877" xr:uid="{BD7648FC-B591-4240-A80D-5B7F75BB5A63}"/>
    <cellStyle name="40% - Accent4 2 2 2 7" xfId="4579" xr:uid="{00000000-0005-0000-0000-0000B7050000}"/>
    <cellStyle name="40% - Accent4 2 2 2 7 2" xfId="13029" xr:uid="{77EA623A-283B-4A26-8DDB-7B10B8B188E2}"/>
    <cellStyle name="40% - Accent4 2 2 2 8" xfId="8811" xr:uid="{317DBDE9-A43F-4C48-A8C6-FA40FA179198}"/>
    <cellStyle name="40% - Accent4 2 2 3" xfId="644" xr:uid="{00000000-0005-0000-0000-0000B8050000}"/>
    <cellStyle name="40% - Accent4 2 2 3 2" xfId="2915" xr:uid="{00000000-0005-0000-0000-0000B9050000}"/>
    <cellStyle name="40% - Accent4 2 2 3 2 2" xfId="7137" xr:uid="{00000000-0005-0000-0000-0000BA050000}"/>
    <cellStyle name="40% - Accent4 2 2 3 2 2 2" xfId="15587" xr:uid="{A5BC99B9-B72A-452B-B01C-25C00019C8E0}"/>
    <cellStyle name="40% - Accent4 2 2 3 2 3" xfId="11369" xr:uid="{C194EE0C-FF55-4E47-BD46-25461C74D760}"/>
    <cellStyle name="40% - Accent4 2 2 3 3" xfId="4992" xr:uid="{00000000-0005-0000-0000-0000BB050000}"/>
    <cellStyle name="40% - Accent4 2 2 3 3 2" xfId="13442" xr:uid="{AF912C7E-A371-47FC-A494-612B48FCFFCF}"/>
    <cellStyle name="40% - Accent4 2 2 3 4" xfId="9224" xr:uid="{6818307B-28B2-494D-A6C1-9CFCE5959715}"/>
    <cellStyle name="40% - Accent4 2 2 4" xfId="1097" xr:uid="{00000000-0005-0000-0000-0000BC050000}"/>
    <cellStyle name="40% - Accent4 2 2 4 2" xfId="3328" xr:uid="{00000000-0005-0000-0000-0000BD050000}"/>
    <cellStyle name="40% - Accent4 2 2 4 2 2" xfId="7550" xr:uid="{00000000-0005-0000-0000-0000BE050000}"/>
    <cellStyle name="40% - Accent4 2 2 4 2 2 2" xfId="16000" xr:uid="{138450B0-7497-4D6D-AA9D-490F465D9422}"/>
    <cellStyle name="40% - Accent4 2 2 4 2 3" xfId="11782" xr:uid="{864CF757-29DA-4B50-B034-1A47306EC3D8}"/>
    <cellStyle name="40% - Accent4 2 2 4 3" xfId="5405" xr:uid="{00000000-0005-0000-0000-0000BF050000}"/>
    <cellStyle name="40% - Accent4 2 2 4 3 2" xfId="13855" xr:uid="{2CED2661-66A2-4196-9D01-98B12FD46E8C}"/>
    <cellStyle name="40% - Accent4 2 2 4 4" xfId="9637" xr:uid="{234F5369-5DD4-4719-9FE2-74005BFAE0B6}"/>
    <cellStyle name="40% - Accent4 2 2 5" xfId="1511" xr:uid="{00000000-0005-0000-0000-0000C0050000}"/>
    <cellStyle name="40% - Accent4 2 2 5 2" xfId="3741" xr:uid="{00000000-0005-0000-0000-0000C1050000}"/>
    <cellStyle name="40% - Accent4 2 2 5 2 2" xfId="7963" xr:uid="{00000000-0005-0000-0000-0000C2050000}"/>
    <cellStyle name="40% - Accent4 2 2 5 2 2 2" xfId="16413" xr:uid="{0B21D202-5E2E-43BE-8EBD-BEF4CCA1D3AC}"/>
    <cellStyle name="40% - Accent4 2 2 5 2 3" xfId="12195" xr:uid="{CF561CD3-1437-4110-B96B-26F465509AFF}"/>
    <cellStyle name="40% - Accent4 2 2 5 3" xfId="5818" xr:uid="{00000000-0005-0000-0000-0000C3050000}"/>
    <cellStyle name="40% - Accent4 2 2 5 3 2" xfId="14268" xr:uid="{DCE4F235-4B55-4216-AC68-ECE11FF17534}"/>
    <cellStyle name="40% - Accent4 2 2 5 4" xfId="10050" xr:uid="{4FADB5A9-959D-48EA-A35A-47583D8E21F8}"/>
    <cellStyle name="40% - Accent4 2 2 6" xfId="1925" xr:uid="{00000000-0005-0000-0000-0000C4050000}"/>
    <cellStyle name="40% - Accent4 2 2 6 2" xfId="4154" xr:uid="{00000000-0005-0000-0000-0000C5050000}"/>
    <cellStyle name="40% - Accent4 2 2 6 2 2" xfId="8376" xr:uid="{00000000-0005-0000-0000-0000C6050000}"/>
    <cellStyle name="40% - Accent4 2 2 6 2 2 2" xfId="16826" xr:uid="{49D873AD-7FA5-4FF2-83A8-C5C1F7A053B4}"/>
    <cellStyle name="40% - Accent4 2 2 6 2 3" xfId="12608" xr:uid="{735F90F9-C6BF-4004-B81E-5A21E4D22235}"/>
    <cellStyle name="40% - Accent4 2 2 6 3" xfId="6231" xr:uid="{00000000-0005-0000-0000-0000C7050000}"/>
    <cellStyle name="40% - Accent4 2 2 6 3 2" xfId="14681" xr:uid="{FBEB1418-1D96-47DD-BC9D-DC4CFD48958C}"/>
    <cellStyle name="40% - Accent4 2 2 6 4" xfId="10463" xr:uid="{82B33351-8856-4F25-99C7-6D2DE57EFD1D}"/>
    <cellStyle name="40% - Accent4 2 2 7" xfId="2338" xr:uid="{00000000-0005-0000-0000-0000C8050000}"/>
    <cellStyle name="40% - Accent4 2 2 7 2" xfId="6644" xr:uid="{00000000-0005-0000-0000-0000C9050000}"/>
    <cellStyle name="40% - Accent4 2 2 7 2 2" xfId="15094" xr:uid="{2A619DBB-BDEC-4483-ABDC-E307B078226A}"/>
    <cellStyle name="40% - Accent4 2 2 7 3" xfId="10876" xr:uid="{23B5A55C-2AD7-489B-BBB3-4AF67C7D5B91}"/>
    <cellStyle name="40% - Accent4 2 2 8" xfId="4578" xr:uid="{00000000-0005-0000-0000-0000CA050000}"/>
    <cellStyle name="40% - Accent4 2 2 8 2" xfId="13028" xr:uid="{9E9F2AA6-9C71-4474-8400-3923E0ED1CAA}"/>
    <cellStyle name="40% - Accent4 2 2 9" xfId="8810" xr:uid="{43AF6CF2-936D-449E-B000-4F4399C734C5}"/>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2 2 2" xfId="15589" xr:uid="{E3528A7D-E8D0-4B36-9505-93F4E4BBF96B}"/>
    <cellStyle name="40% - Accent4 2 3 2 2 3" xfId="11371" xr:uid="{65DFC0DA-EC1D-4936-BA92-A0F7A3D3400A}"/>
    <cellStyle name="40% - Accent4 2 3 2 3" xfId="4994" xr:uid="{00000000-0005-0000-0000-0000CF050000}"/>
    <cellStyle name="40% - Accent4 2 3 2 3 2" xfId="13444" xr:uid="{D5EFDCF7-0480-4FDB-8E62-5A77424622F0}"/>
    <cellStyle name="40% - Accent4 2 3 2 4" xfId="9226" xr:uid="{817C0094-2778-4270-8756-C6F6AE10F688}"/>
    <cellStyle name="40% - Accent4 2 3 3" xfId="1099" xr:uid="{00000000-0005-0000-0000-0000D0050000}"/>
    <cellStyle name="40% - Accent4 2 3 3 2" xfId="3330" xr:uid="{00000000-0005-0000-0000-0000D1050000}"/>
    <cellStyle name="40% - Accent4 2 3 3 2 2" xfId="7552" xr:uid="{00000000-0005-0000-0000-0000D2050000}"/>
    <cellStyle name="40% - Accent4 2 3 3 2 2 2" xfId="16002" xr:uid="{90C6C202-222B-4CE3-9490-C80E1ADA8229}"/>
    <cellStyle name="40% - Accent4 2 3 3 2 3" xfId="11784" xr:uid="{38378AD4-C53E-41B2-AA74-3E71762B0395}"/>
    <cellStyle name="40% - Accent4 2 3 3 3" xfId="5407" xr:uid="{00000000-0005-0000-0000-0000D3050000}"/>
    <cellStyle name="40% - Accent4 2 3 3 3 2" xfId="13857" xr:uid="{2D212EF6-0125-4B34-829E-8A013786E533}"/>
    <cellStyle name="40% - Accent4 2 3 3 4" xfId="9639" xr:uid="{5130F187-B5E1-4888-99F6-1AA60F8F0472}"/>
    <cellStyle name="40% - Accent4 2 3 4" xfId="1513" xr:uid="{00000000-0005-0000-0000-0000D4050000}"/>
    <cellStyle name="40% - Accent4 2 3 4 2" xfId="3743" xr:uid="{00000000-0005-0000-0000-0000D5050000}"/>
    <cellStyle name="40% - Accent4 2 3 4 2 2" xfId="7965" xr:uid="{00000000-0005-0000-0000-0000D6050000}"/>
    <cellStyle name="40% - Accent4 2 3 4 2 2 2" xfId="16415" xr:uid="{9B3F6A15-C93E-4A8C-B22C-800A67697C5C}"/>
    <cellStyle name="40% - Accent4 2 3 4 2 3" xfId="12197" xr:uid="{A1601A49-7601-444D-8079-4220113E544E}"/>
    <cellStyle name="40% - Accent4 2 3 4 3" xfId="5820" xr:uid="{00000000-0005-0000-0000-0000D7050000}"/>
    <cellStyle name="40% - Accent4 2 3 4 3 2" xfId="14270" xr:uid="{7EAB1CA7-FF9C-46EA-A00E-809FEDE61FF4}"/>
    <cellStyle name="40% - Accent4 2 3 4 4" xfId="10052" xr:uid="{96AD9620-ACFD-4194-8EA0-997CC19B28AC}"/>
    <cellStyle name="40% - Accent4 2 3 5" xfId="1927" xr:uid="{00000000-0005-0000-0000-0000D8050000}"/>
    <cellStyle name="40% - Accent4 2 3 5 2" xfId="4156" xr:uid="{00000000-0005-0000-0000-0000D9050000}"/>
    <cellStyle name="40% - Accent4 2 3 5 2 2" xfId="8378" xr:uid="{00000000-0005-0000-0000-0000DA050000}"/>
    <cellStyle name="40% - Accent4 2 3 5 2 2 2" xfId="16828" xr:uid="{3D6EDFE3-30E7-4865-963C-635112E80E72}"/>
    <cellStyle name="40% - Accent4 2 3 5 2 3" xfId="12610" xr:uid="{4599A82B-F98A-487D-8C0A-600CF6436A31}"/>
    <cellStyle name="40% - Accent4 2 3 5 3" xfId="6233" xr:uid="{00000000-0005-0000-0000-0000DB050000}"/>
    <cellStyle name="40% - Accent4 2 3 5 3 2" xfId="14683" xr:uid="{DEE7076A-C2A9-4CA1-A170-3D6C2F546C6F}"/>
    <cellStyle name="40% - Accent4 2 3 5 4" xfId="10465" xr:uid="{DE3C4EFA-453B-4E0C-A0CE-86090CE600B5}"/>
    <cellStyle name="40% - Accent4 2 3 6" xfId="2340" xr:uid="{00000000-0005-0000-0000-0000DC050000}"/>
    <cellStyle name="40% - Accent4 2 3 6 2" xfId="6646" xr:uid="{00000000-0005-0000-0000-0000DD050000}"/>
    <cellStyle name="40% - Accent4 2 3 6 2 2" xfId="15096" xr:uid="{90D7446C-B47E-4193-A9CC-7D4E35A80C7F}"/>
    <cellStyle name="40% - Accent4 2 3 6 3" xfId="10878" xr:uid="{8DD68ED4-10BD-42E0-A21A-3AA894D93D52}"/>
    <cellStyle name="40% - Accent4 2 3 7" xfId="4580" xr:uid="{00000000-0005-0000-0000-0000DE050000}"/>
    <cellStyle name="40% - Accent4 2 3 7 2" xfId="13030" xr:uid="{D812F8A2-361E-484D-87A3-E5A34386FB49}"/>
    <cellStyle name="40% - Accent4 2 3 8" xfId="8812" xr:uid="{6FC1B89B-42E2-462F-A473-F4F55847627B}"/>
    <cellStyle name="40% - Accent4 2 4" xfId="643" xr:uid="{00000000-0005-0000-0000-0000DF050000}"/>
    <cellStyle name="40% - Accent4 2 4 2" xfId="2914" xr:uid="{00000000-0005-0000-0000-0000E0050000}"/>
    <cellStyle name="40% - Accent4 2 4 2 2" xfId="7136" xr:uid="{00000000-0005-0000-0000-0000E1050000}"/>
    <cellStyle name="40% - Accent4 2 4 2 2 2" xfId="15586" xr:uid="{3EE5403A-9941-4729-948F-55DF5492A831}"/>
    <cellStyle name="40% - Accent4 2 4 2 3" xfId="11368" xr:uid="{7DD1516C-7A5A-4209-9017-DD08685C8A6F}"/>
    <cellStyle name="40% - Accent4 2 4 3" xfId="4991" xr:uid="{00000000-0005-0000-0000-0000E2050000}"/>
    <cellStyle name="40% - Accent4 2 4 3 2" xfId="13441" xr:uid="{1AC5FC33-0B70-4C35-907D-3B08333847D8}"/>
    <cellStyle name="40% - Accent4 2 4 4" xfId="9223" xr:uid="{EFCD31BA-9F0E-4D80-991C-F41A0188EB04}"/>
    <cellStyle name="40% - Accent4 2 5" xfId="1096" xr:uid="{00000000-0005-0000-0000-0000E3050000}"/>
    <cellStyle name="40% - Accent4 2 5 2" xfId="3327" xr:uid="{00000000-0005-0000-0000-0000E4050000}"/>
    <cellStyle name="40% - Accent4 2 5 2 2" xfId="7549" xr:uid="{00000000-0005-0000-0000-0000E5050000}"/>
    <cellStyle name="40% - Accent4 2 5 2 2 2" xfId="15999" xr:uid="{9709F0CB-4A07-4070-888A-16826AB494C5}"/>
    <cellStyle name="40% - Accent4 2 5 2 3" xfId="11781" xr:uid="{52CD34EA-B186-4D29-89EF-9083E4509ECA}"/>
    <cellStyle name="40% - Accent4 2 5 3" xfId="5404" xr:uid="{00000000-0005-0000-0000-0000E6050000}"/>
    <cellStyle name="40% - Accent4 2 5 3 2" xfId="13854" xr:uid="{4E78E469-CBDE-4A38-8B4D-F67F0506AF7F}"/>
    <cellStyle name="40% - Accent4 2 5 4" xfId="9636" xr:uid="{0ECA9E21-6B24-417A-BB34-21EDBE780CEA}"/>
    <cellStyle name="40% - Accent4 2 6" xfId="1510" xr:uid="{00000000-0005-0000-0000-0000E7050000}"/>
    <cellStyle name="40% - Accent4 2 6 2" xfId="3740" xr:uid="{00000000-0005-0000-0000-0000E8050000}"/>
    <cellStyle name="40% - Accent4 2 6 2 2" xfId="7962" xr:uid="{00000000-0005-0000-0000-0000E9050000}"/>
    <cellStyle name="40% - Accent4 2 6 2 2 2" xfId="16412" xr:uid="{ED42EF7E-E088-4FCC-B0EC-45A3F4852E76}"/>
    <cellStyle name="40% - Accent4 2 6 2 3" xfId="12194" xr:uid="{5CF96E0D-18D0-4B73-9350-B1F0F917055E}"/>
    <cellStyle name="40% - Accent4 2 6 3" xfId="5817" xr:uid="{00000000-0005-0000-0000-0000EA050000}"/>
    <cellStyle name="40% - Accent4 2 6 3 2" xfId="14267" xr:uid="{1BC31E49-C26A-4CD8-8B8A-9DA23F58D3B0}"/>
    <cellStyle name="40% - Accent4 2 6 4" xfId="10049" xr:uid="{3389EECB-2CFF-4B68-A4E2-6C1ADAB606AF}"/>
    <cellStyle name="40% - Accent4 2 7" xfId="1924" xr:uid="{00000000-0005-0000-0000-0000EB050000}"/>
    <cellStyle name="40% - Accent4 2 7 2" xfId="4153" xr:uid="{00000000-0005-0000-0000-0000EC050000}"/>
    <cellStyle name="40% - Accent4 2 7 2 2" xfId="8375" xr:uid="{00000000-0005-0000-0000-0000ED050000}"/>
    <cellStyle name="40% - Accent4 2 7 2 2 2" xfId="16825" xr:uid="{3048C1A1-86EE-46CB-8413-21966C6E0DDA}"/>
    <cellStyle name="40% - Accent4 2 7 2 3" xfId="12607" xr:uid="{9BFE0B8E-1759-41CB-9751-0078FE8FB9F7}"/>
    <cellStyle name="40% - Accent4 2 7 3" xfId="6230" xr:uid="{00000000-0005-0000-0000-0000EE050000}"/>
    <cellStyle name="40% - Accent4 2 7 3 2" xfId="14680" xr:uid="{435CEBAA-903B-4C9A-9EB6-49226B580B04}"/>
    <cellStyle name="40% - Accent4 2 7 4" xfId="10462" xr:uid="{0C7C77F9-109A-4DDC-BD28-374D3E7A5204}"/>
    <cellStyle name="40% - Accent4 2 8" xfId="2337" xr:uid="{00000000-0005-0000-0000-0000EF050000}"/>
    <cellStyle name="40% - Accent4 2 8 2" xfId="6643" xr:uid="{00000000-0005-0000-0000-0000F0050000}"/>
    <cellStyle name="40% - Accent4 2 8 2 2" xfId="15093" xr:uid="{D54825B3-CC73-488F-9344-9366EF0013A8}"/>
    <cellStyle name="40% - Accent4 2 8 3" xfId="10875" xr:uid="{B3EE79E2-4A82-43E7-8B22-22D55788867D}"/>
    <cellStyle name="40% - Accent4 2 9" xfId="4577" xr:uid="{00000000-0005-0000-0000-0000F1050000}"/>
    <cellStyle name="40% - Accent4 2 9 2" xfId="13027" xr:uid="{72CDD97E-41B5-4D06-A8DD-5F4DC9C26DE4}"/>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2 2 2" xfId="15591" xr:uid="{F653E793-5572-43FD-BA77-AE71B7BEEDA2}"/>
    <cellStyle name="40% - Accent4 3 2 2 2 3" xfId="11373" xr:uid="{57826281-D66B-4FC0-9628-35BAE0AE708B}"/>
    <cellStyle name="40% - Accent4 3 2 2 3" xfId="4996" xr:uid="{00000000-0005-0000-0000-0000F7050000}"/>
    <cellStyle name="40% - Accent4 3 2 2 3 2" xfId="13446" xr:uid="{2D1D842D-19BE-4CA4-9F67-5BEE4148A11E}"/>
    <cellStyle name="40% - Accent4 3 2 2 4" xfId="9228" xr:uid="{96BBCEBA-3FA9-4A2A-905F-71D3A81E23CF}"/>
    <cellStyle name="40% - Accent4 3 2 3" xfId="1101" xr:uid="{00000000-0005-0000-0000-0000F8050000}"/>
    <cellStyle name="40% - Accent4 3 2 3 2" xfId="3332" xr:uid="{00000000-0005-0000-0000-0000F9050000}"/>
    <cellStyle name="40% - Accent4 3 2 3 2 2" xfId="7554" xr:uid="{00000000-0005-0000-0000-0000FA050000}"/>
    <cellStyle name="40% - Accent4 3 2 3 2 2 2" xfId="16004" xr:uid="{D2D4826C-37AD-4567-B208-6E4740F476EF}"/>
    <cellStyle name="40% - Accent4 3 2 3 2 3" xfId="11786" xr:uid="{C8A9ED78-6E92-4ABD-907F-D215DAA7F7DD}"/>
    <cellStyle name="40% - Accent4 3 2 3 3" xfId="5409" xr:uid="{00000000-0005-0000-0000-0000FB050000}"/>
    <cellStyle name="40% - Accent4 3 2 3 3 2" xfId="13859" xr:uid="{D3D8FB8A-6238-4B28-B140-81E10F2ACB9E}"/>
    <cellStyle name="40% - Accent4 3 2 3 4" xfId="9641" xr:uid="{C5786011-B572-4B52-9448-36B43E15E710}"/>
    <cellStyle name="40% - Accent4 3 2 4" xfId="1515" xr:uid="{00000000-0005-0000-0000-0000FC050000}"/>
    <cellStyle name="40% - Accent4 3 2 4 2" xfId="3745" xr:uid="{00000000-0005-0000-0000-0000FD050000}"/>
    <cellStyle name="40% - Accent4 3 2 4 2 2" xfId="7967" xr:uid="{00000000-0005-0000-0000-0000FE050000}"/>
    <cellStyle name="40% - Accent4 3 2 4 2 2 2" xfId="16417" xr:uid="{261741A8-3CBF-40C1-8AD6-12858EFA4E4F}"/>
    <cellStyle name="40% - Accent4 3 2 4 2 3" xfId="12199" xr:uid="{EBFE604C-6CAF-498F-8F73-10062C2B3965}"/>
    <cellStyle name="40% - Accent4 3 2 4 3" xfId="5822" xr:uid="{00000000-0005-0000-0000-0000FF050000}"/>
    <cellStyle name="40% - Accent4 3 2 4 3 2" xfId="14272" xr:uid="{40302C4D-A91A-4743-9EAA-04AD2FD9BDFB}"/>
    <cellStyle name="40% - Accent4 3 2 4 4" xfId="10054" xr:uid="{305197C7-295D-4DC1-8321-0C867FBAE417}"/>
    <cellStyle name="40% - Accent4 3 2 5" xfId="1929" xr:uid="{00000000-0005-0000-0000-000000060000}"/>
    <cellStyle name="40% - Accent4 3 2 5 2" xfId="4158" xr:uid="{00000000-0005-0000-0000-000001060000}"/>
    <cellStyle name="40% - Accent4 3 2 5 2 2" xfId="8380" xr:uid="{00000000-0005-0000-0000-000002060000}"/>
    <cellStyle name="40% - Accent4 3 2 5 2 2 2" xfId="16830" xr:uid="{0FEBEE9B-C4DF-44D9-8B54-E6022509E4D3}"/>
    <cellStyle name="40% - Accent4 3 2 5 2 3" xfId="12612" xr:uid="{9365CA3B-8F6C-48C2-A06B-DB90E27E7AB8}"/>
    <cellStyle name="40% - Accent4 3 2 5 3" xfId="6235" xr:uid="{00000000-0005-0000-0000-000003060000}"/>
    <cellStyle name="40% - Accent4 3 2 5 3 2" xfId="14685" xr:uid="{0A69BD74-6C46-4659-BD6D-A5678E85C03D}"/>
    <cellStyle name="40% - Accent4 3 2 5 4" xfId="10467" xr:uid="{71817181-8D1C-4E35-BAD7-7569B3AC1E10}"/>
    <cellStyle name="40% - Accent4 3 2 6" xfId="2342" xr:uid="{00000000-0005-0000-0000-000004060000}"/>
    <cellStyle name="40% - Accent4 3 2 6 2" xfId="6648" xr:uid="{00000000-0005-0000-0000-000005060000}"/>
    <cellStyle name="40% - Accent4 3 2 6 2 2" xfId="15098" xr:uid="{84807D1F-14AB-4C18-89C0-A56542BDE210}"/>
    <cellStyle name="40% - Accent4 3 2 6 3" xfId="10880" xr:uid="{6E284CF1-8E50-443E-A5E7-7D5A07C74B0B}"/>
    <cellStyle name="40% - Accent4 3 2 7" xfId="4582" xr:uid="{00000000-0005-0000-0000-000006060000}"/>
    <cellStyle name="40% - Accent4 3 2 7 2" xfId="13032" xr:uid="{C81FD36C-133F-44AA-A958-AB47AF272B82}"/>
    <cellStyle name="40% - Accent4 3 2 8" xfId="8814" xr:uid="{77720929-3173-4B12-B196-39FE94CF7037}"/>
    <cellStyle name="40% - Accent4 3 3" xfId="647" xr:uid="{00000000-0005-0000-0000-000007060000}"/>
    <cellStyle name="40% - Accent4 3 3 2" xfId="2918" xr:uid="{00000000-0005-0000-0000-000008060000}"/>
    <cellStyle name="40% - Accent4 3 3 2 2" xfId="7140" xr:uid="{00000000-0005-0000-0000-000009060000}"/>
    <cellStyle name="40% - Accent4 3 3 2 2 2" xfId="15590" xr:uid="{3CF2342A-6A67-439D-9202-A32427A954AA}"/>
    <cellStyle name="40% - Accent4 3 3 2 3" xfId="11372" xr:uid="{D32AFD05-F2D4-4676-A817-A513FF2F9F99}"/>
    <cellStyle name="40% - Accent4 3 3 3" xfId="4995" xr:uid="{00000000-0005-0000-0000-00000A060000}"/>
    <cellStyle name="40% - Accent4 3 3 3 2" xfId="13445" xr:uid="{EB18B0AA-A136-4479-9269-9A9ABAFA56CD}"/>
    <cellStyle name="40% - Accent4 3 3 4" xfId="9227" xr:uid="{86894659-9705-4CCF-984C-C959D033046C}"/>
    <cellStyle name="40% - Accent4 3 4" xfId="1100" xr:uid="{00000000-0005-0000-0000-00000B060000}"/>
    <cellStyle name="40% - Accent4 3 4 2" xfId="3331" xr:uid="{00000000-0005-0000-0000-00000C060000}"/>
    <cellStyle name="40% - Accent4 3 4 2 2" xfId="7553" xr:uid="{00000000-0005-0000-0000-00000D060000}"/>
    <cellStyle name="40% - Accent4 3 4 2 2 2" xfId="16003" xr:uid="{0A4FFD55-C035-4CBD-8C87-6C5628122C73}"/>
    <cellStyle name="40% - Accent4 3 4 2 3" xfId="11785" xr:uid="{3FEE446F-6899-4E2D-8A25-7E46FF2AF17F}"/>
    <cellStyle name="40% - Accent4 3 4 3" xfId="5408" xr:uid="{00000000-0005-0000-0000-00000E060000}"/>
    <cellStyle name="40% - Accent4 3 4 3 2" xfId="13858" xr:uid="{1DC0617E-F8B8-48EA-8FD5-07EDF824E722}"/>
    <cellStyle name="40% - Accent4 3 4 4" xfId="9640" xr:uid="{73A2D41E-C8F1-4FA9-B33E-8C422833FD2E}"/>
    <cellStyle name="40% - Accent4 3 5" xfId="1514" xr:uid="{00000000-0005-0000-0000-00000F060000}"/>
    <cellStyle name="40% - Accent4 3 5 2" xfId="3744" xr:uid="{00000000-0005-0000-0000-000010060000}"/>
    <cellStyle name="40% - Accent4 3 5 2 2" xfId="7966" xr:uid="{00000000-0005-0000-0000-000011060000}"/>
    <cellStyle name="40% - Accent4 3 5 2 2 2" xfId="16416" xr:uid="{D8FD69D1-A8E9-4DEA-8716-6516086CB537}"/>
    <cellStyle name="40% - Accent4 3 5 2 3" xfId="12198" xr:uid="{A928F7A6-A943-4A3B-93C1-7E46BDBA26F6}"/>
    <cellStyle name="40% - Accent4 3 5 3" xfId="5821" xr:uid="{00000000-0005-0000-0000-000012060000}"/>
    <cellStyle name="40% - Accent4 3 5 3 2" xfId="14271" xr:uid="{34BCAF7C-058D-45C3-A3D4-8295C2854015}"/>
    <cellStyle name="40% - Accent4 3 5 4" xfId="10053" xr:uid="{B09C8C8C-31E7-4378-A96B-81F422C26BC4}"/>
    <cellStyle name="40% - Accent4 3 6" xfId="1928" xr:uid="{00000000-0005-0000-0000-000013060000}"/>
    <cellStyle name="40% - Accent4 3 6 2" xfId="4157" xr:uid="{00000000-0005-0000-0000-000014060000}"/>
    <cellStyle name="40% - Accent4 3 6 2 2" xfId="8379" xr:uid="{00000000-0005-0000-0000-000015060000}"/>
    <cellStyle name="40% - Accent4 3 6 2 2 2" xfId="16829" xr:uid="{D080E90A-2130-4691-BC74-337D701F242A}"/>
    <cellStyle name="40% - Accent4 3 6 2 3" xfId="12611" xr:uid="{5ECBF89D-FD88-4124-BAD6-874497D29CF3}"/>
    <cellStyle name="40% - Accent4 3 6 3" xfId="6234" xr:uid="{00000000-0005-0000-0000-000016060000}"/>
    <cellStyle name="40% - Accent4 3 6 3 2" xfId="14684" xr:uid="{ADB5640E-F6D0-4F22-879D-5DDDC378F207}"/>
    <cellStyle name="40% - Accent4 3 6 4" xfId="10466" xr:uid="{93AC7B84-FD4D-4B11-A6CA-0DF52C0753D5}"/>
    <cellStyle name="40% - Accent4 3 7" xfId="2341" xr:uid="{00000000-0005-0000-0000-000017060000}"/>
    <cellStyle name="40% - Accent4 3 7 2" xfId="6647" xr:uid="{00000000-0005-0000-0000-000018060000}"/>
    <cellStyle name="40% - Accent4 3 7 2 2" xfId="15097" xr:uid="{4846F061-E8B8-4FA5-9216-6963373593EC}"/>
    <cellStyle name="40% - Accent4 3 7 3" xfId="10879" xr:uid="{F5410A4A-6C44-48C7-B425-F312A8D99600}"/>
    <cellStyle name="40% - Accent4 3 8" xfId="4581" xr:uid="{00000000-0005-0000-0000-000019060000}"/>
    <cellStyle name="40% - Accent4 3 8 2" xfId="13031" xr:uid="{978FC09D-412B-4CDD-919B-0553019EE2ED}"/>
    <cellStyle name="40% - Accent4 3 9" xfId="8813" xr:uid="{DE3996E2-E6AE-4B7C-9C25-A4B137A601E9}"/>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2 2 2" xfId="15592" xr:uid="{66B43EFC-F3A0-4EDB-84BD-5D414AD439F9}"/>
    <cellStyle name="40% - Accent4 4 2 2 3" xfId="11374" xr:uid="{8175B257-A823-45B2-A928-89DDA194CE07}"/>
    <cellStyle name="40% - Accent4 4 2 3" xfId="4997" xr:uid="{00000000-0005-0000-0000-00001E060000}"/>
    <cellStyle name="40% - Accent4 4 2 3 2" xfId="13447" xr:uid="{5BB8E767-982D-454D-A474-9F7ABC5E575E}"/>
    <cellStyle name="40% - Accent4 4 2 4" xfId="9229" xr:uid="{586F76EE-73FE-43E3-A77E-04E634C64DAC}"/>
    <cellStyle name="40% - Accent4 4 3" xfId="1102" xr:uid="{00000000-0005-0000-0000-00001F060000}"/>
    <cellStyle name="40% - Accent4 4 3 2" xfId="3333" xr:uid="{00000000-0005-0000-0000-000020060000}"/>
    <cellStyle name="40% - Accent4 4 3 2 2" xfId="7555" xr:uid="{00000000-0005-0000-0000-000021060000}"/>
    <cellStyle name="40% - Accent4 4 3 2 2 2" xfId="16005" xr:uid="{86DAAF57-8F06-4D2C-B562-CF5FA3F72696}"/>
    <cellStyle name="40% - Accent4 4 3 2 3" xfId="11787" xr:uid="{2211E0A1-1E84-4EE8-951D-216956B54E10}"/>
    <cellStyle name="40% - Accent4 4 3 3" xfId="5410" xr:uid="{00000000-0005-0000-0000-000022060000}"/>
    <cellStyle name="40% - Accent4 4 3 3 2" xfId="13860" xr:uid="{55FE2BC0-8B96-4B77-8FA9-CD0394CB19DD}"/>
    <cellStyle name="40% - Accent4 4 3 4" xfId="9642" xr:uid="{BCB380A2-DAF2-45D2-95F4-E115F1C8BA52}"/>
    <cellStyle name="40% - Accent4 4 4" xfId="1516" xr:uid="{00000000-0005-0000-0000-000023060000}"/>
    <cellStyle name="40% - Accent4 4 4 2" xfId="3746" xr:uid="{00000000-0005-0000-0000-000024060000}"/>
    <cellStyle name="40% - Accent4 4 4 2 2" xfId="7968" xr:uid="{00000000-0005-0000-0000-000025060000}"/>
    <cellStyle name="40% - Accent4 4 4 2 2 2" xfId="16418" xr:uid="{F1284E93-BAB9-42C3-A838-D958E9494F0F}"/>
    <cellStyle name="40% - Accent4 4 4 2 3" xfId="12200" xr:uid="{2E94F60E-7E0C-42F6-BE50-3CB013AEFFD5}"/>
    <cellStyle name="40% - Accent4 4 4 3" xfId="5823" xr:uid="{00000000-0005-0000-0000-000026060000}"/>
    <cellStyle name="40% - Accent4 4 4 3 2" xfId="14273" xr:uid="{C62FCDE0-492C-49CF-AA8E-21916573943B}"/>
    <cellStyle name="40% - Accent4 4 4 4" xfId="10055" xr:uid="{A398AD34-E3D9-458B-A8E0-0B4E84DFC082}"/>
    <cellStyle name="40% - Accent4 4 5" xfId="1930" xr:uid="{00000000-0005-0000-0000-000027060000}"/>
    <cellStyle name="40% - Accent4 4 5 2" xfId="4159" xr:uid="{00000000-0005-0000-0000-000028060000}"/>
    <cellStyle name="40% - Accent4 4 5 2 2" xfId="8381" xr:uid="{00000000-0005-0000-0000-000029060000}"/>
    <cellStyle name="40% - Accent4 4 5 2 2 2" xfId="16831" xr:uid="{8DD81BD6-AA16-4E14-A241-0835924FAA56}"/>
    <cellStyle name="40% - Accent4 4 5 2 3" xfId="12613" xr:uid="{838D0833-AD7C-48CD-9BD6-863F97171C94}"/>
    <cellStyle name="40% - Accent4 4 5 3" xfId="6236" xr:uid="{00000000-0005-0000-0000-00002A060000}"/>
    <cellStyle name="40% - Accent4 4 5 3 2" xfId="14686" xr:uid="{6A43B596-43B4-4C9E-9C4E-80BBA9DD5A12}"/>
    <cellStyle name="40% - Accent4 4 5 4" xfId="10468" xr:uid="{A4600657-99E9-44D1-9056-032249CCCA79}"/>
    <cellStyle name="40% - Accent4 4 6" xfId="2343" xr:uid="{00000000-0005-0000-0000-00002B060000}"/>
    <cellStyle name="40% - Accent4 4 6 2" xfId="6649" xr:uid="{00000000-0005-0000-0000-00002C060000}"/>
    <cellStyle name="40% - Accent4 4 6 2 2" xfId="15099" xr:uid="{AD9AD464-6A3C-4BF9-A583-9EDA6EDEFC83}"/>
    <cellStyle name="40% - Accent4 4 6 3" xfId="10881" xr:uid="{E3AA0BFD-B198-4AB6-AEED-62A6B642A05E}"/>
    <cellStyle name="40% - Accent4 4 7" xfId="4583" xr:uid="{00000000-0005-0000-0000-00002D060000}"/>
    <cellStyle name="40% - Accent4 4 7 2" xfId="13033" xr:uid="{ACCA84BC-118D-461E-B82D-000F2F3ADFD3}"/>
    <cellStyle name="40% - Accent4 4 8" xfId="8815" xr:uid="{83DFB53C-30E6-4529-952E-6B974A042C74}"/>
    <cellStyle name="40% - Accent4 5" xfId="642" xr:uid="{00000000-0005-0000-0000-00002E060000}"/>
    <cellStyle name="40% - Accent4 5 2" xfId="2913" xr:uid="{00000000-0005-0000-0000-00002F060000}"/>
    <cellStyle name="40% - Accent4 5 2 2" xfId="7135" xr:uid="{00000000-0005-0000-0000-000030060000}"/>
    <cellStyle name="40% - Accent4 5 2 2 2" xfId="15585" xr:uid="{1FB05F3C-3ADB-49FA-98E7-CE700F604411}"/>
    <cellStyle name="40% - Accent4 5 2 3" xfId="11367" xr:uid="{8AF20515-1DE4-4116-ACA9-3FE797213F49}"/>
    <cellStyle name="40% - Accent4 5 3" xfId="4990" xr:uid="{00000000-0005-0000-0000-000031060000}"/>
    <cellStyle name="40% - Accent4 5 3 2" xfId="13440" xr:uid="{220A2F05-11D2-484D-A99E-DC9CA3D6D710}"/>
    <cellStyle name="40% - Accent4 5 4" xfId="9222" xr:uid="{5BF14A56-6D46-49BF-9B3F-596661D371D2}"/>
    <cellStyle name="40% - Accent4 6" xfId="1095" xr:uid="{00000000-0005-0000-0000-000032060000}"/>
    <cellStyle name="40% - Accent4 6 2" xfId="3326" xr:uid="{00000000-0005-0000-0000-000033060000}"/>
    <cellStyle name="40% - Accent4 6 2 2" xfId="7548" xr:uid="{00000000-0005-0000-0000-000034060000}"/>
    <cellStyle name="40% - Accent4 6 2 2 2" xfId="15998" xr:uid="{9288556A-87D3-4198-B49C-1CB1A1BFD2CE}"/>
    <cellStyle name="40% - Accent4 6 2 3" xfId="11780" xr:uid="{317093A9-84F7-4070-ABF3-B3370108BEFE}"/>
    <cellStyle name="40% - Accent4 6 3" xfId="5403" xr:uid="{00000000-0005-0000-0000-000035060000}"/>
    <cellStyle name="40% - Accent4 6 3 2" xfId="13853" xr:uid="{B6363B66-1C41-4C8D-A4C8-C7E77D7EEBCE}"/>
    <cellStyle name="40% - Accent4 6 4" xfId="9635" xr:uid="{1E74D603-E41D-45C6-A2DC-D5FCB70F9C05}"/>
    <cellStyle name="40% - Accent4 7" xfId="1509" xr:uid="{00000000-0005-0000-0000-000036060000}"/>
    <cellStyle name="40% - Accent4 7 2" xfId="3739" xr:uid="{00000000-0005-0000-0000-000037060000}"/>
    <cellStyle name="40% - Accent4 7 2 2" xfId="7961" xr:uid="{00000000-0005-0000-0000-000038060000}"/>
    <cellStyle name="40% - Accent4 7 2 2 2" xfId="16411" xr:uid="{70F52049-7E30-4D11-99D5-FB974A25690C}"/>
    <cellStyle name="40% - Accent4 7 2 3" xfId="12193" xr:uid="{E7FE32AB-4AC1-4993-8984-7581BBC8F301}"/>
    <cellStyle name="40% - Accent4 7 3" xfId="5816" xr:uid="{00000000-0005-0000-0000-000039060000}"/>
    <cellStyle name="40% - Accent4 7 3 2" xfId="14266" xr:uid="{95B2EBD9-FCE7-4180-B89C-49D04A3D8E2A}"/>
    <cellStyle name="40% - Accent4 7 4" xfId="10048" xr:uid="{06973C3D-3D72-4EEC-97C6-169738B72BEC}"/>
    <cellStyle name="40% - Accent4 8" xfId="1923" xr:uid="{00000000-0005-0000-0000-00003A060000}"/>
    <cellStyle name="40% - Accent4 8 2" xfId="4152" xr:uid="{00000000-0005-0000-0000-00003B060000}"/>
    <cellStyle name="40% - Accent4 8 2 2" xfId="8374" xr:uid="{00000000-0005-0000-0000-00003C060000}"/>
    <cellStyle name="40% - Accent4 8 2 2 2" xfId="16824" xr:uid="{73787598-ADD5-4FBF-8AA4-24089913669B}"/>
    <cellStyle name="40% - Accent4 8 2 3" xfId="12606" xr:uid="{D6CE92AE-557E-40A7-ABAC-246F32D10915}"/>
    <cellStyle name="40% - Accent4 8 3" xfId="6229" xr:uid="{00000000-0005-0000-0000-00003D060000}"/>
    <cellStyle name="40% - Accent4 8 3 2" xfId="14679" xr:uid="{EF08DB05-AACE-4BE6-8413-D11C8D603AE8}"/>
    <cellStyle name="40% - Accent4 8 4" xfId="10461" xr:uid="{5E2AF0CA-6E8A-45CE-96CD-DFBCECB48865}"/>
    <cellStyle name="40% - Accent4 9" xfId="2336" xr:uid="{00000000-0005-0000-0000-00003E060000}"/>
    <cellStyle name="40% - Accent4 9 2" xfId="6642" xr:uid="{00000000-0005-0000-0000-00003F060000}"/>
    <cellStyle name="40% - Accent4 9 2 2" xfId="15092" xr:uid="{CE370F8A-E543-4C59-B39D-DD7E3ADF94FC}"/>
    <cellStyle name="40% - Accent4 9 3" xfId="10874" xr:uid="{635B6FFF-5644-4356-8D95-2729955D8ED3}"/>
    <cellStyle name="40% - Accent5" xfId="81" builtinId="47" customBuiltin="1"/>
    <cellStyle name="40% - Accent5 10" xfId="4584" xr:uid="{00000000-0005-0000-0000-000041060000}"/>
    <cellStyle name="40% - Accent5 10 2" xfId="13034" xr:uid="{5F1CE760-C11D-4881-91F0-836D24CC5EBB}"/>
    <cellStyle name="40% - Accent5 11" xfId="8816" xr:uid="{3E167818-5880-4DE1-8902-0AF570553C7A}"/>
    <cellStyle name="40% - Accent5 2" xfId="82" xr:uid="{00000000-0005-0000-0000-000042060000}"/>
    <cellStyle name="40% - Accent5 2 10" xfId="8817" xr:uid="{F221055B-8617-45CD-A65F-3072FEE23A72}"/>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2 2 2" xfId="15596" xr:uid="{7FC57E1F-AA54-420B-B14E-E7762E98BADE}"/>
    <cellStyle name="40% - Accent5 2 2 2 2 2 3" xfId="11378" xr:uid="{498D538F-763C-4AAE-A007-9D532A7D2D79}"/>
    <cellStyle name="40% - Accent5 2 2 2 2 3" xfId="5001" xr:uid="{00000000-0005-0000-0000-000048060000}"/>
    <cellStyle name="40% - Accent5 2 2 2 2 3 2" xfId="13451" xr:uid="{37432C0D-8931-4FC9-B1B7-3CED5D794FCF}"/>
    <cellStyle name="40% - Accent5 2 2 2 2 4" xfId="9233" xr:uid="{42E78438-2C56-4D07-ABFD-615731779492}"/>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2 2 2" xfId="16009" xr:uid="{9F0FC1CA-7FDA-44FB-86F4-DB740A461124}"/>
    <cellStyle name="40% - Accent5 2 2 2 3 2 3" xfId="11791" xr:uid="{00187AB5-4E03-436A-9299-D6B60088F48E}"/>
    <cellStyle name="40% - Accent5 2 2 2 3 3" xfId="5414" xr:uid="{00000000-0005-0000-0000-00004C060000}"/>
    <cellStyle name="40% - Accent5 2 2 2 3 3 2" xfId="13864" xr:uid="{62370529-3E80-4651-B388-0215716905B3}"/>
    <cellStyle name="40% - Accent5 2 2 2 3 4" xfId="9646" xr:uid="{2F6574E1-D666-4223-86FF-5A7D87E69B57}"/>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2 2 2" xfId="16422" xr:uid="{672A0AB0-B9F3-4AD8-94D4-F9C6496970B9}"/>
    <cellStyle name="40% - Accent5 2 2 2 4 2 3" xfId="12204" xr:uid="{352C2E7C-675B-4650-8DB8-2AD74A742795}"/>
    <cellStyle name="40% - Accent5 2 2 2 4 3" xfId="5827" xr:uid="{00000000-0005-0000-0000-000050060000}"/>
    <cellStyle name="40% - Accent5 2 2 2 4 3 2" xfId="14277" xr:uid="{8C7A1EB5-C931-4015-8956-A6ACC8E9867C}"/>
    <cellStyle name="40% - Accent5 2 2 2 4 4" xfId="10059" xr:uid="{38CC334F-E348-4D31-81A0-86777D00399E}"/>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2 2 2" xfId="16835" xr:uid="{E1C147B6-51CD-483F-9D1A-EF10E8E8E44B}"/>
    <cellStyle name="40% - Accent5 2 2 2 5 2 3" xfId="12617" xr:uid="{876C2372-69BB-47AD-99B8-3DCFF33F726D}"/>
    <cellStyle name="40% - Accent5 2 2 2 5 3" xfId="6240" xr:uid="{00000000-0005-0000-0000-000054060000}"/>
    <cellStyle name="40% - Accent5 2 2 2 5 3 2" xfId="14690" xr:uid="{4151DE16-AF2B-494E-B7F9-550506F4825C}"/>
    <cellStyle name="40% - Accent5 2 2 2 5 4" xfId="10472" xr:uid="{0DD34FBF-20B8-4755-A157-F0A5FDBC3250}"/>
    <cellStyle name="40% - Accent5 2 2 2 6" xfId="2347" xr:uid="{00000000-0005-0000-0000-000055060000}"/>
    <cellStyle name="40% - Accent5 2 2 2 6 2" xfId="6653" xr:uid="{00000000-0005-0000-0000-000056060000}"/>
    <cellStyle name="40% - Accent5 2 2 2 6 2 2" xfId="15103" xr:uid="{5F901205-446F-4B36-914B-A39B18145B92}"/>
    <cellStyle name="40% - Accent5 2 2 2 6 3" xfId="10885" xr:uid="{E8240C48-6772-4DF2-8B99-E0F90D8CB9D9}"/>
    <cellStyle name="40% - Accent5 2 2 2 7" xfId="4587" xr:uid="{00000000-0005-0000-0000-000057060000}"/>
    <cellStyle name="40% - Accent5 2 2 2 7 2" xfId="13037" xr:uid="{CBBD76CC-9F9A-47E5-9352-A2A4C462C59C}"/>
    <cellStyle name="40% - Accent5 2 2 2 8" xfId="8819" xr:uid="{13F3918E-1156-4694-AEDC-89FF7FF6652B}"/>
    <cellStyle name="40% - Accent5 2 2 3" xfId="652" xr:uid="{00000000-0005-0000-0000-000058060000}"/>
    <cellStyle name="40% - Accent5 2 2 3 2" xfId="2923" xr:uid="{00000000-0005-0000-0000-000059060000}"/>
    <cellStyle name="40% - Accent5 2 2 3 2 2" xfId="7145" xr:uid="{00000000-0005-0000-0000-00005A060000}"/>
    <cellStyle name="40% - Accent5 2 2 3 2 2 2" xfId="15595" xr:uid="{6504D02F-1411-4945-ACD4-1421BD6746AF}"/>
    <cellStyle name="40% - Accent5 2 2 3 2 3" xfId="11377" xr:uid="{996A71BB-1679-4187-8871-C9B19D4291F2}"/>
    <cellStyle name="40% - Accent5 2 2 3 3" xfId="5000" xr:uid="{00000000-0005-0000-0000-00005B060000}"/>
    <cellStyle name="40% - Accent5 2 2 3 3 2" xfId="13450" xr:uid="{C0876324-4327-4E0E-8E63-D472C95240BC}"/>
    <cellStyle name="40% - Accent5 2 2 3 4" xfId="9232" xr:uid="{3F19F92F-936D-4103-ABA9-71277BB98852}"/>
    <cellStyle name="40% - Accent5 2 2 4" xfId="1105" xr:uid="{00000000-0005-0000-0000-00005C060000}"/>
    <cellStyle name="40% - Accent5 2 2 4 2" xfId="3336" xr:uid="{00000000-0005-0000-0000-00005D060000}"/>
    <cellStyle name="40% - Accent5 2 2 4 2 2" xfId="7558" xr:uid="{00000000-0005-0000-0000-00005E060000}"/>
    <cellStyle name="40% - Accent5 2 2 4 2 2 2" xfId="16008" xr:uid="{3444C5B2-422D-4997-836A-A35B83201F11}"/>
    <cellStyle name="40% - Accent5 2 2 4 2 3" xfId="11790" xr:uid="{A41AD12A-A705-4EBF-9A4E-25B64E8E0D68}"/>
    <cellStyle name="40% - Accent5 2 2 4 3" xfId="5413" xr:uid="{00000000-0005-0000-0000-00005F060000}"/>
    <cellStyle name="40% - Accent5 2 2 4 3 2" xfId="13863" xr:uid="{8794E09E-AA99-4FBB-9B97-7FDEEC0DD5B3}"/>
    <cellStyle name="40% - Accent5 2 2 4 4" xfId="9645" xr:uid="{9AFDA14E-C318-446D-8518-D56EA931BC63}"/>
    <cellStyle name="40% - Accent5 2 2 5" xfId="1519" xr:uid="{00000000-0005-0000-0000-000060060000}"/>
    <cellStyle name="40% - Accent5 2 2 5 2" xfId="3749" xr:uid="{00000000-0005-0000-0000-000061060000}"/>
    <cellStyle name="40% - Accent5 2 2 5 2 2" xfId="7971" xr:uid="{00000000-0005-0000-0000-000062060000}"/>
    <cellStyle name="40% - Accent5 2 2 5 2 2 2" xfId="16421" xr:uid="{FE51705F-D13F-4D32-B40B-7B83459DD08E}"/>
    <cellStyle name="40% - Accent5 2 2 5 2 3" xfId="12203" xr:uid="{40F3CA23-9086-483F-A499-C1B99EF3E2C2}"/>
    <cellStyle name="40% - Accent5 2 2 5 3" xfId="5826" xr:uid="{00000000-0005-0000-0000-000063060000}"/>
    <cellStyle name="40% - Accent5 2 2 5 3 2" xfId="14276" xr:uid="{E88DFD51-A43D-47BE-A697-570F469CE059}"/>
    <cellStyle name="40% - Accent5 2 2 5 4" xfId="10058" xr:uid="{2EA5E492-79BD-42C5-A9BE-B22BDB44EEF4}"/>
    <cellStyle name="40% - Accent5 2 2 6" xfId="1933" xr:uid="{00000000-0005-0000-0000-000064060000}"/>
    <cellStyle name="40% - Accent5 2 2 6 2" xfId="4162" xr:uid="{00000000-0005-0000-0000-000065060000}"/>
    <cellStyle name="40% - Accent5 2 2 6 2 2" xfId="8384" xr:uid="{00000000-0005-0000-0000-000066060000}"/>
    <cellStyle name="40% - Accent5 2 2 6 2 2 2" xfId="16834" xr:uid="{0DC63EC3-6689-437A-A50E-A650D957FBB5}"/>
    <cellStyle name="40% - Accent5 2 2 6 2 3" xfId="12616" xr:uid="{A66D5CBB-4175-41AC-8654-B4C135B0B430}"/>
    <cellStyle name="40% - Accent5 2 2 6 3" xfId="6239" xr:uid="{00000000-0005-0000-0000-000067060000}"/>
    <cellStyle name="40% - Accent5 2 2 6 3 2" xfId="14689" xr:uid="{10E434FB-2FE8-4AE5-A7E6-08E55BB9D211}"/>
    <cellStyle name="40% - Accent5 2 2 6 4" xfId="10471" xr:uid="{E6F35C94-9A97-47E5-B706-117E6A27B47C}"/>
    <cellStyle name="40% - Accent5 2 2 7" xfId="2346" xr:uid="{00000000-0005-0000-0000-000068060000}"/>
    <cellStyle name="40% - Accent5 2 2 7 2" xfId="6652" xr:uid="{00000000-0005-0000-0000-000069060000}"/>
    <cellStyle name="40% - Accent5 2 2 7 2 2" xfId="15102" xr:uid="{BEAF25DE-1C11-4157-BBCB-601FC0959107}"/>
    <cellStyle name="40% - Accent5 2 2 7 3" xfId="10884" xr:uid="{05BDF958-F96A-47F2-ADD7-6C051DA535F9}"/>
    <cellStyle name="40% - Accent5 2 2 8" xfId="4586" xr:uid="{00000000-0005-0000-0000-00006A060000}"/>
    <cellStyle name="40% - Accent5 2 2 8 2" xfId="13036" xr:uid="{3ED1ED40-674B-44FF-8C13-7FC155CFE60D}"/>
    <cellStyle name="40% - Accent5 2 2 9" xfId="8818" xr:uid="{77D608DF-705B-4FBB-87B0-7FE53447307C}"/>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2 2 2" xfId="15597" xr:uid="{FFC82644-763E-4E08-B18A-F15AE555C2D7}"/>
    <cellStyle name="40% - Accent5 2 3 2 2 3" xfId="11379" xr:uid="{FE05A5F8-A167-450F-B68F-71885DA14DEA}"/>
    <cellStyle name="40% - Accent5 2 3 2 3" xfId="5002" xr:uid="{00000000-0005-0000-0000-00006F060000}"/>
    <cellStyle name="40% - Accent5 2 3 2 3 2" xfId="13452" xr:uid="{12D570A6-F28E-4F26-8FD6-84BB67F5A832}"/>
    <cellStyle name="40% - Accent5 2 3 2 4" xfId="9234" xr:uid="{4B4A0510-7F2C-4D35-B05D-01EB92B0416C}"/>
    <cellStyle name="40% - Accent5 2 3 3" xfId="1107" xr:uid="{00000000-0005-0000-0000-000070060000}"/>
    <cellStyle name="40% - Accent5 2 3 3 2" xfId="3338" xr:uid="{00000000-0005-0000-0000-000071060000}"/>
    <cellStyle name="40% - Accent5 2 3 3 2 2" xfId="7560" xr:uid="{00000000-0005-0000-0000-000072060000}"/>
    <cellStyle name="40% - Accent5 2 3 3 2 2 2" xfId="16010" xr:uid="{81A227B5-2D6C-4C7D-B8E2-14A11A91002A}"/>
    <cellStyle name="40% - Accent5 2 3 3 2 3" xfId="11792" xr:uid="{A76DA588-FA8F-498F-B725-55E11B2D1DAF}"/>
    <cellStyle name="40% - Accent5 2 3 3 3" xfId="5415" xr:uid="{00000000-0005-0000-0000-000073060000}"/>
    <cellStyle name="40% - Accent5 2 3 3 3 2" xfId="13865" xr:uid="{E218744E-8C99-41E6-955D-FB711AB6E89A}"/>
    <cellStyle name="40% - Accent5 2 3 3 4" xfId="9647" xr:uid="{E20A5282-F4FD-4E82-943D-F1960F7D5296}"/>
    <cellStyle name="40% - Accent5 2 3 4" xfId="1521" xr:uid="{00000000-0005-0000-0000-000074060000}"/>
    <cellStyle name="40% - Accent5 2 3 4 2" xfId="3751" xr:uid="{00000000-0005-0000-0000-000075060000}"/>
    <cellStyle name="40% - Accent5 2 3 4 2 2" xfId="7973" xr:uid="{00000000-0005-0000-0000-000076060000}"/>
    <cellStyle name="40% - Accent5 2 3 4 2 2 2" xfId="16423" xr:uid="{6E92A18A-7BC0-48B9-80C5-7A3BFC67093F}"/>
    <cellStyle name="40% - Accent5 2 3 4 2 3" xfId="12205" xr:uid="{E4FD76EC-E7C2-49A2-8B58-E35BA227270F}"/>
    <cellStyle name="40% - Accent5 2 3 4 3" xfId="5828" xr:uid="{00000000-0005-0000-0000-000077060000}"/>
    <cellStyle name="40% - Accent5 2 3 4 3 2" xfId="14278" xr:uid="{9A8844CF-F618-402F-B37D-D4A9A5F53838}"/>
    <cellStyle name="40% - Accent5 2 3 4 4" xfId="10060" xr:uid="{8A780E34-FBC4-4909-97E4-0978FBF138D8}"/>
    <cellStyle name="40% - Accent5 2 3 5" xfId="1935" xr:uid="{00000000-0005-0000-0000-000078060000}"/>
    <cellStyle name="40% - Accent5 2 3 5 2" xfId="4164" xr:uid="{00000000-0005-0000-0000-000079060000}"/>
    <cellStyle name="40% - Accent5 2 3 5 2 2" xfId="8386" xr:uid="{00000000-0005-0000-0000-00007A060000}"/>
    <cellStyle name="40% - Accent5 2 3 5 2 2 2" xfId="16836" xr:uid="{B7C99914-A3EC-4385-860C-D440AB3A43A2}"/>
    <cellStyle name="40% - Accent5 2 3 5 2 3" xfId="12618" xr:uid="{3B908CBE-C146-43A0-9507-364E7008E469}"/>
    <cellStyle name="40% - Accent5 2 3 5 3" xfId="6241" xr:uid="{00000000-0005-0000-0000-00007B060000}"/>
    <cellStyle name="40% - Accent5 2 3 5 3 2" xfId="14691" xr:uid="{4D23008E-8AA7-4856-AA76-A9541C3EDCBE}"/>
    <cellStyle name="40% - Accent5 2 3 5 4" xfId="10473" xr:uid="{0448F260-FD5A-4EA4-BD28-3FA59026F1E5}"/>
    <cellStyle name="40% - Accent5 2 3 6" xfId="2348" xr:uid="{00000000-0005-0000-0000-00007C060000}"/>
    <cellStyle name="40% - Accent5 2 3 6 2" xfId="6654" xr:uid="{00000000-0005-0000-0000-00007D060000}"/>
    <cellStyle name="40% - Accent5 2 3 6 2 2" xfId="15104" xr:uid="{FA90D76F-F846-4F1D-A8B4-78EFD9D6BFB7}"/>
    <cellStyle name="40% - Accent5 2 3 6 3" xfId="10886" xr:uid="{5BD149A9-530D-428E-84D7-AA4B0C8FA2A8}"/>
    <cellStyle name="40% - Accent5 2 3 7" xfId="4588" xr:uid="{00000000-0005-0000-0000-00007E060000}"/>
    <cellStyle name="40% - Accent5 2 3 7 2" xfId="13038" xr:uid="{78651B7C-CB06-457A-BD13-394824665593}"/>
    <cellStyle name="40% - Accent5 2 3 8" xfId="8820" xr:uid="{2A2D7F64-063E-40E3-BC21-8AFFAC332A5D}"/>
    <cellStyle name="40% - Accent5 2 4" xfId="651" xr:uid="{00000000-0005-0000-0000-00007F060000}"/>
    <cellStyle name="40% - Accent5 2 4 2" xfId="2922" xr:uid="{00000000-0005-0000-0000-000080060000}"/>
    <cellStyle name="40% - Accent5 2 4 2 2" xfId="7144" xr:uid="{00000000-0005-0000-0000-000081060000}"/>
    <cellStyle name="40% - Accent5 2 4 2 2 2" xfId="15594" xr:uid="{8BF34A1D-6F6D-4E36-AA33-081D23282202}"/>
    <cellStyle name="40% - Accent5 2 4 2 3" xfId="11376" xr:uid="{099452F5-144D-4BF8-8A6E-D713339C6B42}"/>
    <cellStyle name="40% - Accent5 2 4 3" xfId="4999" xr:uid="{00000000-0005-0000-0000-000082060000}"/>
    <cellStyle name="40% - Accent5 2 4 3 2" xfId="13449" xr:uid="{B763FDFF-40D3-407E-BAE9-696E8DD88B1B}"/>
    <cellStyle name="40% - Accent5 2 4 4" xfId="9231" xr:uid="{7238B4F0-0FDA-4A22-98D7-59850E57DD3F}"/>
    <cellStyle name="40% - Accent5 2 5" xfId="1104" xr:uid="{00000000-0005-0000-0000-000083060000}"/>
    <cellStyle name="40% - Accent5 2 5 2" xfId="3335" xr:uid="{00000000-0005-0000-0000-000084060000}"/>
    <cellStyle name="40% - Accent5 2 5 2 2" xfId="7557" xr:uid="{00000000-0005-0000-0000-000085060000}"/>
    <cellStyle name="40% - Accent5 2 5 2 2 2" xfId="16007" xr:uid="{6FA749AE-E35A-44A4-98DE-8320C879BC3D}"/>
    <cellStyle name="40% - Accent5 2 5 2 3" xfId="11789" xr:uid="{C46ABC45-62B9-4BD5-BBA9-9B28EE79A4C9}"/>
    <cellStyle name="40% - Accent5 2 5 3" xfId="5412" xr:uid="{00000000-0005-0000-0000-000086060000}"/>
    <cellStyle name="40% - Accent5 2 5 3 2" xfId="13862" xr:uid="{7751DCAA-9B90-4930-ADCE-E1E7F362EEA5}"/>
    <cellStyle name="40% - Accent5 2 5 4" xfId="9644" xr:uid="{AB424E69-4394-4D95-B270-F6395FC639C3}"/>
    <cellStyle name="40% - Accent5 2 6" xfId="1518" xr:uid="{00000000-0005-0000-0000-000087060000}"/>
    <cellStyle name="40% - Accent5 2 6 2" xfId="3748" xr:uid="{00000000-0005-0000-0000-000088060000}"/>
    <cellStyle name="40% - Accent5 2 6 2 2" xfId="7970" xr:uid="{00000000-0005-0000-0000-000089060000}"/>
    <cellStyle name="40% - Accent5 2 6 2 2 2" xfId="16420" xr:uid="{B9A56FCE-D0F2-4E1F-9B3E-6F5E50764EBA}"/>
    <cellStyle name="40% - Accent5 2 6 2 3" xfId="12202" xr:uid="{A57F63CA-3169-46D6-8F41-24B615BEB49C}"/>
    <cellStyle name="40% - Accent5 2 6 3" xfId="5825" xr:uid="{00000000-0005-0000-0000-00008A060000}"/>
    <cellStyle name="40% - Accent5 2 6 3 2" xfId="14275" xr:uid="{A3EE2DE9-F6F4-4A77-9DB6-8DC9F4EDB3BF}"/>
    <cellStyle name="40% - Accent5 2 6 4" xfId="10057" xr:uid="{6BE592EB-8D01-4141-897F-6470B07BEC23}"/>
    <cellStyle name="40% - Accent5 2 7" xfId="1932" xr:uid="{00000000-0005-0000-0000-00008B060000}"/>
    <cellStyle name="40% - Accent5 2 7 2" xfId="4161" xr:uid="{00000000-0005-0000-0000-00008C060000}"/>
    <cellStyle name="40% - Accent5 2 7 2 2" xfId="8383" xr:uid="{00000000-0005-0000-0000-00008D060000}"/>
    <cellStyle name="40% - Accent5 2 7 2 2 2" xfId="16833" xr:uid="{CE8B8D33-66A1-4460-8A5E-A0B9914CAFA8}"/>
    <cellStyle name="40% - Accent5 2 7 2 3" xfId="12615" xr:uid="{134489FC-930A-46E0-9E5F-39A0A94FEFCD}"/>
    <cellStyle name="40% - Accent5 2 7 3" xfId="6238" xr:uid="{00000000-0005-0000-0000-00008E060000}"/>
    <cellStyle name="40% - Accent5 2 7 3 2" xfId="14688" xr:uid="{6D28CCCF-697B-4647-A863-BB0ACD3A03A3}"/>
    <cellStyle name="40% - Accent5 2 7 4" xfId="10470" xr:uid="{1F749D0F-7420-44D9-B4CD-E5594881AC5C}"/>
    <cellStyle name="40% - Accent5 2 8" xfId="2345" xr:uid="{00000000-0005-0000-0000-00008F060000}"/>
    <cellStyle name="40% - Accent5 2 8 2" xfId="6651" xr:uid="{00000000-0005-0000-0000-000090060000}"/>
    <cellStyle name="40% - Accent5 2 8 2 2" xfId="15101" xr:uid="{558D0E33-BEA4-43CB-ADAC-B8E7827D8885}"/>
    <cellStyle name="40% - Accent5 2 8 3" xfId="10883" xr:uid="{38F2C0E9-5D55-4AA0-ADBF-68E4AD0E80FA}"/>
    <cellStyle name="40% - Accent5 2 9" xfId="4585" xr:uid="{00000000-0005-0000-0000-000091060000}"/>
    <cellStyle name="40% - Accent5 2 9 2" xfId="13035" xr:uid="{DFA1B344-AC43-4D6E-80C2-BBB717227ABB}"/>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2 2 2" xfId="15599" xr:uid="{4C747B4B-275D-4577-9ED2-4D2D06A7D5D2}"/>
    <cellStyle name="40% - Accent5 3 2 2 2 3" xfId="11381" xr:uid="{0BE5AD8D-D17C-4D96-A208-E89A972F420D}"/>
    <cellStyle name="40% - Accent5 3 2 2 3" xfId="5004" xr:uid="{00000000-0005-0000-0000-000097060000}"/>
    <cellStyle name="40% - Accent5 3 2 2 3 2" xfId="13454" xr:uid="{F3F8F407-3525-434D-B06D-CAFEDFD76431}"/>
    <cellStyle name="40% - Accent5 3 2 2 4" xfId="9236" xr:uid="{8DCA3E4B-685E-4A55-9A41-CAE1610DD3F3}"/>
    <cellStyle name="40% - Accent5 3 2 3" xfId="1109" xr:uid="{00000000-0005-0000-0000-000098060000}"/>
    <cellStyle name="40% - Accent5 3 2 3 2" xfId="3340" xr:uid="{00000000-0005-0000-0000-000099060000}"/>
    <cellStyle name="40% - Accent5 3 2 3 2 2" xfId="7562" xr:uid="{00000000-0005-0000-0000-00009A060000}"/>
    <cellStyle name="40% - Accent5 3 2 3 2 2 2" xfId="16012" xr:uid="{30787F10-9F9F-4C20-8721-F6DC216C2D13}"/>
    <cellStyle name="40% - Accent5 3 2 3 2 3" xfId="11794" xr:uid="{F29C429E-EAB9-4721-9DD8-57B8A8430B9B}"/>
    <cellStyle name="40% - Accent5 3 2 3 3" xfId="5417" xr:uid="{00000000-0005-0000-0000-00009B060000}"/>
    <cellStyle name="40% - Accent5 3 2 3 3 2" xfId="13867" xr:uid="{2D63BFBB-4D8E-4169-9F24-3CB16F810B91}"/>
    <cellStyle name="40% - Accent5 3 2 3 4" xfId="9649" xr:uid="{2E2FCED9-5250-466F-903C-30A045B0444F}"/>
    <cellStyle name="40% - Accent5 3 2 4" xfId="1523" xr:uid="{00000000-0005-0000-0000-00009C060000}"/>
    <cellStyle name="40% - Accent5 3 2 4 2" xfId="3753" xr:uid="{00000000-0005-0000-0000-00009D060000}"/>
    <cellStyle name="40% - Accent5 3 2 4 2 2" xfId="7975" xr:uid="{00000000-0005-0000-0000-00009E060000}"/>
    <cellStyle name="40% - Accent5 3 2 4 2 2 2" xfId="16425" xr:uid="{3157BB56-4F90-4BA6-B818-9934380B35D8}"/>
    <cellStyle name="40% - Accent5 3 2 4 2 3" xfId="12207" xr:uid="{475D1B1D-3A83-48EC-8944-2CAC104DEF1A}"/>
    <cellStyle name="40% - Accent5 3 2 4 3" xfId="5830" xr:uid="{00000000-0005-0000-0000-00009F060000}"/>
    <cellStyle name="40% - Accent5 3 2 4 3 2" xfId="14280" xr:uid="{DF2DC640-922F-4B8F-9004-ECD749F8C973}"/>
    <cellStyle name="40% - Accent5 3 2 4 4" xfId="10062" xr:uid="{FF224F4F-672E-4383-9193-285489EAF179}"/>
    <cellStyle name="40% - Accent5 3 2 5" xfId="1937" xr:uid="{00000000-0005-0000-0000-0000A0060000}"/>
    <cellStyle name="40% - Accent5 3 2 5 2" xfId="4166" xr:uid="{00000000-0005-0000-0000-0000A1060000}"/>
    <cellStyle name="40% - Accent5 3 2 5 2 2" xfId="8388" xr:uid="{00000000-0005-0000-0000-0000A2060000}"/>
    <cellStyle name="40% - Accent5 3 2 5 2 2 2" xfId="16838" xr:uid="{F092A2F1-1840-4979-A6D9-35D5F87201C5}"/>
    <cellStyle name="40% - Accent5 3 2 5 2 3" xfId="12620" xr:uid="{F7FE1347-9467-48FB-9982-522EBD0481DF}"/>
    <cellStyle name="40% - Accent5 3 2 5 3" xfId="6243" xr:uid="{00000000-0005-0000-0000-0000A3060000}"/>
    <cellStyle name="40% - Accent5 3 2 5 3 2" xfId="14693" xr:uid="{4CFEDB3B-CF84-4608-BD89-92C41AAC0D6A}"/>
    <cellStyle name="40% - Accent5 3 2 5 4" xfId="10475" xr:uid="{81487C1D-2305-4989-8172-01C412F23192}"/>
    <cellStyle name="40% - Accent5 3 2 6" xfId="2350" xr:uid="{00000000-0005-0000-0000-0000A4060000}"/>
    <cellStyle name="40% - Accent5 3 2 6 2" xfId="6656" xr:uid="{00000000-0005-0000-0000-0000A5060000}"/>
    <cellStyle name="40% - Accent5 3 2 6 2 2" xfId="15106" xr:uid="{0F8C6378-4B79-419B-AA32-0B70C8876B71}"/>
    <cellStyle name="40% - Accent5 3 2 6 3" xfId="10888" xr:uid="{86596725-4E95-4522-AF2D-41FF757A47ED}"/>
    <cellStyle name="40% - Accent5 3 2 7" xfId="4590" xr:uid="{00000000-0005-0000-0000-0000A6060000}"/>
    <cellStyle name="40% - Accent5 3 2 7 2" xfId="13040" xr:uid="{8648BE90-C543-4948-A05A-5884A1046D52}"/>
    <cellStyle name="40% - Accent5 3 2 8" xfId="8822" xr:uid="{65C52EDD-1FFE-45D9-ABD0-A9FE2844FA76}"/>
    <cellStyle name="40% - Accent5 3 3" xfId="655" xr:uid="{00000000-0005-0000-0000-0000A7060000}"/>
    <cellStyle name="40% - Accent5 3 3 2" xfId="2926" xr:uid="{00000000-0005-0000-0000-0000A8060000}"/>
    <cellStyle name="40% - Accent5 3 3 2 2" xfId="7148" xr:uid="{00000000-0005-0000-0000-0000A9060000}"/>
    <cellStyle name="40% - Accent5 3 3 2 2 2" xfId="15598" xr:uid="{44A69717-ABAA-40CF-9EC2-713CCB05B149}"/>
    <cellStyle name="40% - Accent5 3 3 2 3" xfId="11380" xr:uid="{F071970A-EE6E-433B-8434-4639700E68D3}"/>
    <cellStyle name="40% - Accent5 3 3 3" xfId="5003" xr:uid="{00000000-0005-0000-0000-0000AA060000}"/>
    <cellStyle name="40% - Accent5 3 3 3 2" xfId="13453" xr:uid="{CF8DA9A1-72F8-4C37-9802-E2AE723A98E7}"/>
    <cellStyle name="40% - Accent5 3 3 4" xfId="9235" xr:uid="{FD55B548-07BC-4A0C-A1DC-1C64DE4EFF9D}"/>
    <cellStyle name="40% - Accent5 3 4" xfId="1108" xr:uid="{00000000-0005-0000-0000-0000AB060000}"/>
    <cellStyle name="40% - Accent5 3 4 2" xfId="3339" xr:uid="{00000000-0005-0000-0000-0000AC060000}"/>
    <cellStyle name="40% - Accent5 3 4 2 2" xfId="7561" xr:uid="{00000000-0005-0000-0000-0000AD060000}"/>
    <cellStyle name="40% - Accent5 3 4 2 2 2" xfId="16011" xr:uid="{C2C3565B-0378-4584-99BC-22C7AB6E5F8D}"/>
    <cellStyle name="40% - Accent5 3 4 2 3" xfId="11793" xr:uid="{038314C9-97C3-4770-9779-61D3532FF3C0}"/>
    <cellStyle name="40% - Accent5 3 4 3" xfId="5416" xr:uid="{00000000-0005-0000-0000-0000AE060000}"/>
    <cellStyle name="40% - Accent5 3 4 3 2" xfId="13866" xr:uid="{D9D89611-41E7-42FF-B94B-920828DBD7FE}"/>
    <cellStyle name="40% - Accent5 3 4 4" xfId="9648" xr:uid="{513ADE2F-CFF8-4BC5-8C98-3F66C47A259E}"/>
    <cellStyle name="40% - Accent5 3 5" xfId="1522" xr:uid="{00000000-0005-0000-0000-0000AF060000}"/>
    <cellStyle name="40% - Accent5 3 5 2" xfId="3752" xr:uid="{00000000-0005-0000-0000-0000B0060000}"/>
    <cellStyle name="40% - Accent5 3 5 2 2" xfId="7974" xr:uid="{00000000-0005-0000-0000-0000B1060000}"/>
    <cellStyle name="40% - Accent5 3 5 2 2 2" xfId="16424" xr:uid="{D2E56C36-A46F-414D-9775-73C2A8340A7C}"/>
    <cellStyle name="40% - Accent5 3 5 2 3" xfId="12206" xr:uid="{5CC0410D-F3FC-427B-92CA-9B59D749B784}"/>
    <cellStyle name="40% - Accent5 3 5 3" xfId="5829" xr:uid="{00000000-0005-0000-0000-0000B2060000}"/>
    <cellStyle name="40% - Accent5 3 5 3 2" xfId="14279" xr:uid="{3A7E1205-4137-403F-92D9-40C91C7FDF30}"/>
    <cellStyle name="40% - Accent5 3 5 4" xfId="10061" xr:uid="{39AD24D4-9E88-4B70-8174-883F64D085BE}"/>
    <cellStyle name="40% - Accent5 3 6" xfId="1936" xr:uid="{00000000-0005-0000-0000-0000B3060000}"/>
    <cellStyle name="40% - Accent5 3 6 2" xfId="4165" xr:uid="{00000000-0005-0000-0000-0000B4060000}"/>
    <cellStyle name="40% - Accent5 3 6 2 2" xfId="8387" xr:uid="{00000000-0005-0000-0000-0000B5060000}"/>
    <cellStyle name="40% - Accent5 3 6 2 2 2" xfId="16837" xr:uid="{66FB7538-FEAC-4650-B65C-D1607E425219}"/>
    <cellStyle name="40% - Accent5 3 6 2 3" xfId="12619" xr:uid="{15EC36C8-1A34-412F-9414-838A951BD6A1}"/>
    <cellStyle name="40% - Accent5 3 6 3" xfId="6242" xr:uid="{00000000-0005-0000-0000-0000B6060000}"/>
    <cellStyle name="40% - Accent5 3 6 3 2" xfId="14692" xr:uid="{7A22A251-3619-4A32-A700-976E2D217F88}"/>
    <cellStyle name="40% - Accent5 3 6 4" xfId="10474" xr:uid="{2C1B0C2E-8B48-4451-9E77-DFEE93743EA9}"/>
    <cellStyle name="40% - Accent5 3 7" xfId="2349" xr:uid="{00000000-0005-0000-0000-0000B7060000}"/>
    <cellStyle name="40% - Accent5 3 7 2" xfId="6655" xr:uid="{00000000-0005-0000-0000-0000B8060000}"/>
    <cellStyle name="40% - Accent5 3 7 2 2" xfId="15105" xr:uid="{3A30B448-E9ED-4A70-881A-844E3DB98617}"/>
    <cellStyle name="40% - Accent5 3 7 3" xfId="10887" xr:uid="{EEB040B1-8D92-449F-84E0-B9FCB0394D00}"/>
    <cellStyle name="40% - Accent5 3 8" xfId="4589" xr:uid="{00000000-0005-0000-0000-0000B9060000}"/>
    <cellStyle name="40% - Accent5 3 8 2" xfId="13039" xr:uid="{A4BF156F-0488-4F7A-958C-4EE41FE5B48B}"/>
    <cellStyle name="40% - Accent5 3 9" xfId="8821" xr:uid="{7B098C56-CFB9-495B-A902-ADACB178647B}"/>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2 2 2" xfId="15600" xr:uid="{829DCC5B-F541-4A31-89D5-47150F753990}"/>
    <cellStyle name="40% - Accent5 4 2 2 3" xfId="11382" xr:uid="{6CA4C23C-A6C0-40C1-B80B-D6F25010D567}"/>
    <cellStyle name="40% - Accent5 4 2 3" xfId="5005" xr:uid="{00000000-0005-0000-0000-0000BE060000}"/>
    <cellStyle name="40% - Accent5 4 2 3 2" xfId="13455" xr:uid="{77DEF366-B62F-4619-B34A-7EB798C98E99}"/>
    <cellStyle name="40% - Accent5 4 2 4" xfId="9237" xr:uid="{392A15E7-1C41-4781-9183-B091C1FAF2CD}"/>
    <cellStyle name="40% - Accent5 4 3" xfId="1110" xr:uid="{00000000-0005-0000-0000-0000BF060000}"/>
    <cellStyle name="40% - Accent5 4 3 2" xfId="3341" xr:uid="{00000000-0005-0000-0000-0000C0060000}"/>
    <cellStyle name="40% - Accent5 4 3 2 2" xfId="7563" xr:uid="{00000000-0005-0000-0000-0000C1060000}"/>
    <cellStyle name="40% - Accent5 4 3 2 2 2" xfId="16013" xr:uid="{411DB26A-1559-455C-A901-F821F48E24CE}"/>
    <cellStyle name="40% - Accent5 4 3 2 3" xfId="11795" xr:uid="{246F011D-6C20-4FF7-AF37-C06FF7D94210}"/>
    <cellStyle name="40% - Accent5 4 3 3" xfId="5418" xr:uid="{00000000-0005-0000-0000-0000C2060000}"/>
    <cellStyle name="40% - Accent5 4 3 3 2" xfId="13868" xr:uid="{2CFBB872-77B4-497A-ADB1-C88B055C1153}"/>
    <cellStyle name="40% - Accent5 4 3 4" xfId="9650" xr:uid="{D8A96462-5C97-405E-8E1D-74AFDE6E7C1F}"/>
    <cellStyle name="40% - Accent5 4 4" xfId="1524" xr:uid="{00000000-0005-0000-0000-0000C3060000}"/>
    <cellStyle name="40% - Accent5 4 4 2" xfId="3754" xr:uid="{00000000-0005-0000-0000-0000C4060000}"/>
    <cellStyle name="40% - Accent5 4 4 2 2" xfId="7976" xr:uid="{00000000-0005-0000-0000-0000C5060000}"/>
    <cellStyle name="40% - Accent5 4 4 2 2 2" xfId="16426" xr:uid="{F5F7DFDE-1D00-4C2A-A3CF-7F38481E19E9}"/>
    <cellStyle name="40% - Accent5 4 4 2 3" xfId="12208" xr:uid="{46F47222-EDA4-40F9-A114-1165832D7BA8}"/>
    <cellStyle name="40% - Accent5 4 4 3" xfId="5831" xr:uid="{00000000-0005-0000-0000-0000C6060000}"/>
    <cellStyle name="40% - Accent5 4 4 3 2" xfId="14281" xr:uid="{CAECBF26-B966-4C5B-BE6C-8CF8085DE377}"/>
    <cellStyle name="40% - Accent5 4 4 4" xfId="10063" xr:uid="{D575CF4A-4E67-418E-828D-5B626E590057}"/>
    <cellStyle name="40% - Accent5 4 5" xfId="1938" xr:uid="{00000000-0005-0000-0000-0000C7060000}"/>
    <cellStyle name="40% - Accent5 4 5 2" xfId="4167" xr:uid="{00000000-0005-0000-0000-0000C8060000}"/>
    <cellStyle name="40% - Accent5 4 5 2 2" xfId="8389" xr:uid="{00000000-0005-0000-0000-0000C9060000}"/>
    <cellStyle name="40% - Accent5 4 5 2 2 2" xfId="16839" xr:uid="{C583F640-6777-4106-A2A2-FD1B853BEC89}"/>
    <cellStyle name="40% - Accent5 4 5 2 3" xfId="12621" xr:uid="{52BD6B2A-87BE-457A-A07B-801E623FDC60}"/>
    <cellStyle name="40% - Accent5 4 5 3" xfId="6244" xr:uid="{00000000-0005-0000-0000-0000CA060000}"/>
    <cellStyle name="40% - Accent5 4 5 3 2" xfId="14694" xr:uid="{D9E06170-CBEA-4C81-A28A-81C7D70724A5}"/>
    <cellStyle name="40% - Accent5 4 5 4" xfId="10476" xr:uid="{24B77DD3-0209-42FC-BF11-55E5F4780F90}"/>
    <cellStyle name="40% - Accent5 4 6" xfId="2351" xr:uid="{00000000-0005-0000-0000-0000CB060000}"/>
    <cellStyle name="40% - Accent5 4 6 2" xfId="6657" xr:uid="{00000000-0005-0000-0000-0000CC060000}"/>
    <cellStyle name="40% - Accent5 4 6 2 2" xfId="15107" xr:uid="{B8A33552-8D3D-4A9C-B806-126DB56447B2}"/>
    <cellStyle name="40% - Accent5 4 6 3" xfId="10889" xr:uid="{B4ACA873-D783-4E43-A831-9018F65C75AC}"/>
    <cellStyle name="40% - Accent5 4 7" xfId="4591" xr:uid="{00000000-0005-0000-0000-0000CD060000}"/>
    <cellStyle name="40% - Accent5 4 7 2" xfId="13041" xr:uid="{111F2692-9406-4515-811C-B8BBC4B81B8E}"/>
    <cellStyle name="40% - Accent5 4 8" xfId="8823" xr:uid="{A47C5B68-20CB-4577-BA5B-23DD88BB1F23}"/>
    <cellStyle name="40% - Accent5 5" xfId="650" xr:uid="{00000000-0005-0000-0000-0000CE060000}"/>
    <cellStyle name="40% - Accent5 5 2" xfId="2921" xr:uid="{00000000-0005-0000-0000-0000CF060000}"/>
    <cellStyle name="40% - Accent5 5 2 2" xfId="7143" xr:uid="{00000000-0005-0000-0000-0000D0060000}"/>
    <cellStyle name="40% - Accent5 5 2 2 2" xfId="15593" xr:uid="{B7670E10-2D36-4D46-8061-84F6638BE242}"/>
    <cellStyle name="40% - Accent5 5 2 3" xfId="11375" xr:uid="{4C6A8600-29BA-4AD1-AEE9-539737234C87}"/>
    <cellStyle name="40% - Accent5 5 3" xfId="4998" xr:uid="{00000000-0005-0000-0000-0000D1060000}"/>
    <cellStyle name="40% - Accent5 5 3 2" xfId="13448" xr:uid="{11C650DB-27E6-4932-A075-31385117986E}"/>
    <cellStyle name="40% - Accent5 5 4" xfId="9230" xr:uid="{639206CC-DB31-4B9A-8EA7-0B31CF77F9FA}"/>
    <cellStyle name="40% - Accent5 6" xfId="1103" xr:uid="{00000000-0005-0000-0000-0000D2060000}"/>
    <cellStyle name="40% - Accent5 6 2" xfId="3334" xr:uid="{00000000-0005-0000-0000-0000D3060000}"/>
    <cellStyle name="40% - Accent5 6 2 2" xfId="7556" xr:uid="{00000000-0005-0000-0000-0000D4060000}"/>
    <cellStyle name="40% - Accent5 6 2 2 2" xfId="16006" xr:uid="{B7E4499A-F139-4372-98E8-CDF3B0D41089}"/>
    <cellStyle name="40% - Accent5 6 2 3" xfId="11788" xr:uid="{E07D8037-F512-4080-91BD-D72C01574D69}"/>
    <cellStyle name="40% - Accent5 6 3" xfId="5411" xr:uid="{00000000-0005-0000-0000-0000D5060000}"/>
    <cellStyle name="40% - Accent5 6 3 2" xfId="13861" xr:uid="{A2CB2A32-0D45-4905-A4FD-FAA58ED989FD}"/>
    <cellStyle name="40% - Accent5 6 4" xfId="9643" xr:uid="{28133FC7-053F-4605-8CCC-7B134FAEE838}"/>
    <cellStyle name="40% - Accent5 7" xfId="1517" xr:uid="{00000000-0005-0000-0000-0000D6060000}"/>
    <cellStyle name="40% - Accent5 7 2" xfId="3747" xr:uid="{00000000-0005-0000-0000-0000D7060000}"/>
    <cellStyle name="40% - Accent5 7 2 2" xfId="7969" xr:uid="{00000000-0005-0000-0000-0000D8060000}"/>
    <cellStyle name="40% - Accent5 7 2 2 2" xfId="16419" xr:uid="{8DF489FD-2309-4054-A9AC-79A769791DE1}"/>
    <cellStyle name="40% - Accent5 7 2 3" xfId="12201" xr:uid="{825B9912-D3E6-47A5-A77D-F957F2082628}"/>
    <cellStyle name="40% - Accent5 7 3" xfId="5824" xr:uid="{00000000-0005-0000-0000-0000D9060000}"/>
    <cellStyle name="40% - Accent5 7 3 2" xfId="14274" xr:uid="{D52C3211-823F-4CBE-BAF2-923738925F63}"/>
    <cellStyle name="40% - Accent5 7 4" xfId="10056" xr:uid="{C6BE3930-E9C1-4BC0-A03B-4742BFC25B55}"/>
    <cellStyle name="40% - Accent5 8" xfId="1931" xr:uid="{00000000-0005-0000-0000-0000DA060000}"/>
    <cellStyle name="40% - Accent5 8 2" xfId="4160" xr:uid="{00000000-0005-0000-0000-0000DB060000}"/>
    <cellStyle name="40% - Accent5 8 2 2" xfId="8382" xr:uid="{00000000-0005-0000-0000-0000DC060000}"/>
    <cellStyle name="40% - Accent5 8 2 2 2" xfId="16832" xr:uid="{13AD64D2-B305-49A6-ACC6-1C2E443AAE67}"/>
    <cellStyle name="40% - Accent5 8 2 3" xfId="12614" xr:uid="{669D08F1-B6DC-46EB-8FF6-A455E81B095A}"/>
    <cellStyle name="40% - Accent5 8 3" xfId="6237" xr:uid="{00000000-0005-0000-0000-0000DD060000}"/>
    <cellStyle name="40% - Accent5 8 3 2" xfId="14687" xr:uid="{7C8474F1-C794-42E4-BA70-5DE3DC2D168E}"/>
    <cellStyle name="40% - Accent5 8 4" xfId="10469" xr:uid="{6D8CF039-8C4D-4A0D-B879-3271A0AD5632}"/>
    <cellStyle name="40% - Accent5 9" xfId="2344" xr:uid="{00000000-0005-0000-0000-0000DE060000}"/>
    <cellStyle name="40% - Accent5 9 2" xfId="6650" xr:uid="{00000000-0005-0000-0000-0000DF060000}"/>
    <cellStyle name="40% - Accent5 9 2 2" xfId="15100" xr:uid="{95596734-7F54-4017-B753-2AA8304051DC}"/>
    <cellStyle name="40% - Accent5 9 3" xfId="10882" xr:uid="{6F120425-FD49-466A-925A-21D9E619D8FF}"/>
    <cellStyle name="40% - Accent6" xfId="89" builtinId="51" customBuiltin="1"/>
    <cellStyle name="40% - Accent6 10" xfId="4592" xr:uid="{00000000-0005-0000-0000-0000E1060000}"/>
    <cellStyle name="40% - Accent6 10 2" xfId="13042" xr:uid="{C732FCD4-70FF-4A43-954F-41A1175AD652}"/>
    <cellStyle name="40% - Accent6 11" xfId="8824" xr:uid="{AC710C95-104A-4AF9-936F-4C546749AF4F}"/>
    <cellStyle name="40% - Accent6 2" xfId="90" xr:uid="{00000000-0005-0000-0000-0000E2060000}"/>
    <cellStyle name="40% - Accent6 2 10" xfId="8825" xr:uid="{5AB7D815-8466-4C2F-AD51-B0A848A83974}"/>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2 2 2" xfId="15604" xr:uid="{3C97D315-6505-4673-A7A1-3E2F1E4E9522}"/>
    <cellStyle name="40% - Accent6 2 2 2 2 2 3" xfId="11386" xr:uid="{36EC4690-09E1-4B91-ACBB-77B1B38F6344}"/>
    <cellStyle name="40% - Accent6 2 2 2 2 3" xfId="5009" xr:uid="{00000000-0005-0000-0000-0000E8060000}"/>
    <cellStyle name="40% - Accent6 2 2 2 2 3 2" xfId="13459" xr:uid="{2A9DAEDB-0391-4470-9CFD-7EA7992D63AA}"/>
    <cellStyle name="40% - Accent6 2 2 2 2 4" xfId="9241" xr:uid="{C3326F5B-2FD6-47BF-A7D4-08AFF90010BE}"/>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2 2 2" xfId="16017" xr:uid="{6048A07E-CE00-4500-A81C-49C2E7E52AB1}"/>
    <cellStyle name="40% - Accent6 2 2 2 3 2 3" xfId="11799" xr:uid="{281DE469-0282-4F0C-A855-8829B3832C64}"/>
    <cellStyle name="40% - Accent6 2 2 2 3 3" xfId="5422" xr:uid="{00000000-0005-0000-0000-0000EC060000}"/>
    <cellStyle name="40% - Accent6 2 2 2 3 3 2" xfId="13872" xr:uid="{96847C69-5CE6-41CD-B91C-0D3E3B1D68EF}"/>
    <cellStyle name="40% - Accent6 2 2 2 3 4" xfId="9654" xr:uid="{66E714F5-9EC1-4D05-92DD-E12F14F30CB3}"/>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2 2 2" xfId="16430" xr:uid="{E2E98DFD-6D31-440A-B5BE-596B87005552}"/>
    <cellStyle name="40% - Accent6 2 2 2 4 2 3" xfId="12212" xr:uid="{D710F327-10FB-49AF-8AFA-84263AB97E18}"/>
    <cellStyle name="40% - Accent6 2 2 2 4 3" xfId="5835" xr:uid="{00000000-0005-0000-0000-0000F0060000}"/>
    <cellStyle name="40% - Accent6 2 2 2 4 3 2" xfId="14285" xr:uid="{C951A715-1264-4F01-9863-848654087294}"/>
    <cellStyle name="40% - Accent6 2 2 2 4 4" xfId="10067" xr:uid="{16E41DDE-F3DC-4949-A185-6EF5C812A9B6}"/>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2 2 2" xfId="16843" xr:uid="{6625123A-2D66-4AB7-9345-DB31E20E62BA}"/>
    <cellStyle name="40% - Accent6 2 2 2 5 2 3" xfId="12625" xr:uid="{A8ADFD4A-84FF-4D58-9CA2-F1D796AAB8A5}"/>
    <cellStyle name="40% - Accent6 2 2 2 5 3" xfId="6248" xr:uid="{00000000-0005-0000-0000-0000F4060000}"/>
    <cellStyle name="40% - Accent6 2 2 2 5 3 2" xfId="14698" xr:uid="{A7F408E0-18A6-4B6D-BFF1-A66F3E330D55}"/>
    <cellStyle name="40% - Accent6 2 2 2 5 4" xfId="10480" xr:uid="{BF6244EC-5C29-4B92-BCDE-6962E950AD4C}"/>
    <cellStyle name="40% - Accent6 2 2 2 6" xfId="2355" xr:uid="{00000000-0005-0000-0000-0000F5060000}"/>
    <cellStyle name="40% - Accent6 2 2 2 6 2" xfId="6661" xr:uid="{00000000-0005-0000-0000-0000F6060000}"/>
    <cellStyle name="40% - Accent6 2 2 2 6 2 2" xfId="15111" xr:uid="{B0A6CD4E-5D10-42FF-8FEB-CDC2CAD0C5D6}"/>
    <cellStyle name="40% - Accent6 2 2 2 6 3" xfId="10893" xr:uid="{7C71575C-F849-4120-95A4-F75A7EF7AE45}"/>
    <cellStyle name="40% - Accent6 2 2 2 7" xfId="4595" xr:uid="{00000000-0005-0000-0000-0000F7060000}"/>
    <cellStyle name="40% - Accent6 2 2 2 7 2" xfId="13045" xr:uid="{7F7F3F92-E645-410E-A264-A3EA94A0DF38}"/>
    <cellStyle name="40% - Accent6 2 2 2 8" xfId="8827" xr:uid="{2D4D4775-06CA-42C5-A775-AAAECAE17837}"/>
    <cellStyle name="40% - Accent6 2 2 3" xfId="660" xr:uid="{00000000-0005-0000-0000-0000F8060000}"/>
    <cellStyle name="40% - Accent6 2 2 3 2" xfId="2931" xr:uid="{00000000-0005-0000-0000-0000F9060000}"/>
    <cellStyle name="40% - Accent6 2 2 3 2 2" xfId="7153" xr:uid="{00000000-0005-0000-0000-0000FA060000}"/>
    <cellStyle name="40% - Accent6 2 2 3 2 2 2" xfId="15603" xr:uid="{6FE536E7-2586-48FD-B2EF-1311F9A708E6}"/>
    <cellStyle name="40% - Accent6 2 2 3 2 3" xfId="11385" xr:uid="{C77024A5-D7A0-4937-95E1-5F363800FA32}"/>
    <cellStyle name="40% - Accent6 2 2 3 3" xfId="5008" xr:uid="{00000000-0005-0000-0000-0000FB060000}"/>
    <cellStyle name="40% - Accent6 2 2 3 3 2" xfId="13458" xr:uid="{307D76A4-6F36-430E-946B-C7BEE1AC39AA}"/>
    <cellStyle name="40% - Accent6 2 2 3 4" xfId="9240" xr:uid="{A80CF6F1-645D-4C27-B0EC-34607D7FB413}"/>
    <cellStyle name="40% - Accent6 2 2 4" xfId="1113" xr:uid="{00000000-0005-0000-0000-0000FC060000}"/>
    <cellStyle name="40% - Accent6 2 2 4 2" xfId="3344" xr:uid="{00000000-0005-0000-0000-0000FD060000}"/>
    <cellStyle name="40% - Accent6 2 2 4 2 2" xfId="7566" xr:uid="{00000000-0005-0000-0000-0000FE060000}"/>
    <cellStyle name="40% - Accent6 2 2 4 2 2 2" xfId="16016" xr:uid="{9BF855CE-EE22-4072-9981-79D23B6418FA}"/>
    <cellStyle name="40% - Accent6 2 2 4 2 3" xfId="11798" xr:uid="{E4DA9B17-DA81-4765-AA1C-C58FB9711FD3}"/>
    <cellStyle name="40% - Accent6 2 2 4 3" xfId="5421" xr:uid="{00000000-0005-0000-0000-0000FF060000}"/>
    <cellStyle name="40% - Accent6 2 2 4 3 2" xfId="13871" xr:uid="{C9653B8D-E49C-4513-8EB7-03260E60C068}"/>
    <cellStyle name="40% - Accent6 2 2 4 4" xfId="9653" xr:uid="{86E6A446-ECAD-45E2-A396-56A8E38B4036}"/>
    <cellStyle name="40% - Accent6 2 2 5" xfId="1527" xr:uid="{00000000-0005-0000-0000-000000070000}"/>
    <cellStyle name="40% - Accent6 2 2 5 2" xfId="3757" xr:uid="{00000000-0005-0000-0000-000001070000}"/>
    <cellStyle name="40% - Accent6 2 2 5 2 2" xfId="7979" xr:uid="{00000000-0005-0000-0000-000002070000}"/>
    <cellStyle name="40% - Accent6 2 2 5 2 2 2" xfId="16429" xr:uid="{EE182ED1-96A2-4686-8455-26CD66F46B66}"/>
    <cellStyle name="40% - Accent6 2 2 5 2 3" xfId="12211" xr:uid="{D9E66278-E01A-4ABD-834A-7F5DCC9B7486}"/>
    <cellStyle name="40% - Accent6 2 2 5 3" xfId="5834" xr:uid="{00000000-0005-0000-0000-000003070000}"/>
    <cellStyle name="40% - Accent6 2 2 5 3 2" xfId="14284" xr:uid="{F2F07E32-D6F5-4EDC-AB28-94DC85E790D0}"/>
    <cellStyle name="40% - Accent6 2 2 5 4" xfId="10066" xr:uid="{F959B084-AFC4-42DA-9FF8-81437281A5E8}"/>
    <cellStyle name="40% - Accent6 2 2 6" xfId="1941" xr:uid="{00000000-0005-0000-0000-000004070000}"/>
    <cellStyle name="40% - Accent6 2 2 6 2" xfId="4170" xr:uid="{00000000-0005-0000-0000-000005070000}"/>
    <cellStyle name="40% - Accent6 2 2 6 2 2" xfId="8392" xr:uid="{00000000-0005-0000-0000-000006070000}"/>
    <cellStyle name="40% - Accent6 2 2 6 2 2 2" xfId="16842" xr:uid="{2341C2BA-5A8F-4848-B3D0-6A7628FAE532}"/>
    <cellStyle name="40% - Accent6 2 2 6 2 3" xfId="12624" xr:uid="{4152B600-3AEF-4E17-AA18-F5D3C3CBBBEF}"/>
    <cellStyle name="40% - Accent6 2 2 6 3" xfId="6247" xr:uid="{00000000-0005-0000-0000-000007070000}"/>
    <cellStyle name="40% - Accent6 2 2 6 3 2" xfId="14697" xr:uid="{6B94BC93-F042-4E32-A7D6-D3C2BBC17143}"/>
    <cellStyle name="40% - Accent6 2 2 6 4" xfId="10479" xr:uid="{703E8EE3-115B-4F83-9B44-6E243A336640}"/>
    <cellStyle name="40% - Accent6 2 2 7" xfId="2354" xr:uid="{00000000-0005-0000-0000-000008070000}"/>
    <cellStyle name="40% - Accent6 2 2 7 2" xfId="6660" xr:uid="{00000000-0005-0000-0000-000009070000}"/>
    <cellStyle name="40% - Accent6 2 2 7 2 2" xfId="15110" xr:uid="{EA5E4940-0F8E-422F-8FF6-BADFEF9F78CC}"/>
    <cellStyle name="40% - Accent6 2 2 7 3" xfId="10892" xr:uid="{AB320743-55E8-4C6D-9C80-6168161995C0}"/>
    <cellStyle name="40% - Accent6 2 2 8" xfId="4594" xr:uid="{00000000-0005-0000-0000-00000A070000}"/>
    <cellStyle name="40% - Accent6 2 2 8 2" xfId="13044" xr:uid="{E555AF27-9529-4746-BB9F-38EAB065B34D}"/>
    <cellStyle name="40% - Accent6 2 2 9" xfId="8826" xr:uid="{03AFF69E-226E-4835-97AB-26027E670D9F}"/>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2 2 2" xfId="15605" xr:uid="{9724D336-0C71-4688-9816-7C4E40FC3716}"/>
    <cellStyle name="40% - Accent6 2 3 2 2 3" xfId="11387" xr:uid="{1444658D-FAF6-4E0E-B07A-918D2F098570}"/>
    <cellStyle name="40% - Accent6 2 3 2 3" xfId="5010" xr:uid="{00000000-0005-0000-0000-00000F070000}"/>
    <cellStyle name="40% - Accent6 2 3 2 3 2" xfId="13460" xr:uid="{D88205D3-D1FD-4514-803D-3AA9AF1AD87F}"/>
    <cellStyle name="40% - Accent6 2 3 2 4" xfId="9242" xr:uid="{F21540FE-8103-44F1-A4C4-AF9FC8FB5AC5}"/>
    <cellStyle name="40% - Accent6 2 3 3" xfId="1115" xr:uid="{00000000-0005-0000-0000-000010070000}"/>
    <cellStyle name="40% - Accent6 2 3 3 2" xfId="3346" xr:uid="{00000000-0005-0000-0000-000011070000}"/>
    <cellStyle name="40% - Accent6 2 3 3 2 2" xfId="7568" xr:uid="{00000000-0005-0000-0000-000012070000}"/>
    <cellStyle name="40% - Accent6 2 3 3 2 2 2" xfId="16018" xr:uid="{1B184A7E-5DBB-4F85-B994-5B80B8AF5F42}"/>
    <cellStyle name="40% - Accent6 2 3 3 2 3" xfId="11800" xr:uid="{EA79E186-4B26-4590-B672-1F8EC902607A}"/>
    <cellStyle name="40% - Accent6 2 3 3 3" xfId="5423" xr:uid="{00000000-0005-0000-0000-000013070000}"/>
    <cellStyle name="40% - Accent6 2 3 3 3 2" xfId="13873" xr:uid="{3C0222E3-063E-4FF6-ADD5-B1ACA640A7B6}"/>
    <cellStyle name="40% - Accent6 2 3 3 4" xfId="9655" xr:uid="{F5C4CEBF-27D5-443C-9530-9644F04B2075}"/>
    <cellStyle name="40% - Accent6 2 3 4" xfId="1529" xr:uid="{00000000-0005-0000-0000-000014070000}"/>
    <cellStyle name="40% - Accent6 2 3 4 2" xfId="3759" xr:uid="{00000000-0005-0000-0000-000015070000}"/>
    <cellStyle name="40% - Accent6 2 3 4 2 2" xfId="7981" xr:uid="{00000000-0005-0000-0000-000016070000}"/>
    <cellStyle name="40% - Accent6 2 3 4 2 2 2" xfId="16431" xr:uid="{BE45BAC0-0F10-48CF-9574-233FAB306E5E}"/>
    <cellStyle name="40% - Accent6 2 3 4 2 3" xfId="12213" xr:uid="{B420F783-FD02-42FA-A904-30BB6D33770F}"/>
    <cellStyle name="40% - Accent6 2 3 4 3" xfId="5836" xr:uid="{00000000-0005-0000-0000-000017070000}"/>
    <cellStyle name="40% - Accent6 2 3 4 3 2" xfId="14286" xr:uid="{7A455B1B-2EB5-48C2-9528-D7D398D6D236}"/>
    <cellStyle name="40% - Accent6 2 3 4 4" xfId="10068" xr:uid="{EAF40C9C-C730-4CDC-A2E0-3BA92CD00EDC}"/>
    <cellStyle name="40% - Accent6 2 3 5" xfId="1943" xr:uid="{00000000-0005-0000-0000-000018070000}"/>
    <cellStyle name="40% - Accent6 2 3 5 2" xfId="4172" xr:uid="{00000000-0005-0000-0000-000019070000}"/>
    <cellStyle name="40% - Accent6 2 3 5 2 2" xfId="8394" xr:uid="{00000000-0005-0000-0000-00001A070000}"/>
    <cellStyle name="40% - Accent6 2 3 5 2 2 2" xfId="16844" xr:uid="{B8ADAE57-A50C-419C-BF83-336E9A758DDD}"/>
    <cellStyle name="40% - Accent6 2 3 5 2 3" xfId="12626" xr:uid="{5A861D69-39DD-402F-BA19-DD9D851C7A00}"/>
    <cellStyle name="40% - Accent6 2 3 5 3" xfId="6249" xr:uid="{00000000-0005-0000-0000-00001B070000}"/>
    <cellStyle name="40% - Accent6 2 3 5 3 2" xfId="14699" xr:uid="{CBA39CAB-A6A1-46EC-BA62-919BDE0EC0D7}"/>
    <cellStyle name="40% - Accent6 2 3 5 4" xfId="10481" xr:uid="{13CE15D9-47DA-4724-8E33-A443927ED379}"/>
    <cellStyle name="40% - Accent6 2 3 6" xfId="2356" xr:uid="{00000000-0005-0000-0000-00001C070000}"/>
    <cellStyle name="40% - Accent6 2 3 6 2" xfId="6662" xr:uid="{00000000-0005-0000-0000-00001D070000}"/>
    <cellStyle name="40% - Accent6 2 3 6 2 2" xfId="15112" xr:uid="{10A63EFE-27FC-4AE7-BEE8-20AB87484C62}"/>
    <cellStyle name="40% - Accent6 2 3 6 3" xfId="10894" xr:uid="{63821D18-D3E1-4E3F-AEA2-1143DDF7C17F}"/>
    <cellStyle name="40% - Accent6 2 3 7" xfId="4596" xr:uid="{00000000-0005-0000-0000-00001E070000}"/>
    <cellStyle name="40% - Accent6 2 3 7 2" xfId="13046" xr:uid="{3F7C6A72-041C-49C8-81D5-86860F316891}"/>
    <cellStyle name="40% - Accent6 2 3 8" xfId="8828" xr:uid="{D9EA8820-16F9-4412-AAF9-E3C29F0779D5}"/>
    <cellStyle name="40% - Accent6 2 4" xfId="659" xr:uid="{00000000-0005-0000-0000-00001F070000}"/>
    <cellStyle name="40% - Accent6 2 4 2" xfId="2930" xr:uid="{00000000-0005-0000-0000-000020070000}"/>
    <cellStyle name="40% - Accent6 2 4 2 2" xfId="7152" xr:uid="{00000000-0005-0000-0000-000021070000}"/>
    <cellStyle name="40% - Accent6 2 4 2 2 2" xfId="15602" xr:uid="{1B6BA527-174E-40AF-8F2D-C955CB527047}"/>
    <cellStyle name="40% - Accent6 2 4 2 3" xfId="11384" xr:uid="{6B939469-701C-4AF1-965F-DAD3B8F98605}"/>
    <cellStyle name="40% - Accent6 2 4 3" xfId="5007" xr:uid="{00000000-0005-0000-0000-000022070000}"/>
    <cellStyle name="40% - Accent6 2 4 3 2" xfId="13457" xr:uid="{36639077-751B-48D5-AB17-92409FE6EE0A}"/>
    <cellStyle name="40% - Accent6 2 4 4" xfId="9239" xr:uid="{8406A1E9-7E18-4F59-9586-40C0C4E8AFB7}"/>
    <cellStyle name="40% - Accent6 2 5" xfId="1112" xr:uid="{00000000-0005-0000-0000-000023070000}"/>
    <cellStyle name="40% - Accent6 2 5 2" xfId="3343" xr:uid="{00000000-0005-0000-0000-000024070000}"/>
    <cellStyle name="40% - Accent6 2 5 2 2" xfId="7565" xr:uid="{00000000-0005-0000-0000-000025070000}"/>
    <cellStyle name="40% - Accent6 2 5 2 2 2" xfId="16015" xr:uid="{EB027277-E860-45F3-A00D-7D532881C50E}"/>
    <cellStyle name="40% - Accent6 2 5 2 3" xfId="11797" xr:uid="{BCEF293B-59AD-4443-899B-4BAAEA775CF0}"/>
    <cellStyle name="40% - Accent6 2 5 3" xfId="5420" xr:uid="{00000000-0005-0000-0000-000026070000}"/>
    <cellStyle name="40% - Accent6 2 5 3 2" xfId="13870" xr:uid="{89FB60A0-6D26-4464-AC2A-88ABFA9D11E8}"/>
    <cellStyle name="40% - Accent6 2 5 4" xfId="9652" xr:uid="{BC70CC21-30EC-452B-8B3F-731A996F9BA8}"/>
    <cellStyle name="40% - Accent6 2 6" xfId="1526" xr:uid="{00000000-0005-0000-0000-000027070000}"/>
    <cellStyle name="40% - Accent6 2 6 2" xfId="3756" xr:uid="{00000000-0005-0000-0000-000028070000}"/>
    <cellStyle name="40% - Accent6 2 6 2 2" xfId="7978" xr:uid="{00000000-0005-0000-0000-000029070000}"/>
    <cellStyle name="40% - Accent6 2 6 2 2 2" xfId="16428" xr:uid="{D0930DB8-2FC4-42CD-9745-C20FA24D7A03}"/>
    <cellStyle name="40% - Accent6 2 6 2 3" xfId="12210" xr:uid="{EA9D771A-1109-4ECD-9340-9A870D9B2BC4}"/>
    <cellStyle name="40% - Accent6 2 6 3" xfId="5833" xr:uid="{00000000-0005-0000-0000-00002A070000}"/>
    <cellStyle name="40% - Accent6 2 6 3 2" xfId="14283" xr:uid="{54F76469-72AA-4DDE-84A3-A80DDB0ED3CE}"/>
    <cellStyle name="40% - Accent6 2 6 4" xfId="10065" xr:uid="{EC60DF2D-75A4-4433-8493-AA18762BE922}"/>
    <cellStyle name="40% - Accent6 2 7" xfId="1940" xr:uid="{00000000-0005-0000-0000-00002B070000}"/>
    <cellStyle name="40% - Accent6 2 7 2" xfId="4169" xr:uid="{00000000-0005-0000-0000-00002C070000}"/>
    <cellStyle name="40% - Accent6 2 7 2 2" xfId="8391" xr:uid="{00000000-0005-0000-0000-00002D070000}"/>
    <cellStyle name="40% - Accent6 2 7 2 2 2" xfId="16841" xr:uid="{F7209D57-BE94-4AC4-8320-ECF6EB73B5BD}"/>
    <cellStyle name="40% - Accent6 2 7 2 3" xfId="12623" xr:uid="{E9F92F81-63E0-4BDD-BE7B-549F61B9B652}"/>
    <cellStyle name="40% - Accent6 2 7 3" xfId="6246" xr:uid="{00000000-0005-0000-0000-00002E070000}"/>
    <cellStyle name="40% - Accent6 2 7 3 2" xfId="14696" xr:uid="{B06BBA10-6A8C-484F-B9A4-8BCE7109E6F7}"/>
    <cellStyle name="40% - Accent6 2 7 4" xfId="10478" xr:uid="{8CC0BBC2-F4D3-4C52-BB9D-8B4DCE44EDF6}"/>
    <cellStyle name="40% - Accent6 2 8" xfId="2353" xr:uid="{00000000-0005-0000-0000-00002F070000}"/>
    <cellStyle name="40% - Accent6 2 8 2" xfId="6659" xr:uid="{00000000-0005-0000-0000-000030070000}"/>
    <cellStyle name="40% - Accent6 2 8 2 2" xfId="15109" xr:uid="{4E0FBB4F-7877-46BC-8A35-D771FC1A37D0}"/>
    <cellStyle name="40% - Accent6 2 8 3" xfId="10891" xr:uid="{FA25A02F-E7FD-460B-B8B0-86B2C12D8EF6}"/>
    <cellStyle name="40% - Accent6 2 9" xfId="4593" xr:uid="{00000000-0005-0000-0000-000031070000}"/>
    <cellStyle name="40% - Accent6 2 9 2" xfId="13043" xr:uid="{E32A1989-CD1B-4A7D-8190-C01F00AAB16A}"/>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2 2 2" xfId="15607" xr:uid="{E18557FB-4657-4BA3-B3BF-670D63AC46B1}"/>
    <cellStyle name="40% - Accent6 3 2 2 2 3" xfId="11389" xr:uid="{15F94F09-36FD-4413-8952-5DC1076D8979}"/>
    <cellStyle name="40% - Accent6 3 2 2 3" xfId="5012" xr:uid="{00000000-0005-0000-0000-000037070000}"/>
    <cellStyle name="40% - Accent6 3 2 2 3 2" xfId="13462" xr:uid="{64BE87A0-02E3-4C53-B46A-8E32FCAB7F0C}"/>
    <cellStyle name="40% - Accent6 3 2 2 4" xfId="9244" xr:uid="{9A5BCCAD-9282-4BA7-9E79-626DEC561041}"/>
    <cellStyle name="40% - Accent6 3 2 3" xfId="1117" xr:uid="{00000000-0005-0000-0000-000038070000}"/>
    <cellStyle name="40% - Accent6 3 2 3 2" xfId="3348" xr:uid="{00000000-0005-0000-0000-000039070000}"/>
    <cellStyle name="40% - Accent6 3 2 3 2 2" xfId="7570" xr:uid="{00000000-0005-0000-0000-00003A070000}"/>
    <cellStyle name="40% - Accent6 3 2 3 2 2 2" xfId="16020" xr:uid="{1BB17868-14F5-4590-8E0F-8B9514DD561E}"/>
    <cellStyle name="40% - Accent6 3 2 3 2 3" xfId="11802" xr:uid="{74FF59C1-A527-49B1-859B-60282277FA20}"/>
    <cellStyle name="40% - Accent6 3 2 3 3" xfId="5425" xr:uid="{00000000-0005-0000-0000-00003B070000}"/>
    <cellStyle name="40% - Accent6 3 2 3 3 2" xfId="13875" xr:uid="{26EA7E05-4BEB-416B-BA52-AB78A3258664}"/>
    <cellStyle name="40% - Accent6 3 2 3 4" xfId="9657" xr:uid="{75944F44-53BD-4DCE-A3A5-E1A1324805CD}"/>
    <cellStyle name="40% - Accent6 3 2 4" xfId="1531" xr:uid="{00000000-0005-0000-0000-00003C070000}"/>
    <cellStyle name="40% - Accent6 3 2 4 2" xfId="3761" xr:uid="{00000000-0005-0000-0000-00003D070000}"/>
    <cellStyle name="40% - Accent6 3 2 4 2 2" xfId="7983" xr:uid="{00000000-0005-0000-0000-00003E070000}"/>
    <cellStyle name="40% - Accent6 3 2 4 2 2 2" xfId="16433" xr:uid="{4EBF4E49-2566-41E9-8B1A-BC415BD50964}"/>
    <cellStyle name="40% - Accent6 3 2 4 2 3" xfId="12215" xr:uid="{9CB6ED09-0DDA-4403-B13C-A430E57484A4}"/>
    <cellStyle name="40% - Accent6 3 2 4 3" xfId="5838" xr:uid="{00000000-0005-0000-0000-00003F070000}"/>
    <cellStyle name="40% - Accent6 3 2 4 3 2" xfId="14288" xr:uid="{68B1FFA0-298E-4219-B57D-11B0C0B2F731}"/>
    <cellStyle name="40% - Accent6 3 2 4 4" xfId="10070" xr:uid="{9A4E63F6-ED0C-412A-9C7B-F47536D203E0}"/>
    <cellStyle name="40% - Accent6 3 2 5" xfId="1945" xr:uid="{00000000-0005-0000-0000-000040070000}"/>
    <cellStyle name="40% - Accent6 3 2 5 2" xfId="4174" xr:uid="{00000000-0005-0000-0000-000041070000}"/>
    <cellStyle name="40% - Accent6 3 2 5 2 2" xfId="8396" xr:uid="{00000000-0005-0000-0000-000042070000}"/>
    <cellStyle name="40% - Accent6 3 2 5 2 2 2" xfId="16846" xr:uid="{A5EADF2C-B209-41BF-A989-09D9253B53C1}"/>
    <cellStyle name="40% - Accent6 3 2 5 2 3" xfId="12628" xr:uid="{B3933385-2E65-4348-96B9-BEA422274493}"/>
    <cellStyle name="40% - Accent6 3 2 5 3" xfId="6251" xr:uid="{00000000-0005-0000-0000-000043070000}"/>
    <cellStyle name="40% - Accent6 3 2 5 3 2" xfId="14701" xr:uid="{114F82E6-321B-48C8-9CE4-50FB22A9DB4B}"/>
    <cellStyle name="40% - Accent6 3 2 5 4" xfId="10483" xr:uid="{394DCFF8-E457-4A16-8E35-BBE5C2695A68}"/>
    <cellStyle name="40% - Accent6 3 2 6" xfId="2358" xr:uid="{00000000-0005-0000-0000-000044070000}"/>
    <cellStyle name="40% - Accent6 3 2 6 2" xfId="6664" xr:uid="{00000000-0005-0000-0000-000045070000}"/>
    <cellStyle name="40% - Accent6 3 2 6 2 2" xfId="15114" xr:uid="{328BE264-984B-4388-856C-FB281212927A}"/>
    <cellStyle name="40% - Accent6 3 2 6 3" xfId="10896" xr:uid="{62C69D6B-C9A2-4E9A-B517-AB55080CB275}"/>
    <cellStyle name="40% - Accent6 3 2 7" xfId="4598" xr:uid="{00000000-0005-0000-0000-000046070000}"/>
    <cellStyle name="40% - Accent6 3 2 7 2" xfId="13048" xr:uid="{3812C875-A634-4A16-A915-F6080C5E046A}"/>
    <cellStyle name="40% - Accent6 3 2 8" xfId="8830" xr:uid="{2E9A1CFE-4701-41E6-A1D2-299E61356F65}"/>
    <cellStyle name="40% - Accent6 3 3" xfId="663" xr:uid="{00000000-0005-0000-0000-000047070000}"/>
    <cellStyle name="40% - Accent6 3 3 2" xfId="2934" xr:uid="{00000000-0005-0000-0000-000048070000}"/>
    <cellStyle name="40% - Accent6 3 3 2 2" xfId="7156" xr:uid="{00000000-0005-0000-0000-000049070000}"/>
    <cellStyle name="40% - Accent6 3 3 2 2 2" xfId="15606" xr:uid="{3D80171A-80B5-46A3-8DBB-090EE44FB8FF}"/>
    <cellStyle name="40% - Accent6 3 3 2 3" xfId="11388" xr:uid="{0938B66E-4084-412A-89ED-171C1D9F6C2B}"/>
    <cellStyle name="40% - Accent6 3 3 3" xfId="5011" xr:uid="{00000000-0005-0000-0000-00004A070000}"/>
    <cellStyle name="40% - Accent6 3 3 3 2" xfId="13461" xr:uid="{49C506A4-5369-45F8-A7C8-7DDF0B0ED69F}"/>
    <cellStyle name="40% - Accent6 3 3 4" xfId="9243" xr:uid="{B0AAC304-B358-4EBB-950E-763EC23615D0}"/>
    <cellStyle name="40% - Accent6 3 4" xfId="1116" xr:uid="{00000000-0005-0000-0000-00004B070000}"/>
    <cellStyle name="40% - Accent6 3 4 2" xfId="3347" xr:uid="{00000000-0005-0000-0000-00004C070000}"/>
    <cellStyle name="40% - Accent6 3 4 2 2" xfId="7569" xr:uid="{00000000-0005-0000-0000-00004D070000}"/>
    <cellStyle name="40% - Accent6 3 4 2 2 2" xfId="16019" xr:uid="{066420F2-41CD-4C3E-B3DC-462FA38ED8E7}"/>
    <cellStyle name="40% - Accent6 3 4 2 3" xfId="11801" xr:uid="{29E39BE4-C680-4B41-82DB-AA78180FE011}"/>
    <cellStyle name="40% - Accent6 3 4 3" xfId="5424" xr:uid="{00000000-0005-0000-0000-00004E070000}"/>
    <cellStyle name="40% - Accent6 3 4 3 2" xfId="13874" xr:uid="{6F71C76E-99B8-4B86-8594-8DDAA7CBA9DD}"/>
    <cellStyle name="40% - Accent6 3 4 4" xfId="9656" xr:uid="{45245AC7-20F0-4345-BB8D-E7F237F9AA1E}"/>
    <cellStyle name="40% - Accent6 3 5" xfId="1530" xr:uid="{00000000-0005-0000-0000-00004F070000}"/>
    <cellStyle name="40% - Accent6 3 5 2" xfId="3760" xr:uid="{00000000-0005-0000-0000-000050070000}"/>
    <cellStyle name="40% - Accent6 3 5 2 2" xfId="7982" xr:uid="{00000000-0005-0000-0000-000051070000}"/>
    <cellStyle name="40% - Accent6 3 5 2 2 2" xfId="16432" xr:uid="{736ECDCC-2DE6-47D2-B2F6-A3B12502C060}"/>
    <cellStyle name="40% - Accent6 3 5 2 3" xfId="12214" xr:uid="{2ED719D7-3CD5-4BA9-9D70-F882A169ABD1}"/>
    <cellStyle name="40% - Accent6 3 5 3" xfId="5837" xr:uid="{00000000-0005-0000-0000-000052070000}"/>
    <cellStyle name="40% - Accent6 3 5 3 2" xfId="14287" xr:uid="{3130D6DF-F1EC-4460-834B-2905935BCF99}"/>
    <cellStyle name="40% - Accent6 3 5 4" xfId="10069" xr:uid="{5A9890BC-11E9-4DD9-A4F5-C4A8C9281166}"/>
    <cellStyle name="40% - Accent6 3 6" xfId="1944" xr:uid="{00000000-0005-0000-0000-000053070000}"/>
    <cellStyle name="40% - Accent6 3 6 2" xfId="4173" xr:uid="{00000000-0005-0000-0000-000054070000}"/>
    <cellStyle name="40% - Accent6 3 6 2 2" xfId="8395" xr:uid="{00000000-0005-0000-0000-000055070000}"/>
    <cellStyle name="40% - Accent6 3 6 2 2 2" xfId="16845" xr:uid="{15260245-25B1-4BAC-B2B6-70FDD3FA8F22}"/>
    <cellStyle name="40% - Accent6 3 6 2 3" xfId="12627" xr:uid="{A690A4C9-DB5B-421B-8849-4E869576120A}"/>
    <cellStyle name="40% - Accent6 3 6 3" xfId="6250" xr:uid="{00000000-0005-0000-0000-000056070000}"/>
    <cellStyle name="40% - Accent6 3 6 3 2" xfId="14700" xr:uid="{CDE0B10F-F73A-48D8-9C49-8AD6916465D2}"/>
    <cellStyle name="40% - Accent6 3 6 4" xfId="10482" xr:uid="{957079AF-80A6-4CC6-B481-D0129C67D37B}"/>
    <cellStyle name="40% - Accent6 3 7" xfId="2357" xr:uid="{00000000-0005-0000-0000-000057070000}"/>
    <cellStyle name="40% - Accent6 3 7 2" xfId="6663" xr:uid="{00000000-0005-0000-0000-000058070000}"/>
    <cellStyle name="40% - Accent6 3 7 2 2" xfId="15113" xr:uid="{6D2D952B-B298-439E-BB19-B0D201AE2D0E}"/>
    <cellStyle name="40% - Accent6 3 7 3" xfId="10895" xr:uid="{FF7AD8E0-6844-4473-84E8-0499C0A2C6AB}"/>
    <cellStyle name="40% - Accent6 3 8" xfId="4597" xr:uid="{00000000-0005-0000-0000-000059070000}"/>
    <cellStyle name="40% - Accent6 3 8 2" xfId="13047" xr:uid="{DC2362AD-5927-4A00-99CD-183D14779C4C}"/>
    <cellStyle name="40% - Accent6 3 9" xfId="8829" xr:uid="{E664B3EB-F65B-460D-B1E0-BDA6123F5451}"/>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2 2 2" xfId="15608" xr:uid="{BCFD17FB-0F3B-409E-B1AB-86107F26D8CF}"/>
    <cellStyle name="40% - Accent6 4 2 2 3" xfId="11390" xr:uid="{2AD181FC-8EFE-4D78-9F49-476E1E5BDD6D}"/>
    <cellStyle name="40% - Accent6 4 2 3" xfId="5013" xr:uid="{00000000-0005-0000-0000-00005E070000}"/>
    <cellStyle name="40% - Accent6 4 2 3 2" xfId="13463" xr:uid="{F2A63B50-C7A0-403E-A3E4-E1E23307018E}"/>
    <cellStyle name="40% - Accent6 4 2 4" xfId="9245" xr:uid="{2D7BC25C-DD91-47B1-9F39-E0081E231098}"/>
    <cellStyle name="40% - Accent6 4 3" xfId="1118" xr:uid="{00000000-0005-0000-0000-00005F070000}"/>
    <cellStyle name="40% - Accent6 4 3 2" xfId="3349" xr:uid="{00000000-0005-0000-0000-000060070000}"/>
    <cellStyle name="40% - Accent6 4 3 2 2" xfId="7571" xr:uid="{00000000-0005-0000-0000-000061070000}"/>
    <cellStyle name="40% - Accent6 4 3 2 2 2" xfId="16021" xr:uid="{4A8F8A39-0BB8-4EA2-ABED-E83F8E98620C}"/>
    <cellStyle name="40% - Accent6 4 3 2 3" xfId="11803" xr:uid="{1D67BC67-E4A3-4981-BFA1-6111D5DA1F64}"/>
    <cellStyle name="40% - Accent6 4 3 3" xfId="5426" xr:uid="{00000000-0005-0000-0000-000062070000}"/>
    <cellStyle name="40% - Accent6 4 3 3 2" xfId="13876" xr:uid="{13CC446D-C14D-4DB1-94D2-4AA17722E645}"/>
    <cellStyle name="40% - Accent6 4 3 4" xfId="9658" xr:uid="{E8DD452A-2862-49FA-BA87-F6D7ABA4B72B}"/>
    <cellStyle name="40% - Accent6 4 4" xfId="1532" xr:uid="{00000000-0005-0000-0000-000063070000}"/>
    <cellStyle name="40% - Accent6 4 4 2" xfId="3762" xr:uid="{00000000-0005-0000-0000-000064070000}"/>
    <cellStyle name="40% - Accent6 4 4 2 2" xfId="7984" xr:uid="{00000000-0005-0000-0000-000065070000}"/>
    <cellStyle name="40% - Accent6 4 4 2 2 2" xfId="16434" xr:uid="{BD1EE3CB-A3E7-4EE5-B5EF-C93F49625091}"/>
    <cellStyle name="40% - Accent6 4 4 2 3" xfId="12216" xr:uid="{9C0DA2C1-DFE5-4D56-AD54-F855A75760FF}"/>
    <cellStyle name="40% - Accent6 4 4 3" xfId="5839" xr:uid="{00000000-0005-0000-0000-000066070000}"/>
    <cellStyle name="40% - Accent6 4 4 3 2" xfId="14289" xr:uid="{13BF8B41-97C8-4C8B-8CF5-5BAA3621E904}"/>
    <cellStyle name="40% - Accent6 4 4 4" xfId="10071" xr:uid="{59A9A2EB-A427-4FB8-A475-A1784B60E9E4}"/>
    <cellStyle name="40% - Accent6 4 5" xfId="1946" xr:uid="{00000000-0005-0000-0000-000067070000}"/>
    <cellStyle name="40% - Accent6 4 5 2" xfId="4175" xr:uid="{00000000-0005-0000-0000-000068070000}"/>
    <cellStyle name="40% - Accent6 4 5 2 2" xfId="8397" xr:uid="{00000000-0005-0000-0000-000069070000}"/>
    <cellStyle name="40% - Accent6 4 5 2 2 2" xfId="16847" xr:uid="{60033A3E-81B7-47E7-96E8-063F28710572}"/>
    <cellStyle name="40% - Accent6 4 5 2 3" xfId="12629" xr:uid="{55BA9AEB-42DA-4253-A81B-9114A5D2F22A}"/>
    <cellStyle name="40% - Accent6 4 5 3" xfId="6252" xr:uid="{00000000-0005-0000-0000-00006A070000}"/>
    <cellStyle name="40% - Accent6 4 5 3 2" xfId="14702" xr:uid="{D6B6A935-567F-49AA-9DEF-E463E78564A2}"/>
    <cellStyle name="40% - Accent6 4 5 4" xfId="10484" xr:uid="{0E5CF433-07F8-47AD-868D-220AB791036A}"/>
    <cellStyle name="40% - Accent6 4 6" xfId="2359" xr:uid="{00000000-0005-0000-0000-00006B070000}"/>
    <cellStyle name="40% - Accent6 4 6 2" xfId="6665" xr:uid="{00000000-0005-0000-0000-00006C070000}"/>
    <cellStyle name="40% - Accent6 4 6 2 2" xfId="15115" xr:uid="{749B9665-82FE-4313-8F45-A5713A25F3B9}"/>
    <cellStyle name="40% - Accent6 4 6 3" xfId="10897" xr:uid="{A095F1B5-3092-4E3E-85F2-9721AFF56BCF}"/>
    <cellStyle name="40% - Accent6 4 7" xfId="4599" xr:uid="{00000000-0005-0000-0000-00006D070000}"/>
    <cellStyle name="40% - Accent6 4 7 2" xfId="13049" xr:uid="{48EFE7FC-4C3F-4C4E-9DEC-9D5E3A57D25A}"/>
    <cellStyle name="40% - Accent6 4 8" xfId="8831" xr:uid="{556A04AC-000F-4E91-BE91-4F614B1E171E}"/>
    <cellStyle name="40% - Accent6 5" xfId="658" xr:uid="{00000000-0005-0000-0000-00006E070000}"/>
    <cellStyle name="40% - Accent6 5 2" xfId="2929" xr:uid="{00000000-0005-0000-0000-00006F070000}"/>
    <cellStyle name="40% - Accent6 5 2 2" xfId="7151" xr:uid="{00000000-0005-0000-0000-000070070000}"/>
    <cellStyle name="40% - Accent6 5 2 2 2" xfId="15601" xr:uid="{E13F5E2B-71B4-43C0-B97D-B19108273F72}"/>
    <cellStyle name="40% - Accent6 5 2 3" xfId="11383" xr:uid="{AC3B149C-B73A-4D4A-8F8D-BE11DCF0A7F3}"/>
    <cellStyle name="40% - Accent6 5 3" xfId="5006" xr:uid="{00000000-0005-0000-0000-000071070000}"/>
    <cellStyle name="40% - Accent6 5 3 2" xfId="13456" xr:uid="{B118C6A5-7005-411C-B5E7-77702AAC8AD1}"/>
    <cellStyle name="40% - Accent6 5 4" xfId="9238" xr:uid="{47FCE485-70D4-4B27-A95C-9F4551963CDA}"/>
    <cellStyle name="40% - Accent6 6" xfId="1111" xr:uid="{00000000-0005-0000-0000-000072070000}"/>
    <cellStyle name="40% - Accent6 6 2" xfId="3342" xr:uid="{00000000-0005-0000-0000-000073070000}"/>
    <cellStyle name="40% - Accent6 6 2 2" xfId="7564" xr:uid="{00000000-0005-0000-0000-000074070000}"/>
    <cellStyle name="40% - Accent6 6 2 2 2" xfId="16014" xr:uid="{E8584EF1-CC72-4137-A887-2DF1E7707DA9}"/>
    <cellStyle name="40% - Accent6 6 2 3" xfId="11796" xr:uid="{011CD723-FF62-45C9-973E-1226FD25E44A}"/>
    <cellStyle name="40% - Accent6 6 3" xfId="5419" xr:uid="{00000000-0005-0000-0000-000075070000}"/>
    <cellStyle name="40% - Accent6 6 3 2" xfId="13869" xr:uid="{07ECF8ED-E051-4D2B-86B5-D0BB8D2EFD9A}"/>
    <cellStyle name="40% - Accent6 6 4" xfId="9651" xr:uid="{6856FF52-8476-41E7-B9BA-4AA39B9257F5}"/>
    <cellStyle name="40% - Accent6 7" xfId="1525" xr:uid="{00000000-0005-0000-0000-000076070000}"/>
    <cellStyle name="40% - Accent6 7 2" xfId="3755" xr:uid="{00000000-0005-0000-0000-000077070000}"/>
    <cellStyle name="40% - Accent6 7 2 2" xfId="7977" xr:uid="{00000000-0005-0000-0000-000078070000}"/>
    <cellStyle name="40% - Accent6 7 2 2 2" xfId="16427" xr:uid="{32C6DB0B-AACD-4EAA-A0AA-FD4590A6C86B}"/>
    <cellStyle name="40% - Accent6 7 2 3" xfId="12209" xr:uid="{9C7BB923-DD11-41B3-A88A-177C06675452}"/>
    <cellStyle name="40% - Accent6 7 3" xfId="5832" xr:uid="{00000000-0005-0000-0000-000079070000}"/>
    <cellStyle name="40% - Accent6 7 3 2" xfId="14282" xr:uid="{BDCED491-EB5D-44DF-994E-D24EB4FC1057}"/>
    <cellStyle name="40% - Accent6 7 4" xfId="10064" xr:uid="{F21C4887-2F6E-4C4B-AB73-0C0E53253DB7}"/>
    <cellStyle name="40% - Accent6 8" xfId="1939" xr:uid="{00000000-0005-0000-0000-00007A070000}"/>
    <cellStyle name="40% - Accent6 8 2" xfId="4168" xr:uid="{00000000-0005-0000-0000-00007B070000}"/>
    <cellStyle name="40% - Accent6 8 2 2" xfId="8390" xr:uid="{00000000-0005-0000-0000-00007C070000}"/>
    <cellStyle name="40% - Accent6 8 2 2 2" xfId="16840" xr:uid="{BB761235-726F-44EC-AE79-E7D4EA85D002}"/>
    <cellStyle name="40% - Accent6 8 2 3" xfId="12622" xr:uid="{A917C237-9E53-4EE8-ABA7-D5235FAC85D3}"/>
    <cellStyle name="40% - Accent6 8 3" xfId="6245" xr:uid="{00000000-0005-0000-0000-00007D070000}"/>
    <cellStyle name="40% - Accent6 8 3 2" xfId="14695" xr:uid="{F2D4E28B-A6D6-412E-BEBE-7E73B373F946}"/>
    <cellStyle name="40% - Accent6 8 4" xfId="10477" xr:uid="{4E19CF5E-89FF-4891-A2D7-6634A0E31D43}"/>
    <cellStyle name="40% - Accent6 9" xfId="2352" xr:uid="{00000000-0005-0000-0000-00007E070000}"/>
    <cellStyle name="40% - Accent6 9 2" xfId="6658" xr:uid="{00000000-0005-0000-0000-00007F070000}"/>
    <cellStyle name="40% - Accent6 9 2 2" xfId="15108" xr:uid="{D3870A26-5D51-4924-879A-C8B8FABFB67C}"/>
    <cellStyle name="40% - Accent6 9 3" xfId="10890" xr:uid="{0492BBF0-C454-43C3-B725-4AB3775F87B8}"/>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0 2 2" xfId="15433" xr:uid="{EDCF004D-3CB0-475D-9597-874FA8888602}"/>
    <cellStyle name="Comma 4 2 2 2 10 3" xfId="11215" xr:uid="{2D433914-B828-40EA-B7EA-5B0F8CA32258}"/>
    <cellStyle name="Comma 4 2 2 2 11" xfId="4600" xr:uid="{00000000-0005-0000-0000-0000A3070000}"/>
    <cellStyle name="Comma 4 2 2 2 11 2" xfId="13050" xr:uid="{638B4871-4CA4-497D-829F-4380BE732DC0}"/>
    <cellStyle name="Comma 4 2 2 2 12" xfId="8832" xr:uid="{4C36CB7D-5E84-4273-A340-A6A26F02923C}"/>
    <cellStyle name="Comma 4 2 2 2 2" xfId="129" xr:uid="{00000000-0005-0000-0000-0000A4070000}"/>
    <cellStyle name="Comma 4 2 2 2 2 10" xfId="4601" xr:uid="{00000000-0005-0000-0000-0000A5070000}"/>
    <cellStyle name="Comma 4 2 2 2 2 10 2" xfId="13051" xr:uid="{AD4BADE2-8C27-47C1-B317-2D6BA1AEEF8E}"/>
    <cellStyle name="Comma 4 2 2 2 2 11" xfId="8833" xr:uid="{9493A091-7A92-4770-9B09-02AD7AFF3303}"/>
    <cellStyle name="Comma 4 2 2 2 2 2" xfId="130" xr:uid="{00000000-0005-0000-0000-0000A6070000}"/>
    <cellStyle name="Comma 4 2 2 2 2 2 10" xfId="8834" xr:uid="{260EB111-C02E-489B-B2A2-169E467B5CE8}"/>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2 2 2" xfId="15611" xr:uid="{ED10AA27-D4C4-44A0-8E87-EE2F229A8E37}"/>
    <cellStyle name="Comma 4 2 2 2 2 2 2 2 3" xfId="11393" xr:uid="{E2F08C6F-1FE2-48A9-AB83-9E73BA3918E3}"/>
    <cellStyle name="Comma 4 2 2 2 2 2 2 3" xfId="5016" xr:uid="{00000000-0005-0000-0000-0000AA070000}"/>
    <cellStyle name="Comma 4 2 2 2 2 2 2 3 2" xfId="13466" xr:uid="{DEEB86B8-A5C9-4311-B740-67EC1C0796FC}"/>
    <cellStyle name="Comma 4 2 2 2 2 2 2 4" xfId="9248" xr:uid="{8AE41BF6-7472-466B-AD78-2156F401D08D}"/>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2 2 2" xfId="16024" xr:uid="{3BE55C39-5BE6-4931-AA61-BCF6BC52623D}"/>
    <cellStyle name="Comma 4 2 2 2 2 2 3 2 3" xfId="11806" xr:uid="{CB94E8AD-BF32-44DE-B95C-EB3DBDCD2282}"/>
    <cellStyle name="Comma 4 2 2 2 2 2 3 3" xfId="5429" xr:uid="{00000000-0005-0000-0000-0000AE070000}"/>
    <cellStyle name="Comma 4 2 2 2 2 2 3 3 2" xfId="13879" xr:uid="{1BD3500D-791F-43AE-AA5E-0865E13F3B81}"/>
    <cellStyle name="Comma 4 2 2 2 2 2 3 4" xfId="9661" xr:uid="{05AA7D9E-A907-426F-9895-4FE4BD085ABF}"/>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2 2 2" xfId="16437" xr:uid="{DBF95A64-54F9-42AD-95CC-7CAC011C06CC}"/>
    <cellStyle name="Comma 4 2 2 2 2 2 4 2 3" xfId="12219" xr:uid="{323FB840-D36A-4002-8C5A-C6B9E574412C}"/>
    <cellStyle name="Comma 4 2 2 2 2 2 4 3" xfId="5842" xr:uid="{00000000-0005-0000-0000-0000B2070000}"/>
    <cellStyle name="Comma 4 2 2 2 2 2 4 3 2" xfId="14292" xr:uid="{D9792844-A53D-46B1-A436-CD8CF89D696D}"/>
    <cellStyle name="Comma 4 2 2 2 2 2 4 4" xfId="10074" xr:uid="{94B2ED28-5CC2-4571-A304-1DBBC37112DC}"/>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2 2 2" xfId="16850" xr:uid="{155108CA-0D14-4190-9DB4-F2091BA65A3B}"/>
    <cellStyle name="Comma 4 2 2 2 2 2 5 2 3" xfId="12632" xr:uid="{DF1E219C-C710-40A9-B164-D8793D532DC2}"/>
    <cellStyle name="Comma 4 2 2 2 2 2 5 3" xfId="6255" xr:uid="{00000000-0005-0000-0000-0000B6070000}"/>
    <cellStyle name="Comma 4 2 2 2 2 2 5 3 2" xfId="14705" xr:uid="{57C10564-0234-4DFD-8F11-05489C9CDCDB}"/>
    <cellStyle name="Comma 4 2 2 2 2 2 5 4" xfId="10487" xr:uid="{14407018-338D-4B9C-99A6-8CD2F74436ED}"/>
    <cellStyle name="Comma 4 2 2 2 2 2 6" xfId="2384" xr:uid="{00000000-0005-0000-0000-0000B7070000}"/>
    <cellStyle name="Comma 4 2 2 2 2 2 6 2" xfId="6668" xr:uid="{00000000-0005-0000-0000-0000B8070000}"/>
    <cellStyle name="Comma 4 2 2 2 2 2 6 2 2" xfId="15118" xr:uid="{3F6943E6-48F7-4FA1-98AA-89D1E8E13BF9}"/>
    <cellStyle name="Comma 4 2 2 2 2 2 6 3" xfId="10900" xr:uid="{47508F22-794E-4C0A-84A5-1042DD474D76}"/>
    <cellStyle name="Comma 4 2 2 2 2 2 7" xfId="2379" xr:uid="{00000000-0005-0000-0000-0000B9070000}"/>
    <cellStyle name="Comma 4 2 2 2 2 2 8" xfId="2762" xr:uid="{00000000-0005-0000-0000-0000BA070000}"/>
    <cellStyle name="Comma 4 2 2 2 2 2 8 2" xfId="6985" xr:uid="{00000000-0005-0000-0000-0000BB070000}"/>
    <cellStyle name="Comma 4 2 2 2 2 2 8 2 2" xfId="15435" xr:uid="{19FA0E85-4AF5-41AB-9A13-58EDC91BDCAA}"/>
    <cellStyle name="Comma 4 2 2 2 2 2 8 3" xfId="11217" xr:uid="{70D8478B-BFC3-4C1F-82AE-1DAAF3E84B57}"/>
    <cellStyle name="Comma 4 2 2 2 2 2 9" xfId="4602" xr:uid="{00000000-0005-0000-0000-0000BC070000}"/>
    <cellStyle name="Comma 4 2 2 2 2 2 9 2" xfId="13052" xr:uid="{A7F2778E-C2B9-4E26-8E6E-9F60FF665765}"/>
    <cellStyle name="Comma 4 2 2 2 2 3" xfId="667" xr:uid="{00000000-0005-0000-0000-0000BD070000}"/>
    <cellStyle name="Comma 4 2 2 2 2 3 2" xfId="2938" xr:uid="{00000000-0005-0000-0000-0000BE070000}"/>
    <cellStyle name="Comma 4 2 2 2 2 3 2 2" xfId="7160" xr:uid="{00000000-0005-0000-0000-0000BF070000}"/>
    <cellStyle name="Comma 4 2 2 2 2 3 2 2 2" xfId="15610" xr:uid="{8F5A544C-031E-454D-AD70-7EA29882C452}"/>
    <cellStyle name="Comma 4 2 2 2 2 3 2 3" xfId="11392" xr:uid="{5C500A10-580F-4E48-BB2A-DE2E5D2537F2}"/>
    <cellStyle name="Comma 4 2 2 2 2 3 3" xfId="5015" xr:uid="{00000000-0005-0000-0000-0000C0070000}"/>
    <cellStyle name="Comma 4 2 2 2 2 3 3 2" xfId="13465" xr:uid="{059F6EAA-C14F-46DA-8CBE-3636F0E30396}"/>
    <cellStyle name="Comma 4 2 2 2 2 3 4" xfId="9247" xr:uid="{C5F0F611-DB19-4905-B962-1D311770D864}"/>
    <cellStyle name="Comma 4 2 2 2 2 4" xfId="1120" xr:uid="{00000000-0005-0000-0000-0000C1070000}"/>
    <cellStyle name="Comma 4 2 2 2 2 4 2" xfId="3351" xr:uid="{00000000-0005-0000-0000-0000C2070000}"/>
    <cellStyle name="Comma 4 2 2 2 2 4 2 2" xfId="7573" xr:uid="{00000000-0005-0000-0000-0000C3070000}"/>
    <cellStyle name="Comma 4 2 2 2 2 4 2 2 2" xfId="16023" xr:uid="{F098ADFA-AE25-48B1-9FD7-30E3B7AC7F23}"/>
    <cellStyle name="Comma 4 2 2 2 2 4 2 3" xfId="11805" xr:uid="{D102635A-4D50-4C01-BF29-DBC691159A4E}"/>
    <cellStyle name="Comma 4 2 2 2 2 4 3" xfId="5428" xr:uid="{00000000-0005-0000-0000-0000C4070000}"/>
    <cellStyle name="Comma 4 2 2 2 2 4 3 2" xfId="13878" xr:uid="{D5BEEE92-B830-4445-86E4-9B6A53D06155}"/>
    <cellStyle name="Comma 4 2 2 2 2 4 4" xfId="9660" xr:uid="{F509EA7F-6D53-4CBD-9CD6-55A6BBA54936}"/>
    <cellStyle name="Comma 4 2 2 2 2 5" xfId="1534" xr:uid="{00000000-0005-0000-0000-0000C5070000}"/>
    <cellStyle name="Comma 4 2 2 2 2 5 2" xfId="3764" xr:uid="{00000000-0005-0000-0000-0000C6070000}"/>
    <cellStyle name="Comma 4 2 2 2 2 5 2 2" xfId="7986" xr:uid="{00000000-0005-0000-0000-0000C7070000}"/>
    <cellStyle name="Comma 4 2 2 2 2 5 2 2 2" xfId="16436" xr:uid="{C7628730-CF5D-4A43-8EAA-C2334DEE5475}"/>
    <cellStyle name="Comma 4 2 2 2 2 5 2 3" xfId="12218" xr:uid="{AF322E19-F22A-4771-9F1C-ABEF5BE0EC80}"/>
    <cellStyle name="Comma 4 2 2 2 2 5 3" xfId="5841" xr:uid="{00000000-0005-0000-0000-0000C8070000}"/>
    <cellStyle name="Comma 4 2 2 2 2 5 3 2" xfId="14291" xr:uid="{B294E1C8-62BC-4A3A-B10F-624588D8BCDC}"/>
    <cellStyle name="Comma 4 2 2 2 2 5 4" xfId="10073" xr:uid="{88028A4A-664A-422E-AE74-D0B73E90C0B5}"/>
    <cellStyle name="Comma 4 2 2 2 2 6" xfId="1948" xr:uid="{00000000-0005-0000-0000-0000C9070000}"/>
    <cellStyle name="Comma 4 2 2 2 2 6 2" xfId="4177" xr:uid="{00000000-0005-0000-0000-0000CA070000}"/>
    <cellStyle name="Comma 4 2 2 2 2 6 2 2" xfId="8399" xr:uid="{00000000-0005-0000-0000-0000CB070000}"/>
    <cellStyle name="Comma 4 2 2 2 2 6 2 2 2" xfId="16849" xr:uid="{1F8C951E-0A02-459D-959A-B6F5693163D8}"/>
    <cellStyle name="Comma 4 2 2 2 2 6 2 3" xfId="12631" xr:uid="{DD9F95AC-AA9F-4757-9EDC-261C48FC9827}"/>
    <cellStyle name="Comma 4 2 2 2 2 6 3" xfId="6254" xr:uid="{00000000-0005-0000-0000-0000CC070000}"/>
    <cellStyle name="Comma 4 2 2 2 2 6 3 2" xfId="14704" xr:uid="{5834551E-DC83-40E7-8607-966FB41E2E61}"/>
    <cellStyle name="Comma 4 2 2 2 2 6 4" xfId="10486" xr:uid="{0BF0A66C-3F99-48F3-BB25-FBA8405863F1}"/>
    <cellStyle name="Comma 4 2 2 2 2 7" xfId="2383" xr:uid="{00000000-0005-0000-0000-0000CD070000}"/>
    <cellStyle name="Comma 4 2 2 2 2 7 2" xfId="6667" xr:uid="{00000000-0005-0000-0000-0000CE070000}"/>
    <cellStyle name="Comma 4 2 2 2 2 7 2 2" xfId="15117" xr:uid="{3122FAA4-3ACD-4BA6-99E9-BCB83FD4952B}"/>
    <cellStyle name="Comma 4 2 2 2 2 7 3" xfId="10899" xr:uid="{05CEC11E-6E72-4FF3-965D-B95BA7947A32}"/>
    <cellStyle name="Comma 4 2 2 2 2 8" xfId="2380" xr:uid="{00000000-0005-0000-0000-0000CF070000}"/>
    <cellStyle name="Comma 4 2 2 2 2 9" xfId="2761" xr:uid="{00000000-0005-0000-0000-0000D0070000}"/>
    <cellStyle name="Comma 4 2 2 2 2 9 2" xfId="6984" xr:uid="{00000000-0005-0000-0000-0000D1070000}"/>
    <cellStyle name="Comma 4 2 2 2 2 9 2 2" xfId="15434" xr:uid="{10D66191-0E1A-4181-BBC5-2B14B6AE8A9C}"/>
    <cellStyle name="Comma 4 2 2 2 2 9 3" xfId="11216" xr:uid="{87694EBC-29B2-4A24-ABC6-C1D86B6B325D}"/>
    <cellStyle name="Comma 4 2 2 2 3" xfId="131" xr:uid="{00000000-0005-0000-0000-0000D2070000}"/>
    <cellStyle name="Comma 4 2 2 2 3 10" xfId="8835" xr:uid="{24A4A34D-F195-49BB-8760-FC88444BF133}"/>
    <cellStyle name="Comma 4 2 2 2 3 2" xfId="669" xr:uid="{00000000-0005-0000-0000-0000D3070000}"/>
    <cellStyle name="Comma 4 2 2 2 3 2 2" xfId="2940" xr:uid="{00000000-0005-0000-0000-0000D4070000}"/>
    <cellStyle name="Comma 4 2 2 2 3 2 2 2" xfId="7162" xr:uid="{00000000-0005-0000-0000-0000D5070000}"/>
    <cellStyle name="Comma 4 2 2 2 3 2 2 2 2" xfId="15612" xr:uid="{CAB4633C-D20F-4DD5-8B3F-EC9C331E7489}"/>
    <cellStyle name="Comma 4 2 2 2 3 2 2 3" xfId="11394" xr:uid="{A5BF557F-581B-4184-9657-0575C2A23A34}"/>
    <cellStyle name="Comma 4 2 2 2 3 2 3" xfId="5017" xr:uid="{00000000-0005-0000-0000-0000D6070000}"/>
    <cellStyle name="Comma 4 2 2 2 3 2 3 2" xfId="13467" xr:uid="{A848CF29-FFED-4DBC-A5B1-27D44CB72C51}"/>
    <cellStyle name="Comma 4 2 2 2 3 2 4" xfId="9249" xr:uid="{00F8BA44-5AA8-43A2-9CA1-4F65EC1A5D63}"/>
    <cellStyle name="Comma 4 2 2 2 3 3" xfId="1122" xr:uid="{00000000-0005-0000-0000-0000D7070000}"/>
    <cellStyle name="Comma 4 2 2 2 3 3 2" xfId="3353" xr:uid="{00000000-0005-0000-0000-0000D8070000}"/>
    <cellStyle name="Comma 4 2 2 2 3 3 2 2" xfId="7575" xr:uid="{00000000-0005-0000-0000-0000D9070000}"/>
    <cellStyle name="Comma 4 2 2 2 3 3 2 2 2" xfId="16025" xr:uid="{A17759C3-A0B3-49DA-8DE0-D8051FB9B9AB}"/>
    <cellStyle name="Comma 4 2 2 2 3 3 2 3" xfId="11807" xr:uid="{D5105125-5A92-439B-83FE-30AB7D7EC0BE}"/>
    <cellStyle name="Comma 4 2 2 2 3 3 3" xfId="5430" xr:uid="{00000000-0005-0000-0000-0000DA070000}"/>
    <cellStyle name="Comma 4 2 2 2 3 3 3 2" xfId="13880" xr:uid="{E13D5686-1A75-4B59-B58E-415C10536D23}"/>
    <cellStyle name="Comma 4 2 2 2 3 3 4" xfId="9662" xr:uid="{080A4504-E1C7-4F07-B7EA-59D7C3500FB5}"/>
    <cellStyle name="Comma 4 2 2 2 3 4" xfId="1536" xr:uid="{00000000-0005-0000-0000-0000DB070000}"/>
    <cellStyle name="Comma 4 2 2 2 3 4 2" xfId="3766" xr:uid="{00000000-0005-0000-0000-0000DC070000}"/>
    <cellStyle name="Comma 4 2 2 2 3 4 2 2" xfId="7988" xr:uid="{00000000-0005-0000-0000-0000DD070000}"/>
    <cellStyle name="Comma 4 2 2 2 3 4 2 2 2" xfId="16438" xr:uid="{273A455E-8C2B-4EAC-8FD0-0EC182A6DFF5}"/>
    <cellStyle name="Comma 4 2 2 2 3 4 2 3" xfId="12220" xr:uid="{F66A1C6D-96E8-4703-BA4B-B4E0BE4A4DF5}"/>
    <cellStyle name="Comma 4 2 2 2 3 4 3" xfId="5843" xr:uid="{00000000-0005-0000-0000-0000DE070000}"/>
    <cellStyle name="Comma 4 2 2 2 3 4 3 2" xfId="14293" xr:uid="{717269EF-A451-45EE-AEE3-F54A871CCD6D}"/>
    <cellStyle name="Comma 4 2 2 2 3 4 4" xfId="10075" xr:uid="{3C2FC850-231D-4707-97CF-7D3D984236B9}"/>
    <cellStyle name="Comma 4 2 2 2 3 5" xfId="1950" xr:uid="{00000000-0005-0000-0000-0000DF070000}"/>
    <cellStyle name="Comma 4 2 2 2 3 5 2" xfId="4179" xr:uid="{00000000-0005-0000-0000-0000E0070000}"/>
    <cellStyle name="Comma 4 2 2 2 3 5 2 2" xfId="8401" xr:uid="{00000000-0005-0000-0000-0000E1070000}"/>
    <cellStyle name="Comma 4 2 2 2 3 5 2 2 2" xfId="16851" xr:uid="{54164B54-A432-4235-B179-FEA5B2B363E0}"/>
    <cellStyle name="Comma 4 2 2 2 3 5 2 3" xfId="12633" xr:uid="{2DD4B29A-8CDC-4E80-B401-22E2399E7464}"/>
    <cellStyle name="Comma 4 2 2 2 3 5 3" xfId="6256" xr:uid="{00000000-0005-0000-0000-0000E2070000}"/>
    <cellStyle name="Comma 4 2 2 2 3 5 3 2" xfId="14706" xr:uid="{6D9BDEAB-F467-4511-9C7C-E92EBFC8CEB0}"/>
    <cellStyle name="Comma 4 2 2 2 3 5 4" xfId="10488" xr:uid="{A6352417-3361-474B-A943-F0E5FEC51757}"/>
    <cellStyle name="Comma 4 2 2 2 3 6" xfId="2385" xr:uid="{00000000-0005-0000-0000-0000E3070000}"/>
    <cellStyle name="Comma 4 2 2 2 3 6 2" xfId="6669" xr:uid="{00000000-0005-0000-0000-0000E4070000}"/>
    <cellStyle name="Comma 4 2 2 2 3 6 2 2" xfId="15119" xr:uid="{6CA35260-9048-4BDA-9E2E-3BA84DDB7470}"/>
    <cellStyle name="Comma 4 2 2 2 3 6 3" xfId="10901" xr:uid="{C04C34B4-01DA-402E-9E4F-79F55EE49CF7}"/>
    <cellStyle name="Comma 4 2 2 2 3 7" xfId="2378" xr:uid="{00000000-0005-0000-0000-0000E5070000}"/>
    <cellStyle name="Comma 4 2 2 2 3 8" xfId="2763" xr:uid="{00000000-0005-0000-0000-0000E6070000}"/>
    <cellStyle name="Comma 4 2 2 2 3 8 2" xfId="6986" xr:uid="{00000000-0005-0000-0000-0000E7070000}"/>
    <cellStyle name="Comma 4 2 2 2 3 8 2 2" xfId="15436" xr:uid="{292EAC5D-3339-4E49-BEB4-9C3DC7B64BD6}"/>
    <cellStyle name="Comma 4 2 2 2 3 8 3" xfId="11218" xr:uid="{7106C147-7977-4325-A4CF-9165ECA345BE}"/>
    <cellStyle name="Comma 4 2 2 2 3 9" xfId="4603" xr:uid="{00000000-0005-0000-0000-0000E8070000}"/>
    <cellStyle name="Comma 4 2 2 2 3 9 2" xfId="13053" xr:uid="{726F7236-FA36-42FC-BE28-720EC56A99EB}"/>
    <cellStyle name="Comma 4 2 2 2 4" xfId="666" xr:uid="{00000000-0005-0000-0000-0000E9070000}"/>
    <cellStyle name="Comma 4 2 2 2 4 2" xfId="2937" xr:uid="{00000000-0005-0000-0000-0000EA070000}"/>
    <cellStyle name="Comma 4 2 2 2 4 2 2" xfId="7159" xr:uid="{00000000-0005-0000-0000-0000EB070000}"/>
    <cellStyle name="Comma 4 2 2 2 4 2 2 2" xfId="15609" xr:uid="{93078BC6-F9CB-4C3F-AE79-041BAE4E6132}"/>
    <cellStyle name="Comma 4 2 2 2 4 2 3" xfId="11391" xr:uid="{DB93CF36-90A2-4FC8-934F-1E0F334DBA98}"/>
    <cellStyle name="Comma 4 2 2 2 4 3" xfId="5014" xr:uid="{00000000-0005-0000-0000-0000EC070000}"/>
    <cellStyle name="Comma 4 2 2 2 4 3 2" xfId="13464" xr:uid="{640F867A-5421-4846-81EE-ACB5DBD5B786}"/>
    <cellStyle name="Comma 4 2 2 2 4 4" xfId="9246" xr:uid="{1C76139C-A789-43EC-B9C1-8FBAF1C579A4}"/>
    <cellStyle name="Comma 4 2 2 2 5" xfId="1119" xr:uid="{00000000-0005-0000-0000-0000ED070000}"/>
    <cellStyle name="Comma 4 2 2 2 5 2" xfId="3350" xr:uid="{00000000-0005-0000-0000-0000EE070000}"/>
    <cellStyle name="Comma 4 2 2 2 5 2 2" xfId="7572" xr:uid="{00000000-0005-0000-0000-0000EF070000}"/>
    <cellStyle name="Comma 4 2 2 2 5 2 2 2" xfId="16022" xr:uid="{B693A08A-F2AD-4D86-8E4F-8E8C10F05D2D}"/>
    <cellStyle name="Comma 4 2 2 2 5 2 3" xfId="11804" xr:uid="{D7329A2C-2271-4169-8A06-D48987AC6F18}"/>
    <cellStyle name="Comma 4 2 2 2 5 3" xfId="5427" xr:uid="{00000000-0005-0000-0000-0000F0070000}"/>
    <cellStyle name="Comma 4 2 2 2 5 3 2" xfId="13877" xr:uid="{A0731BD6-5F84-4FE9-8F49-290FC4068016}"/>
    <cellStyle name="Comma 4 2 2 2 5 4" xfId="9659" xr:uid="{4C957044-7BD1-448D-B096-F2D70C99224B}"/>
    <cellStyle name="Comma 4 2 2 2 6" xfId="1533" xr:uid="{00000000-0005-0000-0000-0000F1070000}"/>
    <cellStyle name="Comma 4 2 2 2 6 2" xfId="3763" xr:uid="{00000000-0005-0000-0000-0000F2070000}"/>
    <cellStyle name="Comma 4 2 2 2 6 2 2" xfId="7985" xr:uid="{00000000-0005-0000-0000-0000F3070000}"/>
    <cellStyle name="Comma 4 2 2 2 6 2 2 2" xfId="16435" xr:uid="{8243584A-49B0-4449-A327-E7298C2C1CFE}"/>
    <cellStyle name="Comma 4 2 2 2 6 2 3" xfId="12217" xr:uid="{1EA0D969-8C9A-4CF2-B968-415312F9C6FD}"/>
    <cellStyle name="Comma 4 2 2 2 6 3" xfId="5840" xr:uid="{00000000-0005-0000-0000-0000F4070000}"/>
    <cellStyle name="Comma 4 2 2 2 6 3 2" xfId="14290" xr:uid="{70011B01-5C1F-494A-8E56-C7819B374D36}"/>
    <cellStyle name="Comma 4 2 2 2 6 4" xfId="10072" xr:uid="{57447A3F-E567-4B9B-8256-D382A30BD6E6}"/>
    <cellStyle name="Comma 4 2 2 2 7" xfId="1947" xr:uid="{00000000-0005-0000-0000-0000F5070000}"/>
    <cellStyle name="Comma 4 2 2 2 7 2" xfId="4176" xr:uid="{00000000-0005-0000-0000-0000F6070000}"/>
    <cellStyle name="Comma 4 2 2 2 7 2 2" xfId="8398" xr:uid="{00000000-0005-0000-0000-0000F7070000}"/>
    <cellStyle name="Comma 4 2 2 2 7 2 2 2" xfId="16848" xr:uid="{006433B1-4AD2-4FD2-A78F-4ED54C3FF8DA}"/>
    <cellStyle name="Comma 4 2 2 2 7 2 3" xfId="12630" xr:uid="{A245CEE9-3701-483C-B373-F2E5265EADF9}"/>
    <cellStyle name="Comma 4 2 2 2 7 3" xfId="6253" xr:uid="{00000000-0005-0000-0000-0000F8070000}"/>
    <cellStyle name="Comma 4 2 2 2 7 3 2" xfId="14703" xr:uid="{64CD9284-A6AA-457E-AB34-E50D3C71B3A3}"/>
    <cellStyle name="Comma 4 2 2 2 7 4" xfId="10485" xr:uid="{C355284A-56BA-406B-BAD4-06B81BA089E5}"/>
    <cellStyle name="Comma 4 2 2 2 8" xfId="2382" xr:uid="{00000000-0005-0000-0000-0000F9070000}"/>
    <cellStyle name="Comma 4 2 2 2 8 2" xfId="6666" xr:uid="{00000000-0005-0000-0000-0000FA070000}"/>
    <cellStyle name="Comma 4 2 2 2 8 2 2" xfId="15116" xr:uid="{A332EFFB-9511-4625-BFD6-06F9396501C8}"/>
    <cellStyle name="Comma 4 2 2 2 8 3" xfId="10898" xr:uid="{034EE079-E685-4E3B-B27A-B5E5C4FA7BF8}"/>
    <cellStyle name="Comma 4 2 2 2 9" xfId="2381" xr:uid="{00000000-0005-0000-0000-0000FB070000}"/>
    <cellStyle name="Comma 4 2 2 3" xfId="132" xr:uid="{00000000-0005-0000-0000-0000FC070000}"/>
    <cellStyle name="Comma 4 2 2 3 10" xfId="4604" xr:uid="{00000000-0005-0000-0000-0000FD070000}"/>
    <cellStyle name="Comma 4 2 2 3 10 2" xfId="13054" xr:uid="{EF09FD42-F100-49CE-86C7-AE4CBDD3801B}"/>
    <cellStyle name="Comma 4 2 2 3 11" xfId="8836" xr:uid="{DFA279C0-785B-45B2-90FE-973387E21646}"/>
    <cellStyle name="Comma 4 2 2 3 2" xfId="133" xr:uid="{00000000-0005-0000-0000-0000FE070000}"/>
    <cellStyle name="Comma 4 2 2 3 2 10" xfId="8837" xr:uid="{F1C6F24A-74EF-44B9-A171-8EDFEE654055}"/>
    <cellStyle name="Comma 4 2 2 3 2 2" xfId="671" xr:uid="{00000000-0005-0000-0000-0000FF070000}"/>
    <cellStyle name="Comma 4 2 2 3 2 2 2" xfId="2942" xr:uid="{00000000-0005-0000-0000-000000080000}"/>
    <cellStyle name="Comma 4 2 2 3 2 2 2 2" xfId="7164" xr:uid="{00000000-0005-0000-0000-000001080000}"/>
    <cellStyle name="Comma 4 2 2 3 2 2 2 2 2" xfId="15614" xr:uid="{CB7F3D2F-52A2-409A-B7BB-EEF0F824DE01}"/>
    <cellStyle name="Comma 4 2 2 3 2 2 2 3" xfId="11396" xr:uid="{FC5FADC4-9BCC-4652-AF3F-E5582AFA9F47}"/>
    <cellStyle name="Comma 4 2 2 3 2 2 3" xfId="5019" xr:uid="{00000000-0005-0000-0000-000002080000}"/>
    <cellStyle name="Comma 4 2 2 3 2 2 3 2" xfId="13469" xr:uid="{671081FC-F5BC-4578-82EC-8D66B540F301}"/>
    <cellStyle name="Comma 4 2 2 3 2 2 4" xfId="9251" xr:uid="{8F1112D2-095F-4956-9616-2C92A737DED9}"/>
    <cellStyle name="Comma 4 2 2 3 2 3" xfId="1124" xr:uid="{00000000-0005-0000-0000-000003080000}"/>
    <cellStyle name="Comma 4 2 2 3 2 3 2" xfId="3355" xr:uid="{00000000-0005-0000-0000-000004080000}"/>
    <cellStyle name="Comma 4 2 2 3 2 3 2 2" xfId="7577" xr:uid="{00000000-0005-0000-0000-000005080000}"/>
    <cellStyle name="Comma 4 2 2 3 2 3 2 2 2" xfId="16027" xr:uid="{32B35B08-2CE6-4BFE-B9B1-F465893E6605}"/>
    <cellStyle name="Comma 4 2 2 3 2 3 2 3" xfId="11809" xr:uid="{A8164740-0042-486B-8039-B817B01F2662}"/>
    <cellStyle name="Comma 4 2 2 3 2 3 3" xfId="5432" xr:uid="{00000000-0005-0000-0000-000006080000}"/>
    <cellStyle name="Comma 4 2 2 3 2 3 3 2" xfId="13882" xr:uid="{48CC6501-1DAF-4D63-8CD0-50CD324B54FC}"/>
    <cellStyle name="Comma 4 2 2 3 2 3 4" xfId="9664" xr:uid="{592BB382-52E4-4058-AD2A-F21DD4281DF7}"/>
    <cellStyle name="Comma 4 2 2 3 2 4" xfId="1538" xr:uid="{00000000-0005-0000-0000-000007080000}"/>
    <cellStyle name="Comma 4 2 2 3 2 4 2" xfId="3768" xr:uid="{00000000-0005-0000-0000-000008080000}"/>
    <cellStyle name="Comma 4 2 2 3 2 4 2 2" xfId="7990" xr:uid="{00000000-0005-0000-0000-000009080000}"/>
    <cellStyle name="Comma 4 2 2 3 2 4 2 2 2" xfId="16440" xr:uid="{8C587A8E-0BA0-46DA-9943-0BAF4EB98F9F}"/>
    <cellStyle name="Comma 4 2 2 3 2 4 2 3" xfId="12222" xr:uid="{5E4E7EF7-B9F6-4483-A942-3412011715E0}"/>
    <cellStyle name="Comma 4 2 2 3 2 4 3" xfId="5845" xr:uid="{00000000-0005-0000-0000-00000A080000}"/>
    <cellStyle name="Comma 4 2 2 3 2 4 3 2" xfId="14295" xr:uid="{FCF4B454-44D5-4D63-A587-B726F94E2F54}"/>
    <cellStyle name="Comma 4 2 2 3 2 4 4" xfId="10077" xr:uid="{01E06C8F-97AE-45AC-AE6D-F4C7EF2D8B62}"/>
    <cellStyle name="Comma 4 2 2 3 2 5" xfId="1952" xr:uid="{00000000-0005-0000-0000-00000B080000}"/>
    <cellStyle name="Comma 4 2 2 3 2 5 2" xfId="4181" xr:uid="{00000000-0005-0000-0000-00000C080000}"/>
    <cellStyle name="Comma 4 2 2 3 2 5 2 2" xfId="8403" xr:uid="{00000000-0005-0000-0000-00000D080000}"/>
    <cellStyle name="Comma 4 2 2 3 2 5 2 2 2" xfId="16853" xr:uid="{C303FF3F-EA3C-4AA6-AEB1-6E792BADCDCC}"/>
    <cellStyle name="Comma 4 2 2 3 2 5 2 3" xfId="12635" xr:uid="{9D8709D1-2FD7-4A7F-B70D-46F47F5CFA2F}"/>
    <cellStyle name="Comma 4 2 2 3 2 5 3" xfId="6258" xr:uid="{00000000-0005-0000-0000-00000E080000}"/>
    <cellStyle name="Comma 4 2 2 3 2 5 3 2" xfId="14708" xr:uid="{17B5E0AE-5099-4C46-8D24-287A63F01AE2}"/>
    <cellStyle name="Comma 4 2 2 3 2 5 4" xfId="10490" xr:uid="{5B577EFD-8039-41AC-BA19-318BB03F1C42}"/>
    <cellStyle name="Comma 4 2 2 3 2 6" xfId="2387" xr:uid="{00000000-0005-0000-0000-00000F080000}"/>
    <cellStyle name="Comma 4 2 2 3 2 6 2" xfId="6671" xr:uid="{00000000-0005-0000-0000-000010080000}"/>
    <cellStyle name="Comma 4 2 2 3 2 6 2 2" xfId="15121" xr:uid="{677285B4-ED02-4EBA-AD4B-AD6728D458DA}"/>
    <cellStyle name="Comma 4 2 2 3 2 6 3" xfId="10903" xr:uid="{ABAE3BF2-0696-4E83-B6A0-4788C450737C}"/>
    <cellStyle name="Comma 4 2 2 3 2 7" xfId="2376" xr:uid="{00000000-0005-0000-0000-000011080000}"/>
    <cellStyle name="Comma 4 2 2 3 2 8" xfId="2765" xr:uid="{00000000-0005-0000-0000-000012080000}"/>
    <cellStyle name="Comma 4 2 2 3 2 8 2" xfId="6988" xr:uid="{00000000-0005-0000-0000-000013080000}"/>
    <cellStyle name="Comma 4 2 2 3 2 8 2 2" xfId="15438" xr:uid="{64667A67-BA46-4D3E-A557-74890E71EAB3}"/>
    <cellStyle name="Comma 4 2 2 3 2 8 3" xfId="11220" xr:uid="{C18F1B5C-B157-4204-BCA9-DAB88CBDF2E5}"/>
    <cellStyle name="Comma 4 2 2 3 2 9" xfId="4605" xr:uid="{00000000-0005-0000-0000-000014080000}"/>
    <cellStyle name="Comma 4 2 2 3 2 9 2" xfId="13055" xr:uid="{8FBFC35B-85C3-4F5F-ABE0-24A9442A4359}"/>
    <cellStyle name="Comma 4 2 2 3 3" xfId="670" xr:uid="{00000000-0005-0000-0000-000015080000}"/>
    <cellStyle name="Comma 4 2 2 3 3 2" xfId="2941" xr:uid="{00000000-0005-0000-0000-000016080000}"/>
    <cellStyle name="Comma 4 2 2 3 3 2 2" xfId="7163" xr:uid="{00000000-0005-0000-0000-000017080000}"/>
    <cellStyle name="Comma 4 2 2 3 3 2 2 2" xfId="15613" xr:uid="{8DB42DB8-8349-4663-8F9E-8FA85E562B0C}"/>
    <cellStyle name="Comma 4 2 2 3 3 2 3" xfId="11395" xr:uid="{36AB68BB-45A8-48D2-8AB2-E60BF1A00CAA}"/>
    <cellStyle name="Comma 4 2 2 3 3 3" xfId="5018" xr:uid="{00000000-0005-0000-0000-000018080000}"/>
    <cellStyle name="Comma 4 2 2 3 3 3 2" xfId="13468" xr:uid="{A0FEEDF1-A959-420F-AE11-BC9B4F573A53}"/>
    <cellStyle name="Comma 4 2 2 3 3 4" xfId="9250" xr:uid="{97EBDBB6-DA51-4D72-B405-68C90DB3C03C}"/>
    <cellStyle name="Comma 4 2 2 3 4" xfId="1123" xr:uid="{00000000-0005-0000-0000-000019080000}"/>
    <cellStyle name="Comma 4 2 2 3 4 2" xfId="3354" xr:uid="{00000000-0005-0000-0000-00001A080000}"/>
    <cellStyle name="Comma 4 2 2 3 4 2 2" xfId="7576" xr:uid="{00000000-0005-0000-0000-00001B080000}"/>
    <cellStyle name="Comma 4 2 2 3 4 2 2 2" xfId="16026" xr:uid="{4D5D81C8-6119-4BF1-A0AE-D1ABB3C1B8E4}"/>
    <cellStyle name="Comma 4 2 2 3 4 2 3" xfId="11808" xr:uid="{90327AA3-166D-44D6-8777-F4C50E1706FF}"/>
    <cellStyle name="Comma 4 2 2 3 4 3" xfId="5431" xr:uid="{00000000-0005-0000-0000-00001C080000}"/>
    <cellStyle name="Comma 4 2 2 3 4 3 2" xfId="13881" xr:uid="{3A88383C-95F9-4DD2-B999-97FB54D4DA56}"/>
    <cellStyle name="Comma 4 2 2 3 4 4" xfId="9663" xr:uid="{033B0FAF-82DA-4A64-A4F8-1D7D2AA84C95}"/>
    <cellStyle name="Comma 4 2 2 3 5" xfId="1537" xr:uid="{00000000-0005-0000-0000-00001D080000}"/>
    <cellStyle name="Comma 4 2 2 3 5 2" xfId="3767" xr:uid="{00000000-0005-0000-0000-00001E080000}"/>
    <cellStyle name="Comma 4 2 2 3 5 2 2" xfId="7989" xr:uid="{00000000-0005-0000-0000-00001F080000}"/>
    <cellStyle name="Comma 4 2 2 3 5 2 2 2" xfId="16439" xr:uid="{B1A07DFA-BC3C-45E8-836F-41D39911FEAD}"/>
    <cellStyle name="Comma 4 2 2 3 5 2 3" xfId="12221" xr:uid="{F975C874-EAB5-4DF6-A916-04CE278D5884}"/>
    <cellStyle name="Comma 4 2 2 3 5 3" xfId="5844" xr:uid="{00000000-0005-0000-0000-000020080000}"/>
    <cellStyle name="Comma 4 2 2 3 5 3 2" xfId="14294" xr:uid="{336325B0-8F4F-48D6-A904-09AB6CFA4E99}"/>
    <cellStyle name="Comma 4 2 2 3 5 4" xfId="10076" xr:uid="{48565B80-C6A5-4734-8CA6-4B15BBC2829D}"/>
    <cellStyle name="Comma 4 2 2 3 6" xfId="1951" xr:uid="{00000000-0005-0000-0000-000021080000}"/>
    <cellStyle name="Comma 4 2 2 3 6 2" xfId="4180" xr:uid="{00000000-0005-0000-0000-000022080000}"/>
    <cellStyle name="Comma 4 2 2 3 6 2 2" xfId="8402" xr:uid="{00000000-0005-0000-0000-000023080000}"/>
    <cellStyle name="Comma 4 2 2 3 6 2 2 2" xfId="16852" xr:uid="{AD4EE277-300F-49FE-8EED-009A4D14DB41}"/>
    <cellStyle name="Comma 4 2 2 3 6 2 3" xfId="12634" xr:uid="{E62C6E51-399F-47CC-BFEC-F14153E2ECF6}"/>
    <cellStyle name="Comma 4 2 2 3 6 3" xfId="6257" xr:uid="{00000000-0005-0000-0000-000024080000}"/>
    <cellStyle name="Comma 4 2 2 3 6 3 2" xfId="14707" xr:uid="{2AADBDFE-6BD4-43FC-9F79-B38E05EA1096}"/>
    <cellStyle name="Comma 4 2 2 3 6 4" xfId="10489" xr:uid="{ECE25C9E-5EAB-48BE-92F2-FAE289B5005C}"/>
    <cellStyle name="Comma 4 2 2 3 7" xfId="2386" xr:uid="{00000000-0005-0000-0000-000025080000}"/>
    <cellStyle name="Comma 4 2 2 3 7 2" xfId="6670" xr:uid="{00000000-0005-0000-0000-000026080000}"/>
    <cellStyle name="Comma 4 2 2 3 7 2 2" xfId="15120" xr:uid="{1E85F42C-18C9-4C4B-BDA4-95560CD2FE50}"/>
    <cellStyle name="Comma 4 2 2 3 7 3" xfId="10902" xr:uid="{2431A097-0B2E-41C0-889F-8FA8A4B9C71F}"/>
    <cellStyle name="Comma 4 2 2 3 8" xfId="2377" xr:uid="{00000000-0005-0000-0000-000027080000}"/>
    <cellStyle name="Comma 4 2 2 3 9" xfId="2764" xr:uid="{00000000-0005-0000-0000-000028080000}"/>
    <cellStyle name="Comma 4 2 2 3 9 2" xfId="6987" xr:uid="{00000000-0005-0000-0000-000029080000}"/>
    <cellStyle name="Comma 4 2 2 3 9 2 2" xfId="15437" xr:uid="{086D1896-BAD6-4CA1-9E6E-04D1DEEECC1F}"/>
    <cellStyle name="Comma 4 2 2 3 9 3" xfId="11219" xr:uid="{0C73AC31-CB6B-4BD5-BDD6-13635369806B}"/>
    <cellStyle name="Comma 4 2 2 4" xfId="134" xr:uid="{00000000-0005-0000-0000-00002A080000}"/>
    <cellStyle name="Comma 4 2 2 4 10" xfId="8838" xr:uid="{FE3214DC-CFE2-4C9A-BFBE-921D8891F108}"/>
    <cellStyle name="Comma 4 2 2 4 2" xfId="672" xr:uid="{00000000-0005-0000-0000-00002B080000}"/>
    <cellStyle name="Comma 4 2 2 4 2 2" xfId="2943" xr:uid="{00000000-0005-0000-0000-00002C080000}"/>
    <cellStyle name="Comma 4 2 2 4 2 2 2" xfId="7165" xr:uid="{00000000-0005-0000-0000-00002D080000}"/>
    <cellStyle name="Comma 4 2 2 4 2 2 2 2" xfId="15615" xr:uid="{11B57ED5-694B-4D8A-B765-E9C8E2D41233}"/>
    <cellStyle name="Comma 4 2 2 4 2 2 3" xfId="11397" xr:uid="{B6F12DB1-C511-4FE0-9D1A-F2C0BA1CB16C}"/>
    <cellStyle name="Comma 4 2 2 4 2 3" xfId="5020" xr:uid="{00000000-0005-0000-0000-00002E080000}"/>
    <cellStyle name="Comma 4 2 2 4 2 3 2" xfId="13470" xr:uid="{95DFD4F9-D942-409B-BA67-227188E1BDBA}"/>
    <cellStyle name="Comma 4 2 2 4 2 4" xfId="9252" xr:uid="{2F160821-FB08-4A7B-879F-0D9BFE8AF172}"/>
    <cellStyle name="Comma 4 2 2 4 3" xfId="1125" xr:uid="{00000000-0005-0000-0000-00002F080000}"/>
    <cellStyle name="Comma 4 2 2 4 3 2" xfId="3356" xr:uid="{00000000-0005-0000-0000-000030080000}"/>
    <cellStyle name="Comma 4 2 2 4 3 2 2" xfId="7578" xr:uid="{00000000-0005-0000-0000-000031080000}"/>
    <cellStyle name="Comma 4 2 2 4 3 2 2 2" xfId="16028" xr:uid="{AAE311F0-E45E-4FE4-89E4-712E3290A661}"/>
    <cellStyle name="Comma 4 2 2 4 3 2 3" xfId="11810" xr:uid="{8DA3DD54-F17E-4C4F-AA70-3C63FCBD1552}"/>
    <cellStyle name="Comma 4 2 2 4 3 3" xfId="5433" xr:uid="{00000000-0005-0000-0000-000032080000}"/>
    <cellStyle name="Comma 4 2 2 4 3 3 2" xfId="13883" xr:uid="{B6B11052-56B9-4879-88B0-5D288DED6131}"/>
    <cellStyle name="Comma 4 2 2 4 3 4" xfId="9665" xr:uid="{0AA83DE7-4135-40AF-95DC-86F7E4CCA724}"/>
    <cellStyle name="Comma 4 2 2 4 4" xfId="1539" xr:uid="{00000000-0005-0000-0000-000033080000}"/>
    <cellStyle name="Comma 4 2 2 4 4 2" xfId="3769" xr:uid="{00000000-0005-0000-0000-000034080000}"/>
    <cellStyle name="Comma 4 2 2 4 4 2 2" xfId="7991" xr:uid="{00000000-0005-0000-0000-000035080000}"/>
    <cellStyle name="Comma 4 2 2 4 4 2 2 2" xfId="16441" xr:uid="{8109673A-1D9A-4816-88CB-A2EB167F7D94}"/>
    <cellStyle name="Comma 4 2 2 4 4 2 3" xfId="12223" xr:uid="{212178B4-D768-4E29-9BDF-454F394D405F}"/>
    <cellStyle name="Comma 4 2 2 4 4 3" xfId="5846" xr:uid="{00000000-0005-0000-0000-000036080000}"/>
    <cellStyle name="Comma 4 2 2 4 4 3 2" xfId="14296" xr:uid="{79BD3198-FD3E-4946-B2B6-EF6ED3DF412D}"/>
    <cellStyle name="Comma 4 2 2 4 4 4" xfId="10078" xr:uid="{802BDC8C-C0EF-4915-BCE7-2C94E8F7CE2A}"/>
    <cellStyle name="Comma 4 2 2 4 5" xfId="1953" xr:uid="{00000000-0005-0000-0000-000037080000}"/>
    <cellStyle name="Comma 4 2 2 4 5 2" xfId="4182" xr:uid="{00000000-0005-0000-0000-000038080000}"/>
    <cellStyle name="Comma 4 2 2 4 5 2 2" xfId="8404" xr:uid="{00000000-0005-0000-0000-000039080000}"/>
    <cellStyle name="Comma 4 2 2 4 5 2 2 2" xfId="16854" xr:uid="{18C11430-4F2F-4DBC-A003-624B5546D94D}"/>
    <cellStyle name="Comma 4 2 2 4 5 2 3" xfId="12636" xr:uid="{466A1EDC-84D8-4AD5-9ED5-A4F73D5DFB98}"/>
    <cellStyle name="Comma 4 2 2 4 5 3" xfId="6259" xr:uid="{00000000-0005-0000-0000-00003A080000}"/>
    <cellStyle name="Comma 4 2 2 4 5 3 2" xfId="14709" xr:uid="{DBEF308D-B992-4363-AA25-CEAD4538870E}"/>
    <cellStyle name="Comma 4 2 2 4 5 4" xfId="10491" xr:uid="{673BA15F-EC6E-4FE8-B46E-F1CAD2FDDA94}"/>
    <cellStyle name="Comma 4 2 2 4 6" xfId="2388" xr:uid="{00000000-0005-0000-0000-00003B080000}"/>
    <cellStyle name="Comma 4 2 2 4 6 2" xfId="6672" xr:uid="{00000000-0005-0000-0000-00003C080000}"/>
    <cellStyle name="Comma 4 2 2 4 6 2 2" xfId="15122" xr:uid="{E7B3A108-9B9B-4F94-9718-B9C3451ACC8E}"/>
    <cellStyle name="Comma 4 2 2 4 6 3" xfId="10904" xr:uid="{F8EDBE41-2E8F-466E-A8BA-79291E0E5E7F}"/>
    <cellStyle name="Comma 4 2 2 4 7" xfId="2375" xr:uid="{00000000-0005-0000-0000-00003D080000}"/>
    <cellStyle name="Comma 4 2 2 4 8" xfId="2766" xr:uid="{00000000-0005-0000-0000-00003E080000}"/>
    <cellStyle name="Comma 4 2 2 4 8 2" xfId="6989" xr:uid="{00000000-0005-0000-0000-00003F080000}"/>
    <cellStyle name="Comma 4 2 2 4 8 2 2" xfId="15439" xr:uid="{AAB6F63D-ED8F-4726-A107-6D409187C387}"/>
    <cellStyle name="Comma 4 2 2 4 8 3" xfId="11221" xr:uid="{0B5139FF-02F0-4555-8BA2-609BF71841F4}"/>
    <cellStyle name="Comma 4 2 2 4 9" xfId="4606" xr:uid="{00000000-0005-0000-0000-000040080000}"/>
    <cellStyle name="Comma 4 2 2 4 9 2" xfId="13056" xr:uid="{BD433A87-76A1-48BC-9E06-5D6DFE5776DB}"/>
    <cellStyle name="Comma 4 2 2 5" xfId="135" xr:uid="{00000000-0005-0000-0000-000041080000}"/>
    <cellStyle name="Comma 4 2 2 5 10" xfId="8839" xr:uid="{BAE60CEC-6CA4-453D-AAE7-F58BA52CAC11}"/>
    <cellStyle name="Comma 4 2 2 5 2" xfId="673" xr:uid="{00000000-0005-0000-0000-000042080000}"/>
    <cellStyle name="Comma 4 2 2 5 2 2" xfId="2944" xr:uid="{00000000-0005-0000-0000-000043080000}"/>
    <cellStyle name="Comma 4 2 2 5 2 2 2" xfId="7166" xr:uid="{00000000-0005-0000-0000-000044080000}"/>
    <cellStyle name="Comma 4 2 2 5 2 2 2 2" xfId="15616" xr:uid="{591CB428-DDEE-49C0-A3C9-F9D0D1E57009}"/>
    <cellStyle name="Comma 4 2 2 5 2 2 3" xfId="11398" xr:uid="{A50B298F-C9F6-416A-AF59-420EEB13F509}"/>
    <cellStyle name="Comma 4 2 2 5 2 3" xfId="5021" xr:uid="{00000000-0005-0000-0000-000045080000}"/>
    <cellStyle name="Comma 4 2 2 5 2 3 2" xfId="13471" xr:uid="{431ECB26-ADBC-4FD5-B6A2-44450952E509}"/>
    <cellStyle name="Comma 4 2 2 5 2 4" xfId="9253" xr:uid="{669D685B-9190-42F9-9C86-2510D4A0937F}"/>
    <cellStyle name="Comma 4 2 2 5 3" xfId="1126" xr:uid="{00000000-0005-0000-0000-000046080000}"/>
    <cellStyle name="Comma 4 2 2 5 3 2" xfId="3357" xr:uid="{00000000-0005-0000-0000-000047080000}"/>
    <cellStyle name="Comma 4 2 2 5 3 2 2" xfId="7579" xr:uid="{00000000-0005-0000-0000-000048080000}"/>
    <cellStyle name="Comma 4 2 2 5 3 2 2 2" xfId="16029" xr:uid="{09E66FF4-2BB0-4367-B0A8-ACB31C8D77FA}"/>
    <cellStyle name="Comma 4 2 2 5 3 2 3" xfId="11811" xr:uid="{49D2BC90-A7E7-4524-808B-1CF9CE9F4F0E}"/>
    <cellStyle name="Comma 4 2 2 5 3 3" xfId="5434" xr:uid="{00000000-0005-0000-0000-000049080000}"/>
    <cellStyle name="Comma 4 2 2 5 3 3 2" xfId="13884" xr:uid="{20F13B71-CF31-48CA-9466-F464E1D7246A}"/>
    <cellStyle name="Comma 4 2 2 5 3 4" xfId="9666" xr:uid="{AF88FA1D-ABDA-4DC0-946E-198BE82267C5}"/>
    <cellStyle name="Comma 4 2 2 5 4" xfId="1540" xr:uid="{00000000-0005-0000-0000-00004A080000}"/>
    <cellStyle name="Comma 4 2 2 5 4 2" xfId="3770" xr:uid="{00000000-0005-0000-0000-00004B080000}"/>
    <cellStyle name="Comma 4 2 2 5 4 2 2" xfId="7992" xr:uid="{00000000-0005-0000-0000-00004C080000}"/>
    <cellStyle name="Comma 4 2 2 5 4 2 2 2" xfId="16442" xr:uid="{5457FE90-8181-44F2-8D61-1C92D1220904}"/>
    <cellStyle name="Comma 4 2 2 5 4 2 3" xfId="12224" xr:uid="{4F2C8A39-70D6-4F08-B430-8EFAF068AD4B}"/>
    <cellStyle name="Comma 4 2 2 5 4 3" xfId="5847" xr:uid="{00000000-0005-0000-0000-00004D080000}"/>
    <cellStyle name="Comma 4 2 2 5 4 3 2" xfId="14297" xr:uid="{96BDAA54-16BF-4947-80B3-C2BC60DB1818}"/>
    <cellStyle name="Comma 4 2 2 5 4 4" xfId="10079" xr:uid="{E3DABB59-BA9E-42AF-A9C6-89F9E8F5A8A2}"/>
    <cellStyle name="Comma 4 2 2 5 5" xfId="1954" xr:uid="{00000000-0005-0000-0000-00004E080000}"/>
    <cellStyle name="Comma 4 2 2 5 5 2" xfId="4183" xr:uid="{00000000-0005-0000-0000-00004F080000}"/>
    <cellStyle name="Comma 4 2 2 5 5 2 2" xfId="8405" xr:uid="{00000000-0005-0000-0000-000050080000}"/>
    <cellStyle name="Comma 4 2 2 5 5 2 2 2" xfId="16855" xr:uid="{88F74E65-5FD8-4292-B40A-8BBF907360D6}"/>
    <cellStyle name="Comma 4 2 2 5 5 2 3" xfId="12637" xr:uid="{40114300-A8A7-400A-ACB8-32118F52962B}"/>
    <cellStyle name="Comma 4 2 2 5 5 3" xfId="6260" xr:uid="{00000000-0005-0000-0000-000051080000}"/>
    <cellStyle name="Comma 4 2 2 5 5 3 2" xfId="14710" xr:uid="{8E65C769-C7DA-4F0A-AB93-0DC134642B5A}"/>
    <cellStyle name="Comma 4 2 2 5 5 4" xfId="10492" xr:uid="{95747710-5ACA-44DA-9553-3671EC0788C9}"/>
    <cellStyle name="Comma 4 2 2 5 6" xfId="2389" xr:uid="{00000000-0005-0000-0000-000052080000}"/>
    <cellStyle name="Comma 4 2 2 5 6 2" xfId="6673" xr:uid="{00000000-0005-0000-0000-000053080000}"/>
    <cellStyle name="Comma 4 2 2 5 6 2 2" xfId="15123" xr:uid="{68315F69-6464-42F1-9970-C1FBF895B915}"/>
    <cellStyle name="Comma 4 2 2 5 6 3" xfId="10905" xr:uid="{C2A6216A-51E4-4288-980B-A36B87C96069}"/>
    <cellStyle name="Comma 4 2 2 5 7" xfId="2374" xr:uid="{00000000-0005-0000-0000-000054080000}"/>
    <cellStyle name="Comma 4 2 2 5 8" xfId="2767" xr:uid="{00000000-0005-0000-0000-000055080000}"/>
    <cellStyle name="Comma 4 2 2 5 8 2" xfId="6990" xr:uid="{00000000-0005-0000-0000-000056080000}"/>
    <cellStyle name="Comma 4 2 2 5 8 2 2" xfId="15440" xr:uid="{AD1A6121-D833-4D2F-9857-9687D1BF1147}"/>
    <cellStyle name="Comma 4 2 2 5 8 3" xfId="11222" xr:uid="{47EA7039-7453-4362-8FBA-1BECEF032E0F}"/>
    <cellStyle name="Comma 4 2 2 5 9" xfId="4607" xr:uid="{00000000-0005-0000-0000-000057080000}"/>
    <cellStyle name="Comma 4 2 2 5 9 2" xfId="13057" xr:uid="{B5118E3F-AB96-44FB-85E7-6FC784C3ED56}"/>
    <cellStyle name="Comma 4 2 3" xfId="136" xr:uid="{00000000-0005-0000-0000-000058080000}"/>
    <cellStyle name="Comma 4 2 3 10" xfId="2768" xr:uid="{00000000-0005-0000-0000-000059080000}"/>
    <cellStyle name="Comma 4 2 3 10 2" xfId="6991" xr:uid="{00000000-0005-0000-0000-00005A080000}"/>
    <cellStyle name="Comma 4 2 3 10 2 2" xfId="15441" xr:uid="{22EA1280-16D8-47DC-8EFF-BF622364F8FD}"/>
    <cellStyle name="Comma 4 2 3 10 3" xfId="11223" xr:uid="{F853FA34-0C60-435F-9A04-F4DA23F82B5D}"/>
    <cellStyle name="Comma 4 2 3 11" xfId="4608" xr:uid="{00000000-0005-0000-0000-00005B080000}"/>
    <cellStyle name="Comma 4 2 3 11 2" xfId="13058" xr:uid="{A6BA6D41-AF8B-458D-B8A3-04A0784CAA15}"/>
    <cellStyle name="Comma 4 2 3 12" xfId="8840" xr:uid="{4B45B2C2-2AAE-4295-8DF1-F4094E222973}"/>
    <cellStyle name="Comma 4 2 3 2" xfId="137" xr:uid="{00000000-0005-0000-0000-00005C080000}"/>
    <cellStyle name="Comma 4 2 3 2 10" xfId="4609" xr:uid="{00000000-0005-0000-0000-00005D080000}"/>
    <cellStyle name="Comma 4 2 3 2 10 2" xfId="13059" xr:uid="{EBAA27E2-DEE7-4222-860A-D8DF5C9F0172}"/>
    <cellStyle name="Comma 4 2 3 2 11" xfId="8841" xr:uid="{F4CAEB5F-A6A6-4607-9F97-048B97ED2F8B}"/>
    <cellStyle name="Comma 4 2 3 2 2" xfId="138" xr:uid="{00000000-0005-0000-0000-00005E080000}"/>
    <cellStyle name="Comma 4 2 3 2 2 10" xfId="8842" xr:uid="{B722639B-9A3C-461B-BCE5-C3A497F605EF}"/>
    <cellStyle name="Comma 4 2 3 2 2 2" xfId="676" xr:uid="{00000000-0005-0000-0000-00005F080000}"/>
    <cellStyle name="Comma 4 2 3 2 2 2 2" xfId="2947" xr:uid="{00000000-0005-0000-0000-000060080000}"/>
    <cellStyle name="Comma 4 2 3 2 2 2 2 2" xfId="7169" xr:uid="{00000000-0005-0000-0000-000061080000}"/>
    <cellStyle name="Comma 4 2 3 2 2 2 2 2 2" xfId="15619" xr:uid="{6719F35A-A276-490A-91DA-B8C4DD3FBA69}"/>
    <cellStyle name="Comma 4 2 3 2 2 2 2 3" xfId="11401" xr:uid="{3E7859C6-F185-427E-B8AA-4BF094892891}"/>
    <cellStyle name="Comma 4 2 3 2 2 2 3" xfId="5024" xr:uid="{00000000-0005-0000-0000-000062080000}"/>
    <cellStyle name="Comma 4 2 3 2 2 2 3 2" xfId="13474" xr:uid="{4A20118B-528F-4F64-8220-6DE95FAD7E8D}"/>
    <cellStyle name="Comma 4 2 3 2 2 2 4" xfId="9256" xr:uid="{B0477C5F-672A-4050-A1F7-6F8E4BEAD5DF}"/>
    <cellStyle name="Comma 4 2 3 2 2 3" xfId="1129" xr:uid="{00000000-0005-0000-0000-000063080000}"/>
    <cellStyle name="Comma 4 2 3 2 2 3 2" xfId="3360" xr:uid="{00000000-0005-0000-0000-000064080000}"/>
    <cellStyle name="Comma 4 2 3 2 2 3 2 2" xfId="7582" xr:uid="{00000000-0005-0000-0000-000065080000}"/>
    <cellStyle name="Comma 4 2 3 2 2 3 2 2 2" xfId="16032" xr:uid="{F3FE88DD-8F13-4857-931D-EE5F147F0599}"/>
    <cellStyle name="Comma 4 2 3 2 2 3 2 3" xfId="11814" xr:uid="{D86544C6-86E1-4460-BABA-A0E0BE5C2C28}"/>
    <cellStyle name="Comma 4 2 3 2 2 3 3" xfId="5437" xr:uid="{00000000-0005-0000-0000-000066080000}"/>
    <cellStyle name="Comma 4 2 3 2 2 3 3 2" xfId="13887" xr:uid="{8CDA884D-EE43-4DC8-8AE3-0C1F6A1A949A}"/>
    <cellStyle name="Comma 4 2 3 2 2 3 4" xfId="9669" xr:uid="{0988CAE1-60B0-448F-BCD0-7F29B5A9D1B8}"/>
    <cellStyle name="Comma 4 2 3 2 2 4" xfId="1543" xr:uid="{00000000-0005-0000-0000-000067080000}"/>
    <cellStyle name="Comma 4 2 3 2 2 4 2" xfId="3773" xr:uid="{00000000-0005-0000-0000-000068080000}"/>
    <cellStyle name="Comma 4 2 3 2 2 4 2 2" xfId="7995" xr:uid="{00000000-0005-0000-0000-000069080000}"/>
    <cellStyle name="Comma 4 2 3 2 2 4 2 2 2" xfId="16445" xr:uid="{019D17F5-1BB2-4CAC-B58F-E6C0B1292ADF}"/>
    <cellStyle name="Comma 4 2 3 2 2 4 2 3" xfId="12227" xr:uid="{8340AF49-4F29-47D4-8DE4-1B6DBAFBC8C0}"/>
    <cellStyle name="Comma 4 2 3 2 2 4 3" xfId="5850" xr:uid="{00000000-0005-0000-0000-00006A080000}"/>
    <cellStyle name="Comma 4 2 3 2 2 4 3 2" xfId="14300" xr:uid="{83A0DBE7-3AD7-4388-9464-20FB5A8D1B80}"/>
    <cellStyle name="Comma 4 2 3 2 2 4 4" xfId="10082" xr:uid="{693D4748-3AAD-4AE4-B780-6EB3B3CAF93A}"/>
    <cellStyle name="Comma 4 2 3 2 2 5" xfId="1957" xr:uid="{00000000-0005-0000-0000-00006B080000}"/>
    <cellStyle name="Comma 4 2 3 2 2 5 2" xfId="4186" xr:uid="{00000000-0005-0000-0000-00006C080000}"/>
    <cellStyle name="Comma 4 2 3 2 2 5 2 2" xfId="8408" xr:uid="{00000000-0005-0000-0000-00006D080000}"/>
    <cellStyle name="Comma 4 2 3 2 2 5 2 2 2" xfId="16858" xr:uid="{38CF5BE2-58D8-4FCA-AED5-9F791F429517}"/>
    <cellStyle name="Comma 4 2 3 2 2 5 2 3" xfId="12640" xr:uid="{D8994B0D-B26D-4992-AADB-25DCB2D8BE07}"/>
    <cellStyle name="Comma 4 2 3 2 2 5 3" xfId="6263" xr:uid="{00000000-0005-0000-0000-00006E080000}"/>
    <cellStyle name="Comma 4 2 3 2 2 5 3 2" xfId="14713" xr:uid="{3946D1C0-DAC9-49B4-83CA-780EE90E6187}"/>
    <cellStyle name="Comma 4 2 3 2 2 5 4" xfId="10495" xr:uid="{6B645003-AF65-4C44-94D8-DA4153BA3A37}"/>
    <cellStyle name="Comma 4 2 3 2 2 6" xfId="2392" xr:uid="{00000000-0005-0000-0000-00006F080000}"/>
    <cellStyle name="Comma 4 2 3 2 2 6 2" xfId="6676" xr:uid="{00000000-0005-0000-0000-000070080000}"/>
    <cellStyle name="Comma 4 2 3 2 2 6 2 2" xfId="15126" xr:uid="{1451E693-CCD5-4A9E-877A-D6C0341E0ABD}"/>
    <cellStyle name="Comma 4 2 3 2 2 6 3" xfId="10908" xr:uid="{9100BE83-813F-4938-842D-EEE24279F5A4}"/>
    <cellStyle name="Comma 4 2 3 2 2 7" xfId="2371" xr:uid="{00000000-0005-0000-0000-000071080000}"/>
    <cellStyle name="Comma 4 2 3 2 2 8" xfId="2770" xr:uid="{00000000-0005-0000-0000-000072080000}"/>
    <cellStyle name="Comma 4 2 3 2 2 8 2" xfId="6993" xr:uid="{00000000-0005-0000-0000-000073080000}"/>
    <cellStyle name="Comma 4 2 3 2 2 8 2 2" xfId="15443" xr:uid="{30CB9224-3927-4E4B-9F7B-44DBFEB2E997}"/>
    <cellStyle name="Comma 4 2 3 2 2 8 3" xfId="11225" xr:uid="{BEFEA03E-0E46-4C3E-B774-035894416F8B}"/>
    <cellStyle name="Comma 4 2 3 2 2 9" xfId="4610" xr:uid="{00000000-0005-0000-0000-000074080000}"/>
    <cellStyle name="Comma 4 2 3 2 2 9 2" xfId="13060" xr:uid="{3272E8C7-A30E-4F9E-9510-16EAE66A9C34}"/>
    <cellStyle name="Comma 4 2 3 2 3" xfId="675" xr:uid="{00000000-0005-0000-0000-000075080000}"/>
    <cellStyle name="Comma 4 2 3 2 3 2" xfId="2946" xr:uid="{00000000-0005-0000-0000-000076080000}"/>
    <cellStyle name="Comma 4 2 3 2 3 2 2" xfId="7168" xr:uid="{00000000-0005-0000-0000-000077080000}"/>
    <cellStyle name="Comma 4 2 3 2 3 2 2 2" xfId="15618" xr:uid="{482D8C2A-C4A1-4CBB-B386-92A9BC79E35F}"/>
    <cellStyle name="Comma 4 2 3 2 3 2 3" xfId="11400" xr:uid="{2DB2B050-BBFD-4E8B-B9DC-CE1E11D3EDF0}"/>
    <cellStyle name="Comma 4 2 3 2 3 3" xfId="5023" xr:uid="{00000000-0005-0000-0000-000078080000}"/>
    <cellStyle name="Comma 4 2 3 2 3 3 2" xfId="13473" xr:uid="{4AF5DD53-F0FD-4FB9-A4A3-955270034A22}"/>
    <cellStyle name="Comma 4 2 3 2 3 4" xfId="9255" xr:uid="{DC54CB46-3BE1-4D61-AA04-E5D8D418BB88}"/>
    <cellStyle name="Comma 4 2 3 2 4" xfId="1128" xr:uid="{00000000-0005-0000-0000-000079080000}"/>
    <cellStyle name="Comma 4 2 3 2 4 2" xfId="3359" xr:uid="{00000000-0005-0000-0000-00007A080000}"/>
    <cellStyle name="Comma 4 2 3 2 4 2 2" xfId="7581" xr:uid="{00000000-0005-0000-0000-00007B080000}"/>
    <cellStyle name="Comma 4 2 3 2 4 2 2 2" xfId="16031" xr:uid="{3AAD6553-F2F9-421B-AAAE-1B2D35F61832}"/>
    <cellStyle name="Comma 4 2 3 2 4 2 3" xfId="11813" xr:uid="{6D61521F-8554-4339-9DB1-4FC511A64409}"/>
    <cellStyle name="Comma 4 2 3 2 4 3" xfId="5436" xr:uid="{00000000-0005-0000-0000-00007C080000}"/>
    <cellStyle name="Comma 4 2 3 2 4 3 2" xfId="13886" xr:uid="{66E825A2-8962-456F-9054-C79CAAF384A5}"/>
    <cellStyle name="Comma 4 2 3 2 4 4" xfId="9668" xr:uid="{F62E3D41-A6ED-4233-A345-CD5574ED8320}"/>
    <cellStyle name="Comma 4 2 3 2 5" xfId="1542" xr:uid="{00000000-0005-0000-0000-00007D080000}"/>
    <cellStyle name="Comma 4 2 3 2 5 2" xfId="3772" xr:uid="{00000000-0005-0000-0000-00007E080000}"/>
    <cellStyle name="Comma 4 2 3 2 5 2 2" xfId="7994" xr:uid="{00000000-0005-0000-0000-00007F080000}"/>
    <cellStyle name="Comma 4 2 3 2 5 2 2 2" xfId="16444" xr:uid="{1443847A-7299-4D91-A65D-EE365A6019EC}"/>
    <cellStyle name="Comma 4 2 3 2 5 2 3" xfId="12226" xr:uid="{B7923E5B-0FF5-48A5-8BFA-06206E6A0AEA}"/>
    <cellStyle name="Comma 4 2 3 2 5 3" xfId="5849" xr:uid="{00000000-0005-0000-0000-000080080000}"/>
    <cellStyle name="Comma 4 2 3 2 5 3 2" xfId="14299" xr:uid="{665A1C38-D953-4972-AFB0-2B58C20E3A33}"/>
    <cellStyle name="Comma 4 2 3 2 5 4" xfId="10081" xr:uid="{F76559CC-6451-40B0-BE3C-AF31FA023D66}"/>
    <cellStyle name="Comma 4 2 3 2 6" xfId="1956" xr:uid="{00000000-0005-0000-0000-000081080000}"/>
    <cellStyle name="Comma 4 2 3 2 6 2" xfId="4185" xr:uid="{00000000-0005-0000-0000-000082080000}"/>
    <cellStyle name="Comma 4 2 3 2 6 2 2" xfId="8407" xr:uid="{00000000-0005-0000-0000-000083080000}"/>
    <cellStyle name="Comma 4 2 3 2 6 2 2 2" xfId="16857" xr:uid="{09511AA9-6580-4A22-9483-B834B52970A1}"/>
    <cellStyle name="Comma 4 2 3 2 6 2 3" xfId="12639" xr:uid="{0BC6784E-5FCB-4B70-9DFE-67F4EDE7D2AF}"/>
    <cellStyle name="Comma 4 2 3 2 6 3" xfId="6262" xr:uid="{00000000-0005-0000-0000-000084080000}"/>
    <cellStyle name="Comma 4 2 3 2 6 3 2" xfId="14712" xr:uid="{4130C1C4-C547-4019-BE81-34550FE4741E}"/>
    <cellStyle name="Comma 4 2 3 2 6 4" xfId="10494" xr:uid="{698753A5-6A33-402F-82B5-C34A8BFA715C}"/>
    <cellStyle name="Comma 4 2 3 2 7" xfId="2391" xr:uid="{00000000-0005-0000-0000-000085080000}"/>
    <cellStyle name="Comma 4 2 3 2 7 2" xfId="6675" xr:uid="{00000000-0005-0000-0000-000086080000}"/>
    <cellStyle name="Comma 4 2 3 2 7 2 2" xfId="15125" xr:uid="{51541484-4FCC-40B4-854B-4AC96212E8F0}"/>
    <cellStyle name="Comma 4 2 3 2 7 3" xfId="10907" xr:uid="{BC45D643-0DF2-4CBE-BE6E-D5D0FEFAE691}"/>
    <cellStyle name="Comma 4 2 3 2 8" xfId="2372" xr:uid="{00000000-0005-0000-0000-000087080000}"/>
    <cellStyle name="Comma 4 2 3 2 9" xfId="2769" xr:uid="{00000000-0005-0000-0000-000088080000}"/>
    <cellStyle name="Comma 4 2 3 2 9 2" xfId="6992" xr:uid="{00000000-0005-0000-0000-000089080000}"/>
    <cellStyle name="Comma 4 2 3 2 9 2 2" xfId="15442" xr:uid="{04ECA3B2-6EBD-4F13-8F7E-D5A3D8294042}"/>
    <cellStyle name="Comma 4 2 3 2 9 3" xfId="11224" xr:uid="{2487905A-765F-4856-B6C5-1DF9DFD83E0E}"/>
    <cellStyle name="Comma 4 2 3 3" xfId="139" xr:uid="{00000000-0005-0000-0000-00008A080000}"/>
    <cellStyle name="Comma 4 2 3 3 10" xfId="8843" xr:uid="{816A3148-3E25-499A-8A7E-4F8FABD7CAF8}"/>
    <cellStyle name="Comma 4 2 3 3 2" xfId="677" xr:uid="{00000000-0005-0000-0000-00008B080000}"/>
    <cellStyle name="Comma 4 2 3 3 2 2" xfId="2948" xr:uid="{00000000-0005-0000-0000-00008C080000}"/>
    <cellStyle name="Comma 4 2 3 3 2 2 2" xfId="7170" xr:uid="{00000000-0005-0000-0000-00008D080000}"/>
    <cellStyle name="Comma 4 2 3 3 2 2 2 2" xfId="15620" xr:uid="{52326F7B-0F51-4EC6-BC33-415DFC418E4F}"/>
    <cellStyle name="Comma 4 2 3 3 2 2 3" xfId="11402" xr:uid="{D6701BCD-F645-4D08-A8CD-2326D785A4E3}"/>
    <cellStyle name="Comma 4 2 3 3 2 3" xfId="5025" xr:uid="{00000000-0005-0000-0000-00008E080000}"/>
    <cellStyle name="Comma 4 2 3 3 2 3 2" xfId="13475" xr:uid="{7D760C38-EC26-4116-BDF7-6A223CCE823A}"/>
    <cellStyle name="Comma 4 2 3 3 2 4" xfId="9257" xr:uid="{2529AEE6-BB72-43CC-A71B-AEF42C727BC1}"/>
    <cellStyle name="Comma 4 2 3 3 3" xfId="1130" xr:uid="{00000000-0005-0000-0000-00008F080000}"/>
    <cellStyle name="Comma 4 2 3 3 3 2" xfId="3361" xr:uid="{00000000-0005-0000-0000-000090080000}"/>
    <cellStyle name="Comma 4 2 3 3 3 2 2" xfId="7583" xr:uid="{00000000-0005-0000-0000-000091080000}"/>
    <cellStyle name="Comma 4 2 3 3 3 2 2 2" xfId="16033" xr:uid="{D9A20464-C2A4-4CA5-AC82-92837E802560}"/>
    <cellStyle name="Comma 4 2 3 3 3 2 3" xfId="11815" xr:uid="{7D72E75B-87F5-43C3-8A02-0A5438CBA222}"/>
    <cellStyle name="Comma 4 2 3 3 3 3" xfId="5438" xr:uid="{00000000-0005-0000-0000-000092080000}"/>
    <cellStyle name="Comma 4 2 3 3 3 3 2" xfId="13888" xr:uid="{5D7194D7-D4A9-40BE-8996-1F6FD004090D}"/>
    <cellStyle name="Comma 4 2 3 3 3 4" xfId="9670" xr:uid="{215CAB36-177D-4563-AE6E-145ED8610B27}"/>
    <cellStyle name="Comma 4 2 3 3 4" xfId="1544" xr:uid="{00000000-0005-0000-0000-000093080000}"/>
    <cellStyle name="Comma 4 2 3 3 4 2" xfId="3774" xr:uid="{00000000-0005-0000-0000-000094080000}"/>
    <cellStyle name="Comma 4 2 3 3 4 2 2" xfId="7996" xr:uid="{00000000-0005-0000-0000-000095080000}"/>
    <cellStyle name="Comma 4 2 3 3 4 2 2 2" xfId="16446" xr:uid="{0E58C295-EB9B-4985-A6AD-FDCFEB8E82EC}"/>
    <cellStyle name="Comma 4 2 3 3 4 2 3" xfId="12228" xr:uid="{966D5BAC-3BD1-4E9D-AF9B-EAB4333973AC}"/>
    <cellStyle name="Comma 4 2 3 3 4 3" xfId="5851" xr:uid="{00000000-0005-0000-0000-000096080000}"/>
    <cellStyle name="Comma 4 2 3 3 4 3 2" xfId="14301" xr:uid="{C4030538-2AE4-4206-AF8D-0ACCFF31E125}"/>
    <cellStyle name="Comma 4 2 3 3 4 4" xfId="10083" xr:uid="{FF8A3325-3BBE-409E-9AC1-A14CEC0DFB21}"/>
    <cellStyle name="Comma 4 2 3 3 5" xfId="1958" xr:uid="{00000000-0005-0000-0000-000097080000}"/>
    <cellStyle name="Comma 4 2 3 3 5 2" xfId="4187" xr:uid="{00000000-0005-0000-0000-000098080000}"/>
    <cellStyle name="Comma 4 2 3 3 5 2 2" xfId="8409" xr:uid="{00000000-0005-0000-0000-000099080000}"/>
    <cellStyle name="Comma 4 2 3 3 5 2 2 2" xfId="16859" xr:uid="{22EE0CA4-4259-4B82-AB43-5C3A61CBAFD9}"/>
    <cellStyle name="Comma 4 2 3 3 5 2 3" xfId="12641" xr:uid="{31F5A32F-B0E9-41DC-BEF5-4377A0C3EFF6}"/>
    <cellStyle name="Comma 4 2 3 3 5 3" xfId="6264" xr:uid="{00000000-0005-0000-0000-00009A080000}"/>
    <cellStyle name="Comma 4 2 3 3 5 3 2" xfId="14714" xr:uid="{75E05806-9FDA-401A-84F2-C1BC2956640F}"/>
    <cellStyle name="Comma 4 2 3 3 5 4" xfId="10496" xr:uid="{B550EC69-AC4D-4616-AA22-A46867AEB970}"/>
    <cellStyle name="Comma 4 2 3 3 6" xfId="2393" xr:uid="{00000000-0005-0000-0000-00009B080000}"/>
    <cellStyle name="Comma 4 2 3 3 6 2" xfId="6677" xr:uid="{00000000-0005-0000-0000-00009C080000}"/>
    <cellStyle name="Comma 4 2 3 3 6 2 2" xfId="15127" xr:uid="{1CB47FEE-C8CD-4E6F-9B01-D889C8EE6828}"/>
    <cellStyle name="Comma 4 2 3 3 6 3" xfId="10909" xr:uid="{0FD97CB1-D6B9-43A3-8DB7-9B2DDE12F405}"/>
    <cellStyle name="Comma 4 2 3 3 7" xfId="2370" xr:uid="{00000000-0005-0000-0000-00009D080000}"/>
    <cellStyle name="Comma 4 2 3 3 8" xfId="2771" xr:uid="{00000000-0005-0000-0000-00009E080000}"/>
    <cellStyle name="Comma 4 2 3 3 8 2" xfId="6994" xr:uid="{00000000-0005-0000-0000-00009F080000}"/>
    <cellStyle name="Comma 4 2 3 3 8 2 2" xfId="15444" xr:uid="{EF023F8D-BFB5-483C-8F30-844A2142D2CA}"/>
    <cellStyle name="Comma 4 2 3 3 8 3" xfId="11226" xr:uid="{ED04324E-9D3A-494D-80BD-158D2AA8A8E9}"/>
    <cellStyle name="Comma 4 2 3 3 9" xfId="4611" xr:uid="{00000000-0005-0000-0000-0000A0080000}"/>
    <cellStyle name="Comma 4 2 3 3 9 2" xfId="13061" xr:uid="{B3472561-69F8-4FD1-84AE-A729DADCC791}"/>
    <cellStyle name="Comma 4 2 3 4" xfId="674" xr:uid="{00000000-0005-0000-0000-0000A1080000}"/>
    <cellStyle name="Comma 4 2 3 4 2" xfId="2945" xr:uid="{00000000-0005-0000-0000-0000A2080000}"/>
    <cellStyle name="Comma 4 2 3 4 2 2" xfId="7167" xr:uid="{00000000-0005-0000-0000-0000A3080000}"/>
    <cellStyle name="Comma 4 2 3 4 2 2 2" xfId="15617" xr:uid="{4D704A2C-89B9-4454-96FA-F02206CE5B53}"/>
    <cellStyle name="Comma 4 2 3 4 2 3" xfId="11399" xr:uid="{EEB73F50-39CC-47A6-8B54-FDA30781249C}"/>
    <cellStyle name="Comma 4 2 3 4 3" xfId="5022" xr:uid="{00000000-0005-0000-0000-0000A4080000}"/>
    <cellStyle name="Comma 4 2 3 4 3 2" xfId="13472" xr:uid="{015A4958-B758-4DE1-919F-E060111B0454}"/>
    <cellStyle name="Comma 4 2 3 4 4" xfId="9254" xr:uid="{C128446A-B2C4-4AD2-8C8F-E4DEF8B71FDC}"/>
    <cellStyle name="Comma 4 2 3 5" xfId="1127" xr:uid="{00000000-0005-0000-0000-0000A5080000}"/>
    <cellStyle name="Comma 4 2 3 5 2" xfId="3358" xr:uid="{00000000-0005-0000-0000-0000A6080000}"/>
    <cellStyle name="Comma 4 2 3 5 2 2" xfId="7580" xr:uid="{00000000-0005-0000-0000-0000A7080000}"/>
    <cellStyle name="Comma 4 2 3 5 2 2 2" xfId="16030" xr:uid="{373FDC5C-2F22-4838-A217-8A80D55B7673}"/>
    <cellStyle name="Comma 4 2 3 5 2 3" xfId="11812" xr:uid="{6AA70C99-4896-414B-88E9-CEEE2BCBCE87}"/>
    <cellStyle name="Comma 4 2 3 5 3" xfId="5435" xr:uid="{00000000-0005-0000-0000-0000A8080000}"/>
    <cellStyle name="Comma 4 2 3 5 3 2" xfId="13885" xr:uid="{AEDEC1EE-DD2A-4EF4-B862-F8B3CDB8C476}"/>
    <cellStyle name="Comma 4 2 3 5 4" xfId="9667" xr:uid="{8DF9E5E4-2841-4248-BACE-B27199222C1B}"/>
    <cellStyle name="Comma 4 2 3 6" xfId="1541" xr:uid="{00000000-0005-0000-0000-0000A9080000}"/>
    <cellStyle name="Comma 4 2 3 6 2" xfId="3771" xr:uid="{00000000-0005-0000-0000-0000AA080000}"/>
    <cellStyle name="Comma 4 2 3 6 2 2" xfId="7993" xr:uid="{00000000-0005-0000-0000-0000AB080000}"/>
    <cellStyle name="Comma 4 2 3 6 2 2 2" xfId="16443" xr:uid="{1ABA3265-4E4E-49DD-88BD-1E7787F0ABCE}"/>
    <cellStyle name="Comma 4 2 3 6 2 3" xfId="12225" xr:uid="{968AB174-4351-489A-8EDD-3B493743284E}"/>
    <cellStyle name="Comma 4 2 3 6 3" xfId="5848" xr:uid="{00000000-0005-0000-0000-0000AC080000}"/>
    <cellStyle name="Comma 4 2 3 6 3 2" xfId="14298" xr:uid="{09325F98-0B7B-407B-A60E-0FBEB57ABE26}"/>
    <cellStyle name="Comma 4 2 3 6 4" xfId="10080" xr:uid="{240DE91C-C07A-460D-A038-8706623BA8F1}"/>
    <cellStyle name="Comma 4 2 3 7" xfId="1955" xr:uid="{00000000-0005-0000-0000-0000AD080000}"/>
    <cellStyle name="Comma 4 2 3 7 2" xfId="4184" xr:uid="{00000000-0005-0000-0000-0000AE080000}"/>
    <cellStyle name="Comma 4 2 3 7 2 2" xfId="8406" xr:uid="{00000000-0005-0000-0000-0000AF080000}"/>
    <cellStyle name="Comma 4 2 3 7 2 2 2" xfId="16856" xr:uid="{08255157-9A14-4DDE-8FC3-9EF60A957D56}"/>
    <cellStyle name="Comma 4 2 3 7 2 3" xfId="12638" xr:uid="{91D67859-9B50-4E1D-BB37-3CAEE6D9310F}"/>
    <cellStyle name="Comma 4 2 3 7 3" xfId="6261" xr:uid="{00000000-0005-0000-0000-0000B0080000}"/>
    <cellStyle name="Comma 4 2 3 7 3 2" xfId="14711" xr:uid="{19945A25-A995-4909-9347-8D5A5AF3F827}"/>
    <cellStyle name="Comma 4 2 3 7 4" xfId="10493" xr:uid="{CA18196C-BFDA-45A6-8FDC-E0F1E62CF9C6}"/>
    <cellStyle name="Comma 4 2 3 8" xfId="2390" xr:uid="{00000000-0005-0000-0000-0000B1080000}"/>
    <cellStyle name="Comma 4 2 3 8 2" xfId="6674" xr:uid="{00000000-0005-0000-0000-0000B2080000}"/>
    <cellStyle name="Comma 4 2 3 8 2 2" xfId="15124" xr:uid="{12ED75B2-9301-4160-860C-A2902E0328F0}"/>
    <cellStyle name="Comma 4 2 3 8 3" xfId="10906" xr:uid="{2392739D-AF13-42AF-8532-7116F2BA163B}"/>
    <cellStyle name="Comma 4 2 3 9" xfId="2373" xr:uid="{00000000-0005-0000-0000-0000B3080000}"/>
    <cellStyle name="Comma 4 2 4" xfId="140" xr:uid="{00000000-0005-0000-0000-0000B4080000}"/>
    <cellStyle name="Comma 4 2 4 10" xfId="4612" xr:uid="{00000000-0005-0000-0000-0000B5080000}"/>
    <cellStyle name="Comma 4 2 4 10 2" xfId="13062" xr:uid="{0588B27C-5DC9-4B07-9F77-B14B878730C9}"/>
    <cellStyle name="Comma 4 2 4 11" xfId="8844" xr:uid="{92EA760B-9091-4B88-8E03-288DC1032DED}"/>
    <cellStyle name="Comma 4 2 4 2" xfId="141" xr:uid="{00000000-0005-0000-0000-0000B6080000}"/>
    <cellStyle name="Comma 4 2 4 2 10" xfId="8845" xr:uid="{7A270C7B-F580-4775-A379-827724AA2E81}"/>
    <cellStyle name="Comma 4 2 4 2 2" xfId="679" xr:uid="{00000000-0005-0000-0000-0000B7080000}"/>
    <cellStyle name="Comma 4 2 4 2 2 2" xfId="2950" xr:uid="{00000000-0005-0000-0000-0000B8080000}"/>
    <cellStyle name="Comma 4 2 4 2 2 2 2" xfId="7172" xr:uid="{00000000-0005-0000-0000-0000B9080000}"/>
    <cellStyle name="Comma 4 2 4 2 2 2 2 2" xfId="15622" xr:uid="{1ECA52CE-B4CE-40BE-A3C8-7A1B5B6B055C}"/>
    <cellStyle name="Comma 4 2 4 2 2 2 3" xfId="11404" xr:uid="{063086E7-7B76-4758-B86D-808AE12BD3BA}"/>
    <cellStyle name="Comma 4 2 4 2 2 3" xfId="5027" xr:uid="{00000000-0005-0000-0000-0000BA080000}"/>
    <cellStyle name="Comma 4 2 4 2 2 3 2" xfId="13477" xr:uid="{A284FAC2-7794-45D9-A546-044F70BFFBEF}"/>
    <cellStyle name="Comma 4 2 4 2 2 4" xfId="9259" xr:uid="{B83ABF75-CA97-4998-B459-6FC455E49D16}"/>
    <cellStyle name="Comma 4 2 4 2 3" xfId="1132" xr:uid="{00000000-0005-0000-0000-0000BB080000}"/>
    <cellStyle name="Comma 4 2 4 2 3 2" xfId="3363" xr:uid="{00000000-0005-0000-0000-0000BC080000}"/>
    <cellStyle name="Comma 4 2 4 2 3 2 2" xfId="7585" xr:uid="{00000000-0005-0000-0000-0000BD080000}"/>
    <cellStyle name="Comma 4 2 4 2 3 2 2 2" xfId="16035" xr:uid="{C3D2A20D-7F67-4294-BDEB-30C6DF154BCE}"/>
    <cellStyle name="Comma 4 2 4 2 3 2 3" xfId="11817" xr:uid="{B1B80FB0-943E-4F5E-8C4A-80E563A8C400}"/>
    <cellStyle name="Comma 4 2 4 2 3 3" xfId="5440" xr:uid="{00000000-0005-0000-0000-0000BE080000}"/>
    <cellStyle name="Comma 4 2 4 2 3 3 2" xfId="13890" xr:uid="{717D53DD-342D-412C-96EA-26C364DB7EBF}"/>
    <cellStyle name="Comma 4 2 4 2 3 4" xfId="9672" xr:uid="{8D435D5D-FE2C-4513-B247-9D9B7D73BB75}"/>
    <cellStyle name="Comma 4 2 4 2 4" xfId="1546" xr:uid="{00000000-0005-0000-0000-0000BF080000}"/>
    <cellStyle name="Comma 4 2 4 2 4 2" xfId="3776" xr:uid="{00000000-0005-0000-0000-0000C0080000}"/>
    <cellStyle name="Comma 4 2 4 2 4 2 2" xfId="7998" xr:uid="{00000000-0005-0000-0000-0000C1080000}"/>
    <cellStyle name="Comma 4 2 4 2 4 2 2 2" xfId="16448" xr:uid="{BB0EDA34-DFFE-4281-8559-A438CFFA4E90}"/>
    <cellStyle name="Comma 4 2 4 2 4 2 3" xfId="12230" xr:uid="{6DCED9CB-EE46-4B72-BCE1-86D40B6A81FD}"/>
    <cellStyle name="Comma 4 2 4 2 4 3" xfId="5853" xr:uid="{00000000-0005-0000-0000-0000C2080000}"/>
    <cellStyle name="Comma 4 2 4 2 4 3 2" xfId="14303" xr:uid="{E549678F-FE2B-408B-9082-89C35EAFD250}"/>
    <cellStyle name="Comma 4 2 4 2 4 4" xfId="10085" xr:uid="{064213D2-97A9-4E69-8C4D-B1E50AD39F12}"/>
    <cellStyle name="Comma 4 2 4 2 5" xfId="1960" xr:uid="{00000000-0005-0000-0000-0000C3080000}"/>
    <cellStyle name="Comma 4 2 4 2 5 2" xfId="4189" xr:uid="{00000000-0005-0000-0000-0000C4080000}"/>
    <cellStyle name="Comma 4 2 4 2 5 2 2" xfId="8411" xr:uid="{00000000-0005-0000-0000-0000C5080000}"/>
    <cellStyle name="Comma 4 2 4 2 5 2 2 2" xfId="16861" xr:uid="{4110C41A-5CAA-4270-BB46-4BFB7812BB54}"/>
    <cellStyle name="Comma 4 2 4 2 5 2 3" xfId="12643" xr:uid="{4B18175B-6EF9-4268-95F2-8A971A1E93EA}"/>
    <cellStyle name="Comma 4 2 4 2 5 3" xfId="6266" xr:uid="{00000000-0005-0000-0000-0000C6080000}"/>
    <cellStyle name="Comma 4 2 4 2 5 3 2" xfId="14716" xr:uid="{97F815D4-95E8-4DFA-A547-078BB6ADB408}"/>
    <cellStyle name="Comma 4 2 4 2 5 4" xfId="10498" xr:uid="{54DD093B-7EDC-429F-BFD7-05E7ED863D77}"/>
    <cellStyle name="Comma 4 2 4 2 6" xfId="2395" xr:uid="{00000000-0005-0000-0000-0000C7080000}"/>
    <cellStyle name="Comma 4 2 4 2 6 2" xfId="6679" xr:uid="{00000000-0005-0000-0000-0000C8080000}"/>
    <cellStyle name="Comma 4 2 4 2 6 2 2" xfId="15129" xr:uid="{5EF85730-9431-4124-B8F9-F5FB2F3A78D0}"/>
    <cellStyle name="Comma 4 2 4 2 6 3" xfId="10911" xr:uid="{A3EDFD6D-3EAD-4F88-8933-2878DADA972D}"/>
    <cellStyle name="Comma 4 2 4 2 7" xfId="2368" xr:uid="{00000000-0005-0000-0000-0000C9080000}"/>
    <cellStyle name="Comma 4 2 4 2 8" xfId="2773" xr:uid="{00000000-0005-0000-0000-0000CA080000}"/>
    <cellStyle name="Comma 4 2 4 2 8 2" xfId="6996" xr:uid="{00000000-0005-0000-0000-0000CB080000}"/>
    <cellStyle name="Comma 4 2 4 2 8 2 2" xfId="15446" xr:uid="{AF9CB2E6-D26C-412A-9E8E-770DF8EEDADB}"/>
    <cellStyle name="Comma 4 2 4 2 8 3" xfId="11228" xr:uid="{DC7B8E6A-AB61-4B9B-8026-94D85703D8BC}"/>
    <cellStyle name="Comma 4 2 4 2 9" xfId="4613" xr:uid="{00000000-0005-0000-0000-0000CC080000}"/>
    <cellStyle name="Comma 4 2 4 2 9 2" xfId="13063" xr:uid="{40C6CC65-76D7-40F5-B47D-55B58D5E393C}"/>
    <cellStyle name="Comma 4 2 4 3" xfId="678" xr:uid="{00000000-0005-0000-0000-0000CD080000}"/>
    <cellStyle name="Comma 4 2 4 3 2" xfId="2949" xr:uid="{00000000-0005-0000-0000-0000CE080000}"/>
    <cellStyle name="Comma 4 2 4 3 2 2" xfId="7171" xr:uid="{00000000-0005-0000-0000-0000CF080000}"/>
    <cellStyle name="Comma 4 2 4 3 2 2 2" xfId="15621" xr:uid="{278DECFE-81DF-4A78-AAAA-35EF5466819C}"/>
    <cellStyle name="Comma 4 2 4 3 2 3" xfId="11403" xr:uid="{37BD1D65-26FF-46C5-809E-3E8B0DF25D84}"/>
    <cellStyle name="Comma 4 2 4 3 3" xfId="5026" xr:uid="{00000000-0005-0000-0000-0000D0080000}"/>
    <cellStyle name="Comma 4 2 4 3 3 2" xfId="13476" xr:uid="{C5F0D8BE-4BCE-4A41-A3F4-3CEB7F0E6FAD}"/>
    <cellStyle name="Comma 4 2 4 3 4" xfId="9258" xr:uid="{4D71FB13-5F1A-4620-B73C-FC214099E580}"/>
    <cellStyle name="Comma 4 2 4 4" xfId="1131" xr:uid="{00000000-0005-0000-0000-0000D1080000}"/>
    <cellStyle name="Comma 4 2 4 4 2" xfId="3362" xr:uid="{00000000-0005-0000-0000-0000D2080000}"/>
    <cellStyle name="Comma 4 2 4 4 2 2" xfId="7584" xr:uid="{00000000-0005-0000-0000-0000D3080000}"/>
    <cellStyle name="Comma 4 2 4 4 2 2 2" xfId="16034" xr:uid="{A6B07098-639F-4055-8B0F-17BCCC350301}"/>
    <cellStyle name="Comma 4 2 4 4 2 3" xfId="11816" xr:uid="{2A47597D-18B6-4624-9502-CA6B67BB6530}"/>
    <cellStyle name="Comma 4 2 4 4 3" xfId="5439" xr:uid="{00000000-0005-0000-0000-0000D4080000}"/>
    <cellStyle name="Comma 4 2 4 4 3 2" xfId="13889" xr:uid="{EBDAE43A-39A6-4FDA-93D9-E85498C0CB3C}"/>
    <cellStyle name="Comma 4 2 4 4 4" xfId="9671" xr:uid="{E0B1B727-0D4F-4308-B0DB-C067564E7BDE}"/>
    <cellStyle name="Comma 4 2 4 5" xfId="1545" xr:uid="{00000000-0005-0000-0000-0000D5080000}"/>
    <cellStyle name="Comma 4 2 4 5 2" xfId="3775" xr:uid="{00000000-0005-0000-0000-0000D6080000}"/>
    <cellStyle name="Comma 4 2 4 5 2 2" xfId="7997" xr:uid="{00000000-0005-0000-0000-0000D7080000}"/>
    <cellStyle name="Comma 4 2 4 5 2 2 2" xfId="16447" xr:uid="{4F7EB0A0-A3B8-4D53-8CD3-87319166FE1E}"/>
    <cellStyle name="Comma 4 2 4 5 2 3" xfId="12229" xr:uid="{7EF0C29B-47EF-4394-AD82-E87BA2686B26}"/>
    <cellStyle name="Comma 4 2 4 5 3" xfId="5852" xr:uid="{00000000-0005-0000-0000-0000D8080000}"/>
    <cellStyle name="Comma 4 2 4 5 3 2" xfId="14302" xr:uid="{68EA87A6-D71B-4656-BF90-B78CB2A6963D}"/>
    <cellStyle name="Comma 4 2 4 5 4" xfId="10084" xr:uid="{F3574E1C-D3B1-4E8D-9AC0-8EA8EDF7A11E}"/>
    <cellStyle name="Comma 4 2 4 6" xfId="1959" xr:uid="{00000000-0005-0000-0000-0000D9080000}"/>
    <cellStyle name="Comma 4 2 4 6 2" xfId="4188" xr:uid="{00000000-0005-0000-0000-0000DA080000}"/>
    <cellStyle name="Comma 4 2 4 6 2 2" xfId="8410" xr:uid="{00000000-0005-0000-0000-0000DB080000}"/>
    <cellStyle name="Comma 4 2 4 6 2 2 2" xfId="16860" xr:uid="{60F037C9-A765-4C27-A53D-314A13EF2497}"/>
    <cellStyle name="Comma 4 2 4 6 2 3" xfId="12642" xr:uid="{9F22EDD6-78CD-426F-B130-C4A07F45F11A}"/>
    <cellStyle name="Comma 4 2 4 6 3" xfId="6265" xr:uid="{00000000-0005-0000-0000-0000DC080000}"/>
    <cellStyle name="Comma 4 2 4 6 3 2" xfId="14715" xr:uid="{56546B6E-B12C-4597-9BD5-3CBF11B5D527}"/>
    <cellStyle name="Comma 4 2 4 6 4" xfId="10497" xr:uid="{C6EB23B1-5039-49DA-838A-5B03970DF6FE}"/>
    <cellStyle name="Comma 4 2 4 7" xfId="2394" xr:uid="{00000000-0005-0000-0000-0000DD080000}"/>
    <cellStyle name="Comma 4 2 4 7 2" xfId="6678" xr:uid="{00000000-0005-0000-0000-0000DE080000}"/>
    <cellStyle name="Comma 4 2 4 7 2 2" xfId="15128" xr:uid="{4B97822D-24BB-43C2-8AAD-8826AC8B1BAF}"/>
    <cellStyle name="Comma 4 2 4 7 3" xfId="10910" xr:uid="{F7DCF9E6-DD16-4FD7-9B85-363811828E61}"/>
    <cellStyle name="Comma 4 2 4 8" xfId="2369" xr:uid="{00000000-0005-0000-0000-0000DF080000}"/>
    <cellStyle name="Comma 4 2 4 9" xfId="2772" xr:uid="{00000000-0005-0000-0000-0000E0080000}"/>
    <cellStyle name="Comma 4 2 4 9 2" xfId="6995" xr:uid="{00000000-0005-0000-0000-0000E1080000}"/>
    <cellStyle name="Comma 4 2 4 9 2 2" xfId="15445" xr:uid="{AF0B87EE-F8D3-40DD-8362-CB46A60DEF52}"/>
    <cellStyle name="Comma 4 2 4 9 3" xfId="11227" xr:uid="{4F88ABD6-EDE2-49F6-A2B7-F69998816489}"/>
    <cellStyle name="Comma 4 2 5" xfId="142" xr:uid="{00000000-0005-0000-0000-0000E2080000}"/>
    <cellStyle name="Comma 4 2 5 10" xfId="8846" xr:uid="{32F3B3D2-E357-44E2-8FA5-F8CD2654AA96}"/>
    <cellStyle name="Comma 4 2 5 2" xfId="680" xr:uid="{00000000-0005-0000-0000-0000E3080000}"/>
    <cellStyle name="Comma 4 2 5 2 2" xfId="2951" xr:uid="{00000000-0005-0000-0000-0000E4080000}"/>
    <cellStyle name="Comma 4 2 5 2 2 2" xfId="7173" xr:uid="{00000000-0005-0000-0000-0000E5080000}"/>
    <cellStyle name="Comma 4 2 5 2 2 2 2" xfId="15623" xr:uid="{79C4E248-58F3-41AF-A535-6B60A54DCD5C}"/>
    <cellStyle name="Comma 4 2 5 2 2 3" xfId="11405" xr:uid="{1A00C611-35A5-4CB7-996D-57E321766368}"/>
    <cellStyle name="Comma 4 2 5 2 3" xfId="5028" xr:uid="{00000000-0005-0000-0000-0000E6080000}"/>
    <cellStyle name="Comma 4 2 5 2 3 2" xfId="13478" xr:uid="{931B9466-F1EB-4E0C-9D23-A18A0434B7A6}"/>
    <cellStyle name="Comma 4 2 5 2 4" xfId="9260" xr:uid="{4BF32505-31E8-4C8F-A87B-E74612CE04AD}"/>
    <cellStyle name="Comma 4 2 5 3" xfId="1133" xr:uid="{00000000-0005-0000-0000-0000E7080000}"/>
    <cellStyle name="Comma 4 2 5 3 2" xfId="3364" xr:uid="{00000000-0005-0000-0000-0000E8080000}"/>
    <cellStyle name="Comma 4 2 5 3 2 2" xfId="7586" xr:uid="{00000000-0005-0000-0000-0000E9080000}"/>
    <cellStyle name="Comma 4 2 5 3 2 2 2" xfId="16036" xr:uid="{3848E9EC-F236-484A-81C7-4819CE24E951}"/>
    <cellStyle name="Comma 4 2 5 3 2 3" xfId="11818" xr:uid="{37296669-16DD-4CC1-B628-9466DD187368}"/>
    <cellStyle name="Comma 4 2 5 3 3" xfId="5441" xr:uid="{00000000-0005-0000-0000-0000EA080000}"/>
    <cellStyle name="Comma 4 2 5 3 3 2" xfId="13891" xr:uid="{3F6C2D4F-5A1F-492D-81B8-690355810B41}"/>
    <cellStyle name="Comma 4 2 5 3 4" xfId="9673" xr:uid="{78ECAAEE-6DCD-467F-AB19-4482BA365365}"/>
    <cellStyle name="Comma 4 2 5 4" xfId="1547" xr:uid="{00000000-0005-0000-0000-0000EB080000}"/>
    <cellStyle name="Comma 4 2 5 4 2" xfId="3777" xr:uid="{00000000-0005-0000-0000-0000EC080000}"/>
    <cellStyle name="Comma 4 2 5 4 2 2" xfId="7999" xr:uid="{00000000-0005-0000-0000-0000ED080000}"/>
    <cellStyle name="Comma 4 2 5 4 2 2 2" xfId="16449" xr:uid="{70F38E19-BDE9-46FF-ACB1-4A6123F13A96}"/>
    <cellStyle name="Comma 4 2 5 4 2 3" xfId="12231" xr:uid="{9E6FCD1F-F34F-4767-82B0-B19A195A7671}"/>
    <cellStyle name="Comma 4 2 5 4 3" xfId="5854" xr:uid="{00000000-0005-0000-0000-0000EE080000}"/>
    <cellStyle name="Comma 4 2 5 4 3 2" xfId="14304" xr:uid="{745AB463-F061-4270-9D9F-A6EF1350339D}"/>
    <cellStyle name="Comma 4 2 5 4 4" xfId="10086" xr:uid="{684F2563-B88A-4C1C-9D54-D8D720163AFA}"/>
    <cellStyle name="Comma 4 2 5 5" xfId="1961" xr:uid="{00000000-0005-0000-0000-0000EF080000}"/>
    <cellStyle name="Comma 4 2 5 5 2" xfId="4190" xr:uid="{00000000-0005-0000-0000-0000F0080000}"/>
    <cellStyle name="Comma 4 2 5 5 2 2" xfId="8412" xr:uid="{00000000-0005-0000-0000-0000F1080000}"/>
    <cellStyle name="Comma 4 2 5 5 2 2 2" xfId="16862" xr:uid="{8D4E4965-B425-4F4A-844B-680BA0DDAB41}"/>
    <cellStyle name="Comma 4 2 5 5 2 3" xfId="12644" xr:uid="{39205E9C-2174-448A-8A5F-782045AF50FC}"/>
    <cellStyle name="Comma 4 2 5 5 3" xfId="6267" xr:uid="{00000000-0005-0000-0000-0000F2080000}"/>
    <cellStyle name="Comma 4 2 5 5 3 2" xfId="14717" xr:uid="{D48FB774-C289-45D9-9D5D-70D282E262B1}"/>
    <cellStyle name="Comma 4 2 5 5 4" xfId="10499" xr:uid="{03823215-A441-462D-8483-ADB6C992CE35}"/>
    <cellStyle name="Comma 4 2 5 6" xfId="2396" xr:uid="{00000000-0005-0000-0000-0000F3080000}"/>
    <cellStyle name="Comma 4 2 5 6 2" xfId="6680" xr:uid="{00000000-0005-0000-0000-0000F4080000}"/>
    <cellStyle name="Comma 4 2 5 6 2 2" xfId="15130" xr:uid="{F1546ED9-C88F-40F2-A672-39A16039C907}"/>
    <cellStyle name="Comma 4 2 5 6 3" xfId="10912" xr:uid="{9DF1F958-7274-4837-9288-E8B02B34B893}"/>
    <cellStyle name="Comma 4 2 5 7" xfId="2367" xr:uid="{00000000-0005-0000-0000-0000F5080000}"/>
    <cellStyle name="Comma 4 2 5 8" xfId="2774" xr:uid="{00000000-0005-0000-0000-0000F6080000}"/>
    <cellStyle name="Comma 4 2 5 8 2" xfId="6997" xr:uid="{00000000-0005-0000-0000-0000F7080000}"/>
    <cellStyle name="Comma 4 2 5 8 2 2" xfId="15447" xr:uid="{F7774E33-5B7C-4A6C-817F-3B4A7ABF34B7}"/>
    <cellStyle name="Comma 4 2 5 8 3" xfId="11229" xr:uid="{A6C7ED83-4A82-410F-81EA-5170F95F4A28}"/>
    <cellStyle name="Comma 4 2 5 9" xfId="4614" xr:uid="{00000000-0005-0000-0000-0000F8080000}"/>
    <cellStyle name="Comma 4 2 5 9 2" xfId="13064" xr:uid="{895D2461-2D2D-4890-9E1C-905ABB049E66}"/>
    <cellStyle name="Comma 4 2 6" xfId="143" xr:uid="{00000000-0005-0000-0000-0000F9080000}"/>
    <cellStyle name="Comma 4 2 6 10" xfId="8847" xr:uid="{E534022A-2413-43F6-AA4C-C22D46117DC1}"/>
    <cellStyle name="Comma 4 2 6 2" xfId="681" xr:uid="{00000000-0005-0000-0000-0000FA080000}"/>
    <cellStyle name="Comma 4 2 6 2 2" xfId="2952" xr:uid="{00000000-0005-0000-0000-0000FB080000}"/>
    <cellStyle name="Comma 4 2 6 2 2 2" xfId="7174" xr:uid="{00000000-0005-0000-0000-0000FC080000}"/>
    <cellStyle name="Comma 4 2 6 2 2 2 2" xfId="15624" xr:uid="{77C83B23-7669-47B9-B1F0-098601F5BC5D}"/>
    <cellStyle name="Comma 4 2 6 2 2 3" xfId="11406" xr:uid="{08FD76AD-430A-439A-A868-0BBEA82E42BE}"/>
    <cellStyle name="Comma 4 2 6 2 3" xfId="5029" xr:uid="{00000000-0005-0000-0000-0000FD080000}"/>
    <cellStyle name="Comma 4 2 6 2 3 2" xfId="13479" xr:uid="{A5D99C04-910C-4ABF-A8BE-52570B65542C}"/>
    <cellStyle name="Comma 4 2 6 2 4" xfId="9261" xr:uid="{AF42FA4C-2EF6-4B23-BD69-0084740B5350}"/>
    <cellStyle name="Comma 4 2 6 3" xfId="1134" xr:uid="{00000000-0005-0000-0000-0000FE080000}"/>
    <cellStyle name="Comma 4 2 6 3 2" xfId="3365" xr:uid="{00000000-0005-0000-0000-0000FF080000}"/>
    <cellStyle name="Comma 4 2 6 3 2 2" xfId="7587" xr:uid="{00000000-0005-0000-0000-000000090000}"/>
    <cellStyle name="Comma 4 2 6 3 2 2 2" xfId="16037" xr:uid="{EF854193-F072-4485-90DA-0C405A9EDDFD}"/>
    <cellStyle name="Comma 4 2 6 3 2 3" xfId="11819" xr:uid="{2390D49A-1E20-4B72-95CA-A2AF3EB5D7F0}"/>
    <cellStyle name="Comma 4 2 6 3 3" xfId="5442" xr:uid="{00000000-0005-0000-0000-000001090000}"/>
    <cellStyle name="Comma 4 2 6 3 3 2" xfId="13892" xr:uid="{B570A7C6-C153-46B2-8966-66A2D71C7E9A}"/>
    <cellStyle name="Comma 4 2 6 3 4" xfId="9674" xr:uid="{BBEF9B4B-C6CB-4E75-9448-E1E91436C542}"/>
    <cellStyle name="Comma 4 2 6 4" xfId="1548" xr:uid="{00000000-0005-0000-0000-000002090000}"/>
    <cellStyle name="Comma 4 2 6 4 2" xfId="3778" xr:uid="{00000000-0005-0000-0000-000003090000}"/>
    <cellStyle name="Comma 4 2 6 4 2 2" xfId="8000" xr:uid="{00000000-0005-0000-0000-000004090000}"/>
    <cellStyle name="Comma 4 2 6 4 2 2 2" xfId="16450" xr:uid="{D7885D21-B24D-4003-B2D8-D7CD246F7703}"/>
    <cellStyle name="Comma 4 2 6 4 2 3" xfId="12232" xr:uid="{02FFF58A-1B39-4A95-B571-DFF72AF96081}"/>
    <cellStyle name="Comma 4 2 6 4 3" xfId="5855" xr:uid="{00000000-0005-0000-0000-000005090000}"/>
    <cellStyle name="Comma 4 2 6 4 3 2" xfId="14305" xr:uid="{D240BE63-C003-4D9F-AB22-A4C2C09B28C4}"/>
    <cellStyle name="Comma 4 2 6 4 4" xfId="10087" xr:uid="{B489EE66-F861-4F5E-BD90-CBF1C8A15092}"/>
    <cellStyle name="Comma 4 2 6 5" xfId="1962" xr:uid="{00000000-0005-0000-0000-000006090000}"/>
    <cellStyle name="Comma 4 2 6 5 2" xfId="4191" xr:uid="{00000000-0005-0000-0000-000007090000}"/>
    <cellStyle name="Comma 4 2 6 5 2 2" xfId="8413" xr:uid="{00000000-0005-0000-0000-000008090000}"/>
    <cellStyle name="Comma 4 2 6 5 2 2 2" xfId="16863" xr:uid="{ED1AEF4C-C062-45FC-B548-37E987033E96}"/>
    <cellStyle name="Comma 4 2 6 5 2 3" xfId="12645" xr:uid="{CEF8A0D9-D68A-4B7D-A1C5-54AAD0F4AD39}"/>
    <cellStyle name="Comma 4 2 6 5 3" xfId="6268" xr:uid="{00000000-0005-0000-0000-000009090000}"/>
    <cellStyle name="Comma 4 2 6 5 3 2" xfId="14718" xr:uid="{E1CA7FCE-0836-4D41-A24F-97C2F32547AD}"/>
    <cellStyle name="Comma 4 2 6 5 4" xfId="10500" xr:uid="{6F1A3719-6633-4514-B144-6621B27ED935}"/>
    <cellStyle name="Comma 4 2 6 6" xfId="2397" xr:uid="{00000000-0005-0000-0000-00000A090000}"/>
    <cellStyle name="Comma 4 2 6 6 2" xfId="6681" xr:uid="{00000000-0005-0000-0000-00000B090000}"/>
    <cellStyle name="Comma 4 2 6 6 2 2" xfId="15131" xr:uid="{BAC3194B-333A-41BC-91C3-19FAB7021E44}"/>
    <cellStyle name="Comma 4 2 6 6 3" xfId="10913" xr:uid="{0E99F1FC-E179-4F51-B48F-C16933770E15}"/>
    <cellStyle name="Comma 4 2 6 7" xfId="2366" xr:uid="{00000000-0005-0000-0000-00000C090000}"/>
    <cellStyle name="Comma 4 2 6 8" xfId="2775" xr:uid="{00000000-0005-0000-0000-00000D090000}"/>
    <cellStyle name="Comma 4 2 6 8 2" xfId="6998" xr:uid="{00000000-0005-0000-0000-00000E090000}"/>
    <cellStyle name="Comma 4 2 6 8 2 2" xfId="15448" xr:uid="{84E20C72-59F5-45EE-B207-8B1455838BC5}"/>
    <cellStyle name="Comma 4 2 6 8 3" xfId="11230" xr:uid="{6585592D-4101-4497-8A1E-1C74EAB8A2F1}"/>
    <cellStyle name="Comma 4 2 6 9" xfId="4615" xr:uid="{00000000-0005-0000-0000-00000F090000}"/>
    <cellStyle name="Comma 4 2 6 9 2" xfId="13065" xr:uid="{F0F6CD3C-31DA-435B-857B-B9E4ABF64276}"/>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0 2 2" xfId="15449" xr:uid="{2BA541D1-920C-46E6-B926-D8BF1CC08241}"/>
    <cellStyle name="Comma 4 3 2 10 3" xfId="11231" xr:uid="{47D7CBBF-1F87-49D1-8AE2-92AED3A8F1F2}"/>
    <cellStyle name="Comma 4 3 2 11" xfId="4616" xr:uid="{00000000-0005-0000-0000-000014090000}"/>
    <cellStyle name="Comma 4 3 2 11 2" xfId="13066" xr:uid="{6E929031-94D3-4B50-85D3-C5F97BE21C01}"/>
    <cellStyle name="Comma 4 3 2 12" xfId="8848" xr:uid="{2F0018FF-9D93-4E52-819B-9D65BED3DCE2}"/>
    <cellStyle name="Comma 4 3 2 2" xfId="146" xr:uid="{00000000-0005-0000-0000-000015090000}"/>
    <cellStyle name="Comma 4 3 2 2 10" xfId="4617" xr:uid="{00000000-0005-0000-0000-000016090000}"/>
    <cellStyle name="Comma 4 3 2 2 10 2" xfId="13067" xr:uid="{C9CD91EE-C5F3-490B-BBC2-53F8A813C55D}"/>
    <cellStyle name="Comma 4 3 2 2 11" xfId="8849" xr:uid="{67F7D439-39B0-4EE1-B875-65C60DAD5B63}"/>
    <cellStyle name="Comma 4 3 2 2 2" xfId="147" xr:uid="{00000000-0005-0000-0000-000017090000}"/>
    <cellStyle name="Comma 4 3 2 2 2 10" xfId="8850" xr:uid="{2D3D6333-9690-4289-8392-E6DEA41EC8BC}"/>
    <cellStyle name="Comma 4 3 2 2 2 2" xfId="684" xr:uid="{00000000-0005-0000-0000-000018090000}"/>
    <cellStyle name="Comma 4 3 2 2 2 2 2" xfId="2955" xr:uid="{00000000-0005-0000-0000-000019090000}"/>
    <cellStyle name="Comma 4 3 2 2 2 2 2 2" xfId="7177" xr:uid="{00000000-0005-0000-0000-00001A090000}"/>
    <cellStyle name="Comma 4 3 2 2 2 2 2 2 2" xfId="15627" xr:uid="{0F825065-689A-4624-A947-F5978553328C}"/>
    <cellStyle name="Comma 4 3 2 2 2 2 2 3" xfId="11409" xr:uid="{EE0C1E38-0060-4AB1-99DE-6936FE76268A}"/>
    <cellStyle name="Comma 4 3 2 2 2 2 3" xfId="5032" xr:uid="{00000000-0005-0000-0000-00001B090000}"/>
    <cellStyle name="Comma 4 3 2 2 2 2 3 2" xfId="13482" xr:uid="{61C2CE1E-221C-4988-A1EE-BCD3CC1070C4}"/>
    <cellStyle name="Comma 4 3 2 2 2 2 4" xfId="9264" xr:uid="{86849FDE-7CA4-47EF-98B6-33BC1E07198A}"/>
    <cellStyle name="Comma 4 3 2 2 2 3" xfId="1137" xr:uid="{00000000-0005-0000-0000-00001C090000}"/>
    <cellStyle name="Comma 4 3 2 2 2 3 2" xfId="3368" xr:uid="{00000000-0005-0000-0000-00001D090000}"/>
    <cellStyle name="Comma 4 3 2 2 2 3 2 2" xfId="7590" xr:uid="{00000000-0005-0000-0000-00001E090000}"/>
    <cellStyle name="Comma 4 3 2 2 2 3 2 2 2" xfId="16040" xr:uid="{AE8535B5-594C-4395-81C8-345C4C626A72}"/>
    <cellStyle name="Comma 4 3 2 2 2 3 2 3" xfId="11822" xr:uid="{5FE2F61C-7DFF-4B07-9678-D1CFB4EE7063}"/>
    <cellStyle name="Comma 4 3 2 2 2 3 3" xfId="5445" xr:uid="{00000000-0005-0000-0000-00001F090000}"/>
    <cellStyle name="Comma 4 3 2 2 2 3 3 2" xfId="13895" xr:uid="{12AFB831-1239-4E24-A597-596CFC40CB7E}"/>
    <cellStyle name="Comma 4 3 2 2 2 3 4" xfId="9677" xr:uid="{CA8B705D-650B-4D33-B1EF-FC4AD6215CC4}"/>
    <cellStyle name="Comma 4 3 2 2 2 4" xfId="1551" xr:uid="{00000000-0005-0000-0000-000020090000}"/>
    <cellStyle name="Comma 4 3 2 2 2 4 2" xfId="3781" xr:uid="{00000000-0005-0000-0000-000021090000}"/>
    <cellStyle name="Comma 4 3 2 2 2 4 2 2" xfId="8003" xr:uid="{00000000-0005-0000-0000-000022090000}"/>
    <cellStyle name="Comma 4 3 2 2 2 4 2 2 2" xfId="16453" xr:uid="{7FC539EF-1698-46B3-BDBC-BD51B89B126B}"/>
    <cellStyle name="Comma 4 3 2 2 2 4 2 3" xfId="12235" xr:uid="{71DB7B2E-922C-426E-B363-00A753EC3BC8}"/>
    <cellStyle name="Comma 4 3 2 2 2 4 3" xfId="5858" xr:uid="{00000000-0005-0000-0000-000023090000}"/>
    <cellStyle name="Comma 4 3 2 2 2 4 3 2" xfId="14308" xr:uid="{25EB6753-E035-497C-AB68-EB4C9F27D0FD}"/>
    <cellStyle name="Comma 4 3 2 2 2 4 4" xfId="10090" xr:uid="{2418AC05-E0BE-4EA2-975B-3794C029752E}"/>
    <cellStyle name="Comma 4 3 2 2 2 5" xfId="1965" xr:uid="{00000000-0005-0000-0000-000024090000}"/>
    <cellStyle name="Comma 4 3 2 2 2 5 2" xfId="4194" xr:uid="{00000000-0005-0000-0000-000025090000}"/>
    <cellStyle name="Comma 4 3 2 2 2 5 2 2" xfId="8416" xr:uid="{00000000-0005-0000-0000-000026090000}"/>
    <cellStyle name="Comma 4 3 2 2 2 5 2 2 2" xfId="16866" xr:uid="{F5209DFB-CE17-4BBE-AD1E-448D88A2A4C7}"/>
    <cellStyle name="Comma 4 3 2 2 2 5 2 3" xfId="12648" xr:uid="{F406B543-9D26-42E4-A244-B09C08D1DDD3}"/>
    <cellStyle name="Comma 4 3 2 2 2 5 3" xfId="6271" xr:uid="{00000000-0005-0000-0000-000027090000}"/>
    <cellStyle name="Comma 4 3 2 2 2 5 3 2" xfId="14721" xr:uid="{D6EC9758-CA58-4EA4-81DF-58D625288891}"/>
    <cellStyle name="Comma 4 3 2 2 2 5 4" xfId="10503" xr:uid="{9332FC52-43CC-48B6-A3EF-1D5A4AA38E7E}"/>
    <cellStyle name="Comma 4 3 2 2 2 6" xfId="2400" xr:uid="{00000000-0005-0000-0000-000028090000}"/>
    <cellStyle name="Comma 4 3 2 2 2 6 2" xfId="6684" xr:uid="{00000000-0005-0000-0000-000029090000}"/>
    <cellStyle name="Comma 4 3 2 2 2 6 2 2" xfId="15134" xr:uid="{C182DEA3-F87E-4372-8152-18572DE69942}"/>
    <cellStyle name="Comma 4 3 2 2 2 6 3" xfId="10916" xr:uid="{77DC52BB-0514-4782-9599-04FD2DCD8519}"/>
    <cellStyle name="Comma 4 3 2 2 2 7" xfId="2363" xr:uid="{00000000-0005-0000-0000-00002A090000}"/>
    <cellStyle name="Comma 4 3 2 2 2 8" xfId="2778" xr:uid="{00000000-0005-0000-0000-00002B090000}"/>
    <cellStyle name="Comma 4 3 2 2 2 8 2" xfId="7001" xr:uid="{00000000-0005-0000-0000-00002C090000}"/>
    <cellStyle name="Comma 4 3 2 2 2 8 2 2" xfId="15451" xr:uid="{67EE80D0-16C0-4C53-BA3B-A5C87F2AC278}"/>
    <cellStyle name="Comma 4 3 2 2 2 8 3" xfId="11233" xr:uid="{84024179-14AA-466C-957E-696C8B3B6E69}"/>
    <cellStyle name="Comma 4 3 2 2 2 9" xfId="4618" xr:uid="{00000000-0005-0000-0000-00002D090000}"/>
    <cellStyle name="Comma 4 3 2 2 2 9 2" xfId="13068" xr:uid="{9352B4DE-1EEE-4690-9D76-411813ABBCD2}"/>
    <cellStyle name="Comma 4 3 2 2 3" xfId="683" xr:uid="{00000000-0005-0000-0000-00002E090000}"/>
    <cellStyle name="Comma 4 3 2 2 3 2" xfId="2954" xr:uid="{00000000-0005-0000-0000-00002F090000}"/>
    <cellStyle name="Comma 4 3 2 2 3 2 2" xfId="7176" xr:uid="{00000000-0005-0000-0000-000030090000}"/>
    <cellStyle name="Comma 4 3 2 2 3 2 2 2" xfId="15626" xr:uid="{788E6931-0578-4D16-83ED-823D2DAE7F35}"/>
    <cellStyle name="Comma 4 3 2 2 3 2 3" xfId="11408" xr:uid="{3DAD8CEB-BC26-4B43-9C0A-8EA6E0ECC007}"/>
    <cellStyle name="Comma 4 3 2 2 3 3" xfId="5031" xr:uid="{00000000-0005-0000-0000-000031090000}"/>
    <cellStyle name="Comma 4 3 2 2 3 3 2" xfId="13481" xr:uid="{754D02B9-8F2D-4D00-B9D3-089A1E78FE05}"/>
    <cellStyle name="Comma 4 3 2 2 3 4" xfId="9263" xr:uid="{214A34FF-A98B-433B-A518-876BA2A328B3}"/>
    <cellStyle name="Comma 4 3 2 2 4" xfId="1136" xr:uid="{00000000-0005-0000-0000-000032090000}"/>
    <cellStyle name="Comma 4 3 2 2 4 2" xfId="3367" xr:uid="{00000000-0005-0000-0000-000033090000}"/>
    <cellStyle name="Comma 4 3 2 2 4 2 2" xfId="7589" xr:uid="{00000000-0005-0000-0000-000034090000}"/>
    <cellStyle name="Comma 4 3 2 2 4 2 2 2" xfId="16039" xr:uid="{19F7BBF6-9619-488F-9031-ED0CC6AAC414}"/>
    <cellStyle name="Comma 4 3 2 2 4 2 3" xfId="11821" xr:uid="{0978451A-A3E6-4D76-B464-902E27BF22B3}"/>
    <cellStyle name="Comma 4 3 2 2 4 3" xfId="5444" xr:uid="{00000000-0005-0000-0000-000035090000}"/>
    <cellStyle name="Comma 4 3 2 2 4 3 2" xfId="13894" xr:uid="{063618C6-EE5E-4CF2-BFCB-75928B79F37F}"/>
    <cellStyle name="Comma 4 3 2 2 4 4" xfId="9676" xr:uid="{A5E3359F-542D-4D8F-95D6-EFEE6922B746}"/>
    <cellStyle name="Comma 4 3 2 2 5" xfId="1550" xr:uid="{00000000-0005-0000-0000-000036090000}"/>
    <cellStyle name="Comma 4 3 2 2 5 2" xfId="3780" xr:uid="{00000000-0005-0000-0000-000037090000}"/>
    <cellStyle name="Comma 4 3 2 2 5 2 2" xfId="8002" xr:uid="{00000000-0005-0000-0000-000038090000}"/>
    <cellStyle name="Comma 4 3 2 2 5 2 2 2" xfId="16452" xr:uid="{2D9D7A1D-872F-4189-B003-0AED43620A96}"/>
    <cellStyle name="Comma 4 3 2 2 5 2 3" xfId="12234" xr:uid="{8EF164F1-7F16-4B61-BF4F-B544BEBA4FE1}"/>
    <cellStyle name="Comma 4 3 2 2 5 3" xfId="5857" xr:uid="{00000000-0005-0000-0000-000039090000}"/>
    <cellStyle name="Comma 4 3 2 2 5 3 2" xfId="14307" xr:uid="{0411722E-494F-4BCF-BF62-CEA99BAF40D6}"/>
    <cellStyle name="Comma 4 3 2 2 5 4" xfId="10089" xr:uid="{DBE782C8-78BA-4AAE-A2BB-6BE3CC2A0539}"/>
    <cellStyle name="Comma 4 3 2 2 6" xfId="1964" xr:uid="{00000000-0005-0000-0000-00003A090000}"/>
    <cellStyle name="Comma 4 3 2 2 6 2" xfId="4193" xr:uid="{00000000-0005-0000-0000-00003B090000}"/>
    <cellStyle name="Comma 4 3 2 2 6 2 2" xfId="8415" xr:uid="{00000000-0005-0000-0000-00003C090000}"/>
    <cellStyle name="Comma 4 3 2 2 6 2 2 2" xfId="16865" xr:uid="{2EBD3493-F5C2-488E-BBB6-A2B166273EF9}"/>
    <cellStyle name="Comma 4 3 2 2 6 2 3" xfId="12647" xr:uid="{969FDE0E-C1B1-49F6-AF4D-CA80D6068253}"/>
    <cellStyle name="Comma 4 3 2 2 6 3" xfId="6270" xr:uid="{00000000-0005-0000-0000-00003D090000}"/>
    <cellStyle name="Comma 4 3 2 2 6 3 2" xfId="14720" xr:uid="{0FFCA4EA-ECAE-4329-B8B8-DAB96D13E4E4}"/>
    <cellStyle name="Comma 4 3 2 2 6 4" xfId="10502" xr:uid="{840790B2-17BB-49DD-892F-315E2B429A77}"/>
    <cellStyle name="Comma 4 3 2 2 7" xfId="2399" xr:uid="{00000000-0005-0000-0000-00003E090000}"/>
    <cellStyle name="Comma 4 3 2 2 7 2" xfId="6683" xr:uid="{00000000-0005-0000-0000-00003F090000}"/>
    <cellStyle name="Comma 4 3 2 2 7 2 2" xfId="15133" xr:uid="{16397FA3-B1B7-40D4-A433-CE979DB84C46}"/>
    <cellStyle name="Comma 4 3 2 2 7 3" xfId="10915" xr:uid="{6F55D8B1-CD1B-461D-8173-F80A0C676B6D}"/>
    <cellStyle name="Comma 4 3 2 2 8" xfId="2364" xr:uid="{00000000-0005-0000-0000-000040090000}"/>
    <cellStyle name="Comma 4 3 2 2 9" xfId="2777" xr:uid="{00000000-0005-0000-0000-000041090000}"/>
    <cellStyle name="Comma 4 3 2 2 9 2" xfId="7000" xr:uid="{00000000-0005-0000-0000-000042090000}"/>
    <cellStyle name="Comma 4 3 2 2 9 2 2" xfId="15450" xr:uid="{0E1F168E-4A53-409E-A61E-F1199D3054B9}"/>
    <cellStyle name="Comma 4 3 2 2 9 3" xfId="11232" xr:uid="{F5BA7CCF-0205-4B39-A8F9-A9F2DEB0A173}"/>
    <cellStyle name="Comma 4 3 2 3" xfId="148" xr:uid="{00000000-0005-0000-0000-000043090000}"/>
    <cellStyle name="Comma 4 3 2 3 10" xfId="8851" xr:uid="{F34DA036-26D2-44B2-A6B6-90296D109097}"/>
    <cellStyle name="Comma 4 3 2 3 2" xfId="685" xr:uid="{00000000-0005-0000-0000-000044090000}"/>
    <cellStyle name="Comma 4 3 2 3 2 2" xfId="2956" xr:uid="{00000000-0005-0000-0000-000045090000}"/>
    <cellStyle name="Comma 4 3 2 3 2 2 2" xfId="7178" xr:uid="{00000000-0005-0000-0000-000046090000}"/>
    <cellStyle name="Comma 4 3 2 3 2 2 2 2" xfId="15628" xr:uid="{2A293D32-A200-4C65-A6E3-DBD0C96F5D66}"/>
    <cellStyle name="Comma 4 3 2 3 2 2 3" xfId="11410" xr:uid="{BB007F9B-5A7B-4BDE-A438-46B7E7FC3A84}"/>
    <cellStyle name="Comma 4 3 2 3 2 3" xfId="5033" xr:uid="{00000000-0005-0000-0000-000047090000}"/>
    <cellStyle name="Comma 4 3 2 3 2 3 2" xfId="13483" xr:uid="{7955265D-3AA5-4501-9AF3-34DAACB63B44}"/>
    <cellStyle name="Comma 4 3 2 3 2 4" xfId="9265" xr:uid="{1B375A45-0FCC-45EC-8EEA-13304BA1D807}"/>
    <cellStyle name="Comma 4 3 2 3 3" xfId="1138" xr:uid="{00000000-0005-0000-0000-000048090000}"/>
    <cellStyle name="Comma 4 3 2 3 3 2" xfId="3369" xr:uid="{00000000-0005-0000-0000-000049090000}"/>
    <cellStyle name="Comma 4 3 2 3 3 2 2" xfId="7591" xr:uid="{00000000-0005-0000-0000-00004A090000}"/>
    <cellStyle name="Comma 4 3 2 3 3 2 2 2" xfId="16041" xr:uid="{09FE8CBC-8D46-4993-BDC1-8E7BAD37746E}"/>
    <cellStyle name="Comma 4 3 2 3 3 2 3" xfId="11823" xr:uid="{164C76C7-B3EF-467E-9850-763A08A2E065}"/>
    <cellStyle name="Comma 4 3 2 3 3 3" xfId="5446" xr:uid="{00000000-0005-0000-0000-00004B090000}"/>
    <cellStyle name="Comma 4 3 2 3 3 3 2" xfId="13896" xr:uid="{CC5C4A3B-B452-4F74-B3C4-B6E32A1A44BF}"/>
    <cellStyle name="Comma 4 3 2 3 3 4" xfId="9678" xr:uid="{EF96D3AA-7451-4F69-8985-701623762CBF}"/>
    <cellStyle name="Comma 4 3 2 3 4" xfId="1552" xr:uid="{00000000-0005-0000-0000-00004C090000}"/>
    <cellStyle name="Comma 4 3 2 3 4 2" xfId="3782" xr:uid="{00000000-0005-0000-0000-00004D090000}"/>
    <cellStyle name="Comma 4 3 2 3 4 2 2" xfId="8004" xr:uid="{00000000-0005-0000-0000-00004E090000}"/>
    <cellStyle name="Comma 4 3 2 3 4 2 2 2" xfId="16454" xr:uid="{0F40120E-D77B-421C-9E31-9778AA30B3D5}"/>
    <cellStyle name="Comma 4 3 2 3 4 2 3" xfId="12236" xr:uid="{B5B78D1D-4002-45F8-B496-A10A4AD3FEDC}"/>
    <cellStyle name="Comma 4 3 2 3 4 3" xfId="5859" xr:uid="{00000000-0005-0000-0000-00004F090000}"/>
    <cellStyle name="Comma 4 3 2 3 4 3 2" xfId="14309" xr:uid="{ABD5312C-3956-48A8-B0BC-0146E2029AE8}"/>
    <cellStyle name="Comma 4 3 2 3 4 4" xfId="10091" xr:uid="{D71F07EF-6625-4BC0-B2FB-1BD93A3529DE}"/>
    <cellStyle name="Comma 4 3 2 3 5" xfId="1966" xr:uid="{00000000-0005-0000-0000-000050090000}"/>
    <cellStyle name="Comma 4 3 2 3 5 2" xfId="4195" xr:uid="{00000000-0005-0000-0000-000051090000}"/>
    <cellStyle name="Comma 4 3 2 3 5 2 2" xfId="8417" xr:uid="{00000000-0005-0000-0000-000052090000}"/>
    <cellStyle name="Comma 4 3 2 3 5 2 2 2" xfId="16867" xr:uid="{3430D6D3-1B57-4AD9-B6FA-06CD10834161}"/>
    <cellStyle name="Comma 4 3 2 3 5 2 3" xfId="12649" xr:uid="{3C21B9D0-75EE-4ADD-BE72-CDC96D46880F}"/>
    <cellStyle name="Comma 4 3 2 3 5 3" xfId="6272" xr:uid="{00000000-0005-0000-0000-000053090000}"/>
    <cellStyle name="Comma 4 3 2 3 5 3 2" xfId="14722" xr:uid="{43AC486B-1A10-4134-A644-E6E297DD9B4E}"/>
    <cellStyle name="Comma 4 3 2 3 5 4" xfId="10504" xr:uid="{C5319AAA-DC6D-4F42-8946-5BA4ADCE7220}"/>
    <cellStyle name="Comma 4 3 2 3 6" xfId="2401" xr:uid="{00000000-0005-0000-0000-000054090000}"/>
    <cellStyle name="Comma 4 3 2 3 6 2" xfId="6685" xr:uid="{00000000-0005-0000-0000-000055090000}"/>
    <cellStyle name="Comma 4 3 2 3 6 2 2" xfId="15135" xr:uid="{7F0344D4-84DE-46E5-AAA4-834046E55EDF}"/>
    <cellStyle name="Comma 4 3 2 3 6 3" xfId="10917" xr:uid="{2866706E-77E0-4553-8212-C83B8F98121C}"/>
    <cellStyle name="Comma 4 3 2 3 7" xfId="2362" xr:uid="{00000000-0005-0000-0000-000056090000}"/>
    <cellStyle name="Comma 4 3 2 3 8" xfId="2779" xr:uid="{00000000-0005-0000-0000-000057090000}"/>
    <cellStyle name="Comma 4 3 2 3 8 2" xfId="7002" xr:uid="{00000000-0005-0000-0000-000058090000}"/>
    <cellStyle name="Comma 4 3 2 3 8 2 2" xfId="15452" xr:uid="{2BF6B3DF-2348-405A-9CEC-ACF5E865EE55}"/>
    <cellStyle name="Comma 4 3 2 3 8 3" xfId="11234" xr:uid="{45FC3A1E-7738-45C3-A756-2AC4A2D3E5FA}"/>
    <cellStyle name="Comma 4 3 2 3 9" xfId="4619" xr:uid="{00000000-0005-0000-0000-000059090000}"/>
    <cellStyle name="Comma 4 3 2 3 9 2" xfId="13069" xr:uid="{81B5169E-0C2C-4D6B-90A5-1522A4C5C153}"/>
    <cellStyle name="Comma 4 3 2 4" xfId="682" xr:uid="{00000000-0005-0000-0000-00005A090000}"/>
    <cellStyle name="Comma 4 3 2 4 2" xfId="2953" xr:uid="{00000000-0005-0000-0000-00005B090000}"/>
    <cellStyle name="Comma 4 3 2 4 2 2" xfId="7175" xr:uid="{00000000-0005-0000-0000-00005C090000}"/>
    <cellStyle name="Comma 4 3 2 4 2 2 2" xfId="15625" xr:uid="{F3F20B49-6FE6-4367-B670-DBCA8DA2264F}"/>
    <cellStyle name="Comma 4 3 2 4 2 3" xfId="11407" xr:uid="{40EE1679-3DDF-42A8-8CE0-D2FE570D5941}"/>
    <cellStyle name="Comma 4 3 2 4 3" xfId="5030" xr:uid="{00000000-0005-0000-0000-00005D090000}"/>
    <cellStyle name="Comma 4 3 2 4 3 2" xfId="13480" xr:uid="{64D3D720-5F14-4C5A-88AD-E50EF96E431A}"/>
    <cellStyle name="Comma 4 3 2 4 4" xfId="9262" xr:uid="{E22D6E0B-741B-4801-BC1F-D9E3B5DF8AF1}"/>
    <cellStyle name="Comma 4 3 2 5" xfId="1135" xr:uid="{00000000-0005-0000-0000-00005E090000}"/>
    <cellStyle name="Comma 4 3 2 5 2" xfId="3366" xr:uid="{00000000-0005-0000-0000-00005F090000}"/>
    <cellStyle name="Comma 4 3 2 5 2 2" xfId="7588" xr:uid="{00000000-0005-0000-0000-000060090000}"/>
    <cellStyle name="Comma 4 3 2 5 2 2 2" xfId="16038" xr:uid="{230609D7-E384-4823-AB61-D3CE6182B895}"/>
    <cellStyle name="Comma 4 3 2 5 2 3" xfId="11820" xr:uid="{2D40C1F5-CE87-4084-9C19-7EA5D772766C}"/>
    <cellStyle name="Comma 4 3 2 5 3" xfId="5443" xr:uid="{00000000-0005-0000-0000-000061090000}"/>
    <cellStyle name="Comma 4 3 2 5 3 2" xfId="13893" xr:uid="{452CE163-D941-4CE5-AD4E-2C9E63C200E9}"/>
    <cellStyle name="Comma 4 3 2 5 4" xfId="9675" xr:uid="{48002C5F-E787-4D95-B8C7-8FC740A3E429}"/>
    <cellStyle name="Comma 4 3 2 6" xfId="1549" xr:uid="{00000000-0005-0000-0000-000062090000}"/>
    <cellStyle name="Comma 4 3 2 6 2" xfId="3779" xr:uid="{00000000-0005-0000-0000-000063090000}"/>
    <cellStyle name="Comma 4 3 2 6 2 2" xfId="8001" xr:uid="{00000000-0005-0000-0000-000064090000}"/>
    <cellStyle name="Comma 4 3 2 6 2 2 2" xfId="16451" xr:uid="{948FF9AC-A2F7-4B58-BE8A-C416C7D7FAA5}"/>
    <cellStyle name="Comma 4 3 2 6 2 3" xfId="12233" xr:uid="{5276B49E-8F0C-43E7-BE79-0129CA8238CA}"/>
    <cellStyle name="Comma 4 3 2 6 3" xfId="5856" xr:uid="{00000000-0005-0000-0000-000065090000}"/>
    <cellStyle name="Comma 4 3 2 6 3 2" xfId="14306" xr:uid="{3359DA94-EAC8-444B-BF38-08D9CBBEDAB0}"/>
    <cellStyle name="Comma 4 3 2 6 4" xfId="10088" xr:uid="{150A4DD3-4C01-4DEC-B3E2-54304524A63C}"/>
    <cellStyle name="Comma 4 3 2 7" xfId="1963" xr:uid="{00000000-0005-0000-0000-000066090000}"/>
    <cellStyle name="Comma 4 3 2 7 2" xfId="4192" xr:uid="{00000000-0005-0000-0000-000067090000}"/>
    <cellStyle name="Comma 4 3 2 7 2 2" xfId="8414" xr:uid="{00000000-0005-0000-0000-000068090000}"/>
    <cellStyle name="Comma 4 3 2 7 2 2 2" xfId="16864" xr:uid="{3887FB8D-FA65-49D3-8A54-11D604375640}"/>
    <cellStyle name="Comma 4 3 2 7 2 3" xfId="12646" xr:uid="{9FB6D5DD-C7ED-4734-BFD1-135BB6ABA395}"/>
    <cellStyle name="Comma 4 3 2 7 3" xfId="6269" xr:uid="{00000000-0005-0000-0000-000069090000}"/>
    <cellStyle name="Comma 4 3 2 7 3 2" xfId="14719" xr:uid="{0EE3AB8D-E6BC-43A8-AC92-27EC089F9918}"/>
    <cellStyle name="Comma 4 3 2 7 4" xfId="10501" xr:uid="{4B38D95E-D873-4B0C-9E28-2687A336B5BC}"/>
    <cellStyle name="Comma 4 3 2 8" xfId="2398" xr:uid="{00000000-0005-0000-0000-00006A090000}"/>
    <cellStyle name="Comma 4 3 2 8 2" xfId="6682" xr:uid="{00000000-0005-0000-0000-00006B090000}"/>
    <cellStyle name="Comma 4 3 2 8 2 2" xfId="15132" xr:uid="{5919B483-36B2-428E-B5AF-E7A274EFD59B}"/>
    <cellStyle name="Comma 4 3 2 8 3" xfId="10914" xr:uid="{BFD8D788-62B4-4490-8648-7DA30F58BEF1}"/>
    <cellStyle name="Comma 4 3 2 9" xfId="2365" xr:uid="{00000000-0005-0000-0000-00006C090000}"/>
    <cellStyle name="Comma 4 3 3" xfId="149" xr:uid="{00000000-0005-0000-0000-00006D090000}"/>
    <cellStyle name="Comma 4 3 3 10" xfId="4620" xr:uid="{00000000-0005-0000-0000-00006E090000}"/>
    <cellStyle name="Comma 4 3 3 10 2" xfId="13070" xr:uid="{08933D7B-BFA2-421B-A83F-E983766DF0C8}"/>
    <cellStyle name="Comma 4 3 3 11" xfId="8852" xr:uid="{4DDF2E4F-3A35-443B-9CA2-050A7C88826F}"/>
    <cellStyle name="Comma 4 3 3 2" xfId="150" xr:uid="{00000000-0005-0000-0000-00006F090000}"/>
    <cellStyle name="Comma 4 3 3 2 10" xfId="8853" xr:uid="{601FE8E6-33E6-457D-8797-2C401A9E5645}"/>
    <cellStyle name="Comma 4 3 3 2 2" xfId="687" xr:uid="{00000000-0005-0000-0000-000070090000}"/>
    <cellStyle name="Comma 4 3 3 2 2 2" xfId="2958" xr:uid="{00000000-0005-0000-0000-000071090000}"/>
    <cellStyle name="Comma 4 3 3 2 2 2 2" xfId="7180" xr:uid="{00000000-0005-0000-0000-000072090000}"/>
    <cellStyle name="Comma 4 3 3 2 2 2 2 2" xfId="15630" xr:uid="{3131D59D-08D3-4266-AA0F-DD56C0C3A9FD}"/>
    <cellStyle name="Comma 4 3 3 2 2 2 3" xfId="11412" xr:uid="{AFF0E345-C87B-4939-80DF-989F03D1E313}"/>
    <cellStyle name="Comma 4 3 3 2 2 3" xfId="5035" xr:uid="{00000000-0005-0000-0000-000073090000}"/>
    <cellStyle name="Comma 4 3 3 2 2 3 2" xfId="13485" xr:uid="{8EC60F8D-5C7C-4A92-9423-12612EFB521E}"/>
    <cellStyle name="Comma 4 3 3 2 2 4" xfId="9267" xr:uid="{1F593573-8B9B-4E88-8F12-6985FC3FFEDF}"/>
    <cellStyle name="Comma 4 3 3 2 3" xfId="1140" xr:uid="{00000000-0005-0000-0000-000074090000}"/>
    <cellStyle name="Comma 4 3 3 2 3 2" xfId="3371" xr:uid="{00000000-0005-0000-0000-000075090000}"/>
    <cellStyle name="Comma 4 3 3 2 3 2 2" xfId="7593" xr:uid="{00000000-0005-0000-0000-000076090000}"/>
    <cellStyle name="Comma 4 3 3 2 3 2 2 2" xfId="16043" xr:uid="{CBE1AE65-F10C-4756-89B6-3D2ED70E0ACC}"/>
    <cellStyle name="Comma 4 3 3 2 3 2 3" xfId="11825" xr:uid="{07AB1672-246A-4C91-BBAD-AB46A38AA41B}"/>
    <cellStyle name="Comma 4 3 3 2 3 3" xfId="5448" xr:uid="{00000000-0005-0000-0000-000077090000}"/>
    <cellStyle name="Comma 4 3 3 2 3 3 2" xfId="13898" xr:uid="{A4551CE4-6C28-4AC0-8682-37EA51B81E67}"/>
    <cellStyle name="Comma 4 3 3 2 3 4" xfId="9680" xr:uid="{A4B3EA57-82A0-4636-A8D4-41795848A3B3}"/>
    <cellStyle name="Comma 4 3 3 2 4" xfId="1554" xr:uid="{00000000-0005-0000-0000-000078090000}"/>
    <cellStyle name="Comma 4 3 3 2 4 2" xfId="3784" xr:uid="{00000000-0005-0000-0000-000079090000}"/>
    <cellStyle name="Comma 4 3 3 2 4 2 2" xfId="8006" xr:uid="{00000000-0005-0000-0000-00007A090000}"/>
    <cellStyle name="Comma 4 3 3 2 4 2 2 2" xfId="16456" xr:uid="{EF154BF0-D649-4BD3-A4AB-27640182B3A1}"/>
    <cellStyle name="Comma 4 3 3 2 4 2 3" xfId="12238" xr:uid="{FBD54F33-EFFF-4B41-8C59-BBD290FBAB6E}"/>
    <cellStyle name="Comma 4 3 3 2 4 3" xfId="5861" xr:uid="{00000000-0005-0000-0000-00007B090000}"/>
    <cellStyle name="Comma 4 3 3 2 4 3 2" xfId="14311" xr:uid="{B73AA310-DE25-483F-9E15-438379C2C6CD}"/>
    <cellStyle name="Comma 4 3 3 2 4 4" xfId="10093" xr:uid="{81B25E93-40D1-4E42-B508-B0ADEFD27040}"/>
    <cellStyle name="Comma 4 3 3 2 5" xfId="1968" xr:uid="{00000000-0005-0000-0000-00007C090000}"/>
    <cellStyle name="Comma 4 3 3 2 5 2" xfId="4197" xr:uid="{00000000-0005-0000-0000-00007D090000}"/>
    <cellStyle name="Comma 4 3 3 2 5 2 2" xfId="8419" xr:uid="{00000000-0005-0000-0000-00007E090000}"/>
    <cellStyle name="Comma 4 3 3 2 5 2 2 2" xfId="16869" xr:uid="{3A385744-17F8-49DB-AC27-68522EF76828}"/>
    <cellStyle name="Comma 4 3 3 2 5 2 3" xfId="12651" xr:uid="{705A7FD9-0A72-4F81-9530-244F2F1B9031}"/>
    <cellStyle name="Comma 4 3 3 2 5 3" xfId="6274" xr:uid="{00000000-0005-0000-0000-00007F090000}"/>
    <cellStyle name="Comma 4 3 3 2 5 3 2" xfId="14724" xr:uid="{E43205ED-A276-4FAF-886A-23E52469FCC9}"/>
    <cellStyle name="Comma 4 3 3 2 5 4" xfId="10506" xr:uid="{BE004B39-CDF4-4679-A347-4C591EAB2208}"/>
    <cellStyle name="Comma 4 3 3 2 6" xfId="2403" xr:uid="{00000000-0005-0000-0000-000080090000}"/>
    <cellStyle name="Comma 4 3 3 2 6 2" xfId="6687" xr:uid="{00000000-0005-0000-0000-000081090000}"/>
    <cellStyle name="Comma 4 3 3 2 6 2 2" xfId="15137" xr:uid="{52CA49DE-5F01-4215-9D76-32060FA8081B}"/>
    <cellStyle name="Comma 4 3 3 2 6 3" xfId="10919" xr:uid="{F9A2C30A-0675-4AA0-A0C1-55C3E3F2BD58}"/>
    <cellStyle name="Comma 4 3 3 2 7" xfId="2360" xr:uid="{00000000-0005-0000-0000-000082090000}"/>
    <cellStyle name="Comma 4 3 3 2 8" xfId="2781" xr:uid="{00000000-0005-0000-0000-000083090000}"/>
    <cellStyle name="Comma 4 3 3 2 8 2" xfId="7004" xr:uid="{00000000-0005-0000-0000-000084090000}"/>
    <cellStyle name="Comma 4 3 3 2 8 2 2" xfId="15454" xr:uid="{0B0706E0-26EF-4BD3-8E1E-DA949907161C}"/>
    <cellStyle name="Comma 4 3 3 2 8 3" xfId="11236" xr:uid="{CD5FAA41-D5C2-4A8B-8203-27423776EE70}"/>
    <cellStyle name="Comma 4 3 3 2 9" xfId="4621" xr:uid="{00000000-0005-0000-0000-000085090000}"/>
    <cellStyle name="Comma 4 3 3 2 9 2" xfId="13071" xr:uid="{7400100B-715A-4EC2-95B2-9540D339C64F}"/>
    <cellStyle name="Comma 4 3 3 3" xfId="686" xr:uid="{00000000-0005-0000-0000-000086090000}"/>
    <cellStyle name="Comma 4 3 3 3 2" xfId="2957" xr:uid="{00000000-0005-0000-0000-000087090000}"/>
    <cellStyle name="Comma 4 3 3 3 2 2" xfId="7179" xr:uid="{00000000-0005-0000-0000-000088090000}"/>
    <cellStyle name="Comma 4 3 3 3 2 2 2" xfId="15629" xr:uid="{BB8B5B8B-44CA-41AE-BE7E-55C3198B7B10}"/>
    <cellStyle name="Comma 4 3 3 3 2 3" xfId="11411" xr:uid="{52DF575E-C12F-4564-A024-4EC40F31812C}"/>
    <cellStyle name="Comma 4 3 3 3 3" xfId="5034" xr:uid="{00000000-0005-0000-0000-000089090000}"/>
    <cellStyle name="Comma 4 3 3 3 3 2" xfId="13484" xr:uid="{2CCAFC04-9506-40E1-9BED-27B2B128EFD6}"/>
    <cellStyle name="Comma 4 3 3 3 4" xfId="9266" xr:uid="{4EFB9D67-2BEA-439F-9BB1-3A86DC4FAA69}"/>
    <cellStyle name="Comma 4 3 3 4" xfId="1139" xr:uid="{00000000-0005-0000-0000-00008A090000}"/>
    <cellStyle name="Comma 4 3 3 4 2" xfId="3370" xr:uid="{00000000-0005-0000-0000-00008B090000}"/>
    <cellStyle name="Comma 4 3 3 4 2 2" xfId="7592" xr:uid="{00000000-0005-0000-0000-00008C090000}"/>
    <cellStyle name="Comma 4 3 3 4 2 2 2" xfId="16042" xr:uid="{5FB0098C-E3EF-491A-A67E-8478B3F7580E}"/>
    <cellStyle name="Comma 4 3 3 4 2 3" xfId="11824" xr:uid="{079CF019-48CA-4526-8808-EDDAB601C635}"/>
    <cellStyle name="Comma 4 3 3 4 3" xfId="5447" xr:uid="{00000000-0005-0000-0000-00008D090000}"/>
    <cellStyle name="Comma 4 3 3 4 3 2" xfId="13897" xr:uid="{BFACD517-8109-4DEC-A776-0AC57C0B205A}"/>
    <cellStyle name="Comma 4 3 3 4 4" xfId="9679" xr:uid="{25608E22-9EC2-4235-ADA3-2FF53DC33E23}"/>
    <cellStyle name="Comma 4 3 3 5" xfId="1553" xr:uid="{00000000-0005-0000-0000-00008E090000}"/>
    <cellStyle name="Comma 4 3 3 5 2" xfId="3783" xr:uid="{00000000-0005-0000-0000-00008F090000}"/>
    <cellStyle name="Comma 4 3 3 5 2 2" xfId="8005" xr:uid="{00000000-0005-0000-0000-000090090000}"/>
    <cellStyle name="Comma 4 3 3 5 2 2 2" xfId="16455" xr:uid="{A2961722-EB93-403B-A3D1-78D9EBAF73BB}"/>
    <cellStyle name="Comma 4 3 3 5 2 3" xfId="12237" xr:uid="{E5790200-187B-43DC-BADD-E662B01670AF}"/>
    <cellStyle name="Comma 4 3 3 5 3" xfId="5860" xr:uid="{00000000-0005-0000-0000-000091090000}"/>
    <cellStyle name="Comma 4 3 3 5 3 2" xfId="14310" xr:uid="{D19447D4-835A-4B16-9A18-646E817B5AAD}"/>
    <cellStyle name="Comma 4 3 3 5 4" xfId="10092" xr:uid="{08379FFC-F536-4238-B35E-785B48E3EA52}"/>
    <cellStyle name="Comma 4 3 3 6" xfId="1967" xr:uid="{00000000-0005-0000-0000-000092090000}"/>
    <cellStyle name="Comma 4 3 3 6 2" xfId="4196" xr:uid="{00000000-0005-0000-0000-000093090000}"/>
    <cellStyle name="Comma 4 3 3 6 2 2" xfId="8418" xr:uid="{00000000-0005-0000-0000-000094090000}"/>
    <cellStyle name="Comma 4 3 3 6 2 2 2" xfId="16868" xr:uid="{E4433BBE-0C40-42FF-A8CB-230ED89716A7}"/>
    <cellStyle name="Comma 4 3 3 6 2 3" xfId="12650" xr:uid="{9D50C572-951C-4393-AA9A-981A59730A0C}"/>
    <cellStyle name="Comma 4 3 3 6 3" xfId="6273" xr:uid="{00000000-0005-0000-0000-000095090000}"/>
    <cellStyle name="Comma 4 3 3 6 3 2" xfId="14723" xr:uid="{11A937C8-6DAB-4A9A-8717-894919492640}"/>
    <cellStyle name="Comma 4 3 3 6 4" xfId="10505" xr:uid="{66B765C4-2D1E-4A31-A3FD-6265017FAA1E}"/>
    <cellStyle name="Comma 4 3 3 7" xfId="2402" xr:uid="{00000000-0005-0000-0000-000096090000}"/>
    <cellStyle name="Comma 4 3 3 7 2" xfId="6686" xr:uid="{00000000-0005-0000-0000-000097090000}"/>
    <cellStyle name="Comma 4 3 3 7 2 2" xfId="15136" xr:uid="{1330E99B-CE80-49F1-AEBB-89BB0A154ABE}"/>
    <cellStyle name="Comma 4 3 3 7 3" xfId="10918" xr:uid="{BB73EB77-D9AE-4924-9A0E-7615BD618089}"/>
    <cellStyle name="Comma 4 3 3 8" xfId="2361" xr:uid="{00000000-0005-0000-0000-000098090000}"/>
    <cellStyle name="Comma 4 3 3 9" xfId="2780" xr:uid="{00000000-0005-0000-0000-000099090000}"/>
    <cellStyle name="Comma 4 3 3 9 2" xfId="7003" xr:uid="{00000000-0005-0000-0000-00009A090000}"/>
    <cellStyle name="Comma 4 3 3 9 2 2" xfId="15453" xr:uid="{5D5D55D4-AB70-4038-B264-145A59C4817E}"/>
    <cellStyle name="Comma 4 3 3 9 3" xfId="11235" xr:uid="{8E8A7635-1E0F-49AE-8DF1-FE194073BE80}"/>
    <cellStyle name="Comma 4 3 4" xfId="151" xr:uid="{00000000-0005-0000-0000-00009B090000}"/>
    <cellStyle name="Comma 4 3 4 10" xfId="8854" xr:uid="{631075CD-73A6-421E-9131-61154A94F8C3}"/>
    <cellStyle name="Comma 4 3 4 2" xfId="688" xr:uid="{00000000-0005-0000-0000-00009C090000}"/>
    <cellStyle name="Comma 4 3 4 2 2" xfId="2959" xr:uid="{00000000-0005-0000-0000-00009D090000}"/>
    <cellStyle name="Comma 4 3 4 2 2 2" xfId="7181" xr:uid="{00000000-0005-0000-0000-00009E090000}"/>
    <cellStyle name="Comma 4 3 4 2 2 2 2" xfId="15631" xr:uid="{FF92F868-991D-4EFD-8296-46E277F885BE}"/>
    <cellStyle name="Comma 4 3 4 2 2 3" xfId="11413" xr:uid="{7FC69121-798E-4BBE-B073-32DAE75188DD}"/>
    <cellStyle name="Comma 4 3 4 2 3" xfId="5036" xr:uid="{00000000-0005-0000-0000-00009F090000}"/>
    <cellStyle name="Comma 4 3 4 2 3 2" xfId="13486" xr:uid="{C9ED05E0-C89F-455E-8ABC-927D5382CE81}"/>
    <cellStyle name="Comma 4 3 4 2 4" xfId="9268" xr:uid="{ADED872A-A467-494E-81AC-496C96041026}"/>
    <cellStyle name="Comma 4 3 4 3" xfId="1141" xr:uid="{00000000-0005-0000-0000-0000A0090000}"/>
    <cellStyle name="Comma 4 3 4 3 2" xfId="3372" xr:uid="{00000000-0005-0000-0000-0000A1090000}"/>
    <cellStyle name="Comma 4 3 4 3 2 2" xfId="7594" xr:uid="{00000000-0005-0000-0000-0000A2090000}"/>
    <cellStyle name="Comma 4 3 4 3 2 2 2" xfId="16044" xr:uid="{50643426-44BE-44EC-BB2E-B1C0D3C6325B}"/>
    <cellStyle name="Comma 4 3 4 3 2 3" xfId="11826" xr:uid="{A383DE75-C68A-461C-B8E5-DFFB33681BBA}"/>
    <cellStyle name="Comma 4 3 4 3 3" xfId="5449" xr:uid="{00000000-0005-0000-0000-0000A3090000}"/>
    <cellStyle name="Comma 4 3 4 3 3 2" xfId="13899" xr:uid="{D61F0490-7D84-45B4-AAB4-A2302C12CA79}"/>
    <cellStyle name="Comma 4 3 4 3 4" xfId="9681" xr:uid="{9D8F2CB5-0841-49CE-A772-CB9C54FF5DC5}"/>
    <cellStyle name="Comma 4 3 4 4" xfId="1555" xr:uid="{00000000-0005-0000-0000-0000A4090000}"/>
    <cellStyle name="Comma 4 3 4 4 2" xfId="3785" xr:uid="{00000000-0005-0000-0000-0000A5090000}"/>
    <cellStyle name="Comma 4 3 4 4 2 2" xfId="8007" xr:uid="{00000000-0005-0000-0000-0000A6090000}"/>
    <cellStyle name="Comma 4 3 4 4 2 2 2" xfId="16457" xr:uid="{67808E57-9D06-48DF-B55F-301799C30B83}"/>
    <cellStyle name="Comma 4 3 4 4 2 3" xfId="12239" xr:uid="{3C9CF0A9-0FFF-457A-AD25-89A9C57E58F8}"/>
    <cellStyle name="Comma 4 3 4 4 3" xfId="5862" xr:uid="{00000000-0005-0000-0000-0000A7090000}"/>
    <cellStyle name="Comma 4 3 4 4 3 2" xfId="14312" xr:uid="{9A97A100-81F4-47A0-A9DD-3C9736B2E8AB}"/>
    <cellStyle name="Comma 4 3 4 4 4" xfId="10094" xr:uid="{11565D97-215B-43FC-9891-70D84D4149E9}"/>
    <cellStyle name="Comma 4 3 4 5" xfId="1969" xr:uid="{00000000-0005-0000-0000-0000A8090000}"/>
    <cellStyle name="Comma 4 3 4 5 2" xfId="4198" xr:uid="{00000000-0005-0000-0000-0000A9090000}"/>
    <cellStyle name="Comma 4 3 4 5 2 2" xfId="8420" xr:uid="{00000000-0005-0000-0000-0000AA090000}"/>
    <cellStyle name="Comma 4 3 4 5 2 2 2" xfId="16870" xr:uid="{2D2E3B42-C0D1-4BDD-93DF-684450685AE6}"/>
    <cellStyle name="Comma 4 3 4 5 2 3" xfId="12652" xr:uid="{C6CF9568-797C-4EB6-AC81-71421245E8D5}"/>
    <cellStyle name="Comma 4 3 4 5 3" xfId="6275" xr:uid="{00000000-0005-0000-0000-0000AB090000}"/>
    <cellStyle name="Comma 4 3 4 5 3 2" xfId="14725" xr:uid="{E59F7471-B3CD-43DF-9BE6-7F6671CBDAEA}"/>
    <cellStyle name="Comma 4 3 4 5 4" xfId="10507" xr:uid="{28A411F4-4568-4545-8E9F-D28B3E9055C6}"/>
    <cellStyle name="Comma 4 3 4 6" xfId="2404" xr:uid="{00000000-0005-0000-0000-0000AC090000}"/>
    <cellStyle name="Comma 4 3 4 6 2" xfId="6688" xr:uid="{00000000-0005-0000-0000-0000AD090000}"/>
    <cellStyle name="Comma 4 3 4 6 2 2" xfId="15138" xr:uid="{EE31FB84-2CDC-4B16-9C06-1EA0F00AC519}"/>
    <cellStyle name="Comma 4 3 4 6 3" xfId="10920" xr:uid="{552D5E70-8672-4653-9673-535936ECD2B2}"/>
    <cellStyle name="Comma 4 3 4 7" xfId="2700" xr:uid="{00000000-0005-0000-0000-0000AE090000}"/>
    <cellStyle name="Comma 4 3 4 8" xfId="2782" xr:uid="{00000000-0005-0000-0000-0000AF090000}"/>
    <cellStyle name="Comma 4 3 4 8 2" xfId="7005" xr:uid="{00000000-0005-0000-0000-0000B0090000}"/>
    <cellStyle name="Comma 4 3 4 8 2 2" xfId="15455" xr:uid="{A42E9BB1-9E73-466D-8B90-79CE700CA5C6}"/>
    <cellStyle name="Comma 4 3 4 8 3" xfId="11237" xr:uid="{53985DFE-F3F6-42F6-B144-32A3137230F2}"/>
    <cellStyle name="Comma 4 3 4 9" xfId="4622" xr:uid="{00000000-0005-0000-0000-0000B1090000}"/>
    <cellStyle name="Comma 4 3 4 9 2" xfId="13072" xr:uid="{0F66FB06-682B-4CF6-961F-91DB235E516A}"/>
    <cellStyle name="Comma 4 3 5" xfId="152" xr:uid="{00000000-0005-0000-0000-0000B2090000}"/>
    <cellStyle name="Comma 4 3 5 10" xfId="8855" xr:uid="{F07D0BB7-836C-4AB7-803F-0FD6B6D58074}"/>
    <cellStyle name="Comma 4 3 5 2" xfId="689" xr:uid="{00000000-0005-0000-0000-0000B3090000}"/>
    <cellStyle name="Comma 4 3 5 2 2" xfId="2960" xr:uid="{00000000-0005-0000-0000-0000B4090000}"/>
    <cellStyle name="Comma 4 3 5 2 2 2" xfId="7182" xr:uid="{00000000-0005-0000-0000-0000B5090000}"/>
    <cellStyle name="Comma 4 3 5 2 2 2 2" xfId="15632" xr:uid="{3A10B7FF-C60C-4436-90A8-5A2BC5C9B3F3}"/>
    <cellStyle name="Comma 4 3 5 2 2 3" xfId="11414" xr:uid="{1F1891CC-DC23-4726-80B2-45C9CBBFF477}"/>
    <cellStyle name="Comma 4 3 5 2 3" xfId="5037" xr:uid="{00000000-0005-0000-0000-0000B6090000}"/>
    <cellStyle name="Comma 4 3 5 2 3 2" xfId="13487" xr:uid="{4B169B7C-41DC-43FB-9CCA-D9AC3F27CF94}"/>
    <cellStyle name="Comma 4 3 5 2 4" xfId="9269" xr:uid="{3B3D0098-5AC4-46A6-9577-6A485AB6674C}"/>
    <cellStyle name="Comma 4 3 5 3" xfId="1142" xr:uid="{00000000-0005-0000-0000-0000B7090000}"/>
    <cellStyle name="Comma 4 3 5 3 2" xfId="3373" xr:uid="{00000000-0005-0000-0000-0000B8090000}"/>
    <cellStyle name="Comma 4 3 5 3 2 2" xfId="7595" xr:uid="{00000000-0005-0000-0000-0000B9090000}"/>
    <cellStyle name="Comma 4 3 5 3 2 2 2" xfId="16045" xr:uid="{D2A144F8-4E56-4A87-B5FB-2F47D774E29B}"/>
    <cellStyle name="Comma 4 3 5 3 2 3" xfId="11827" xr:uid="{32A4E21A-4FE3-4E48-BB7E-3D6FA9D0B662}"/>
    <cellStyle name="Comma 4 3 5 3 3" xfId="5450" xr:uid="{00000000-0005-0000-0000-0000BA090000}"/>
    <cellStyle name="Comma 4 3 5 3 3 2" xfId="13900" xr:uid="{DFA68C7B-AB19-4C1A-9A03-43F6D0DCCBC2}"/>
    <cellStyle name="Comma 4 3 5 3 4" xfId="9682" xr:uid="{128107FB-9DB4-4966-81B0-556605A7A6BC}"/>
    <cellStyle name="Comma 4 3 5 4" xfId="1556" xr:uid="{00000000-0005-0000-0000-0000BB090000}"/>
    <cellStyle name="Comma 4 3 5 4 2" xfId="3786" xr:uid="{00000000-0005-0000-0000-0000BC090000}"/>
    <cellStyle name="Comma 4 3 5 4 2 2" xfId="8008" xr:uid="{00000000-0005-0000-0000-0000BD090000}"/>
    <cellStyle name="Comma 4 3 5 4 2 2 2" xfId="16458" xr:uid="{EB8B0808-6B48-4BED-917A-4CF005A5895E}"/>
    <cellStyle name="Comma 4 3 5 4 2 3" xfId="12240" xr:uid="{B18FC9AF-5C62-4624-B3F7-7C5D15CEA8D4}"/>
    <cellStyle name="Comma 4 3 5 4 3" xfId="5863" xr:uid="{00000000-0005-0000-0000-0000BE090000}"/>
    <cellStyle name="Comma 4 3 5 4 3 2" xfId="14313" xr:uid="{DFC167AB-3419-452A-A942-942BA58E06CF}"/>
    <cellStyle name="Comma 4 3 5 4 4" xfId="10095" xr:uid="{0A701C94-B4CE-4DAF-B4B6-9FC82258F4B7}"/>
    <cellStyle name="Comma 4 3 5 5" xfId="1970" xr:uid="{00000000-0005-0000-0000-0000BF090000}"/>
    <cellStyle name="Comma 4 3 5 5 2" xfId="4199" xr:uid="{00000000-0005-0000-0000-0000C0090000}"/>
    <cellStyle name="Comma 4 3 5 5 2 2" xfId="8421" xr:uid="{00000000-0005-0000-0000-0000C1090000}"/>
    <cellStyle name="Comma 4 3 5 5 2 2 2" xfId="16871" xr:uid="{EDFC6DB7-B51C-4E04-82D9-3B44D658DF63}"/>
    <cellStyle name="Comma 4 3 5 5 2 3" xfId="12653" xr:uid="{022F1B0A-A999-4325-8DF7-5DE9284472CB}"/>
    <cellStyle name="Comma 4 3 5 5 3" xfId="6276" xr:uid="{00000000-0005-0000-0000-0000C2090000}"/>
    <cellStyle name="Comma 4 3 5 5 3 2" xfId="14726" xr:uid="{A5BBB68C-0AD3-48AF-AFBE-FF8C6A0E3B09}"/>
    <cellStyle name="Comma 4 3 5 5 4" xfId="10508" xr:uid="{6F67618E-D539-4C23-A042-1C210E95D46E}"/>
    <cellStyle name="Comma 4 3 5 6" xfId="2405" xr:uid="{00000000-0005-0000-0000-0000C3090000}"/>
    <cellStyle name="Comma 4 3 5 6 2" xfId="6689" xr:uid="{00000000-0005-0000-0000-0000C4090000}"/>
    <cellStyle name="Comma 4 3 5 6 2 2" xfId="15139" xr:uid="{511EA26A-CBF8-457A-8195-C40EDB87788F}"/>
    <cellStyle name="Comma 4 3 5 6 3" xfId="10921" xr:uid="{57A35DAF-D068-44AB-83F5-9E922013A8D6}"/>
    <cellStyle name="Comma 4 3 5 7" xfId="2701" xr:uid="{00000000-0005-0000-0000-0000C5090000}"/>
    <cellStyle name="Comma 4 3 5 8" xfId="2783" xr:uid="{00000000-0005-0000-0000-0000C6090000}"/>
    <cellStyle name="Comma 4 3 5 8 2" xfId="7006" xr:uid="{00000000-0005-0000-0000-0000C7090000}"/>
    <cellStyle name="Comma 4 3 5 8 2 2" xfId="15456" xr:uid="{3017D459-4434-4C4A-866A-EE9A6143B518}"/>
    <cellStyle name="Comma 4 3 5 8 3" xfId="11238" xr:uid="{F9C496B0-AEF2-4C2C-968C-0BFD0C0A4FD7}"/>
    <cellStyle name="Comma 4 3 5 9" xfId="4623" xr:uid="{00000000-0005-0000-0000-0000C8090000}"/>
    <cellStyle name="Comma 4 3 5 9 2" xfId="13073" xr:uid="{3FCBF7DF-9B61-45B3-A302-C1A9E4282AE1}"/>
    <cellStyle name="Comma 4 4" xfId="153" xr:uid="{00000000-0005-0000-0000-0000C9090000}"/>
    <cellStyle name="Comma 4 4 10" xfId="2784" xr:uid="{00000000-0005-0000-0000-0000CA090000}"/>
    <cellStyle name="Comma 4 4 10 2" xfId="7007" xr:uid="{00000000-0005-0000-0000-0000CB090000}"/>
    <cellStyle name="Comma 4 4 10 2 2" xfId="15457" xr:uid="{D0FFE28F-9F10-40C8-BCF7-5CF5349844AD}"/>
    <cellStyle name="Comma 4 4 10 3" xfId="11239" xr:uid="{9EA9CFC6-C82B-43B2-AA7E-BCE467ECA2E9}"/>
    <cellStyle name="Comma 4 4 11" xfId="4624" xr:uid="{00000000-0005-0000-0000-0000CC090000}"/>
    <cellStyle name="Comma 4 4 11 2" xfId="13074" xr:uid="{D699362E-7F5B-469A-8430-F25A2672E02A}"/>
    <cellStyle name="Comma 4 4 12" xfId="8856" xr:uid="{3E1BE5D3-38A2-4B65-8D3E-2E15DB9AE8BF}"/>
    <cellStyle name="Comma 4 4 2" xfId="154" xr:uid="{00000000-0005-0000-0000-0000CD090000}"/>
    <cellStyle name="Comma 4 4 2 10" xfId="4625" xr:uid="{00000000-0005-0000-0000-0000CE090000}"/>
    <cellStyle name="Comma 4 4 2 10 2" xfId="13075" xr:uid="{FC46CF35-4045-4AA1-B26B-A8FF835B02AD}"/>
    <cellStyle name="Comma 4 4 2 11" xfId="8857" xr:uid="{A11AB15B-F6D4-4AA4-B8EE-9A49B5A11930}"/>
    <cellStyle name="Comma 4 4 2 2" xfId="155" xr:uid="{00000000-0005-0000-0000-0000CF090000}"/>
    <cellStyle name="Comma 4 4 2 2 10" xfId="8858" xr:uid="{892476FE-6EE3-43C8-A147-0DC2F5F119A3}"/>
    <cellStyle name="Comma 4 4 2 2 2" xfId="692" xr:uid="{00000000-0005-0000-0000-0000D0090000}"/>
    <cellStyle name="Comma 4 4 2 2 2 2" xfId="2963" xr:uid="{00000000-0005-0000-0000-0000D1090000}"/>
    <cellStyle name="Comma 4 4 2 2 2 2 2" xfId="7185" xr:uid="{00000000-0005-0000-0000-0000D2090000}"/>
    <cellStyle name="Comma 4 4 2 2 2 2 2 2" xfId="15635" xr:uid="{0416150F-4187-4AAF-9576-8C918FE78375}"/>
    <cellStyle name="Comma 4 4 2 2 2 2 3" xfId="11417" xr:uid="{047B9377-4688-4C14-9E49-DE3B97546D99}"/>
    <cellStyle name="Comma 4 4 2 2 2 3" xfId="5040" xr:uid="{00000000-0005-0000-0000-0000D3090000}"/>
    <cellStyle name="Comma 4 4 2 2 2 3 2" xfId="13490" xr:uid="{BFF646B2-6B7B-4630-9008-B8E545292E2E}"/>
    <cellStyle name="Comma 4 4 2 2 2 4" xfId="9272" xr:uid="{18A42381-91CB-46F2-A001-DDD60FBE3C0C}"/>
    <cellStyle name="Comma 4 4 2 2 3" xfId="1145" xr:uid="{00000000-0005-0000-0000-0000D4090000}"/>
    <cellStyle name="Comma 4 4 2 2 3 2" xfId="3376" xr:uid="{00000000-0005-0000-0000-0000D5090000}"/>
    <cellStyle name="Comma 4 4 2 2 3 2 2" xfId="7598" xr:uid="{00000000-0005-0000-0000-0000D6090000}"/>
    <cellStyle name="Comma 4 4 2 2 3 2 2 2" xfId="16048" xr:uid="{A413DC96-1023-4D6A-8E05-1163D9A90F26}"/>
    <cellStyle name="Comma 4 4 2 2 3 2 3" xfId="11830" xr:uid="{4A4C0625-8076-4ACB-A972-CC269FC3AF78}"/>
    <cellStyle name="Comma 4 4 2 2 3 3" xfId="5453" xr:uid="{00000000-0005-0000-0000-0000D7090000}"/>
    <cellStyle name="Comma 4 4 2 2 3 3 2" xfId="13903" xr:uid="{63D31D94-C5A0-4716-B443-C8002DAC2B2D}"/>
    <cellStyle name="Comma 4 4 2 2 3 4" xfId="9685" xr:uid="{0F6E9D55-EA53-4BB2-8320-F65CDBF59DB3}"/>
    <cellStyle name="Comma 4 4 2 2 4" xfId="1559" xr:uid="{00000000-0005-0000-0000-0000D8090000}"/>
    <cellStyle name="Comma 4 4 2 2 4 2" xfId="3789" xr:uid="{00000000-0005-0000-0000-0000D9090000}"/>
    <cellStyle name="Comma 4 4 2 2 4 2 2" xfId="8011" xr:uid="{00000000-0005-0000-0000-0000DA090000}"/>
    <cellStyle name="Comma 4 4 2 2 4 2 2 2" xfId="16461" xr:uid="{8966D57A-40F0-4B4E-94E0-BA1DDF2DA23E}"/>
    <cellStyle name="Comma 4 4 2 2 4 2 3" xfId="12243" xr:uid="{4727614A-15BF-4E46-9FA6-5D1FD09639D7}"/>
    <cellStyle name="Comma 4 4 2 2 4 3" xfId="5866" xr:uid="{00000000-0005-0000-0000-0000DB090000}"/>
    <cellStyle name="Comma 4 4 2 2 4 3 2" xfId="14316" xr:uid="{BA26113A-6BE8-4CF6-9F5E-D4AEAC167005}"/>
    <cellStyle name="Comma 4 4 2 2 4 4" xfId="10098" xr:uid="{5D627533-3A77-4C81-B47C-43849077345E}"/>
    <cellStyle name="Comma 4 4 2 2 5" xfId="1973" xr:uid="{00000000-0005-0000-0000-0000DC090000}"/>
    <cellStyle name="Comma 4 4 2 2 5 2" xfId="4202" xr:uid="{00000000-0005-0000-0000-0000DD090000}"/>
    <cellStyle name="Comma 4 4 2 2 5 2 2" xfId="8424" xr:uid="{00000000-0005-0000-0000-0000DE090000}"/>
    <cellStyle name="Comma 4 4 2 2 5 2 2 2" xfId="16874" xr:uid="{AB92AFBD-D0CC-4978-B4D8-825A2FE6BFF2}"/>
    <cellStyle name="Comma 4 4 2 2 5 2 3" xfId="12656" xr:uid="{7ACFE4AD-D53F-4BAC-9694-7BC015D4276D}"/>
    <cellStyle name="Comma 4 4 2 2 5 3" xfId="6279" xr:uid="{00000000-0005-0000-0000-0000DF090000}"/>
    <cellStyle name="Comma 4 4 2 2 5 3 2" xfId="14729" xr:uid="{6596AB6A-324D-4570-928C-FC0ED9ECE119}"/>
    <cellStyle name="Comma 4 4 2 2 5 4" xfId="10511" xr:uid="{D1EEE70B-730B-4510-B8B8-7CDA0798D237}"/>
    <cellStyle name="Comma 4 4 2 2 6" xfId="2408" xr:uid="{00000000-0005-0000-0000-0000E0090000}"/>
    <cellStyle name="Comma 4 4 2 2 6 2" xfId="6692" xr:uid="{00000000-0005-0000-0000-0000E1090000}"/>
    <cellStyle name="Comma 4 4 2 2 6 2 2" xfId="15142" xr:uid="{8A4B240D-4EB1-4BCE-B351-03D5F140AFE9}"/>
    <cellStyle name="Comma 4 4 2 2 6 3" xfId="10924" xr:uid="{DBF87A4E-EA5A-4C63-81E1-B22E092B5A93}"/>
    <cellStyle name="Comma 4 4 2 2 7" xfId="2704" xr:uid="{00000000-0005-0000-0000-0000E2090000}"/>
    <cellStyle name="Comma 4 4 2 2 8" xfId="2786" xr:uid="{00000000-0005-0000-0000-0000E3090000}"/>
    <cellStyle name="Comma 4 4 2 2 8 2" xfId="7009" xr:uid="{00000000-0005-0000-0000-0000E4090000}"/>
    <cellStyle name="Comma 4 4 2 2 8 2 2" xfId="15459" xr:uid="{90CA84E3-0F47-408D-BFB6-E8D1A733651A}"/>
    <cellStyle name="Comma 4 4 2 2 8 3" xfId="11241" xr:uid="{4B07787F-4D2F-4662-BE25-92D1397232D0}"/>
    <cellStyle name="Comma 4 4 2 2 9" xfId="4626" xr:uid="{00000000-0005-0000-0000-0000E5090000}"/>
    <cellStyle name="Comma 4 4 2 2 9 2" xfId="13076" xr:uid="{FF72B44B-5F87-4E7D-930C-CCF3E300C921}"/>
    <cellStyle name="Comma 4 4 2 3" xfId="691" xr:uid="{00000000-0005-0000-0000-0000E6090000}"/>
    <cellStyle name="Comma 4 4 2 3 2" xfId="2962" xr:uid="{00000000-0005-0000-0000-0000E7090000}"/>
    <cellStyle name="Comma 4 4 2 3 2 2" xfId="7184" xr:uid="{00000000-0005-0000-0000-0000E8090000}"/>
    <cellStyle name="Comma 4 4 2 3 2 2 2" xfId="15634" xr:uid="{C301A7DB-B867-4B03-9858-D6B35F6497DF}"/>
    <cellStyle name="Comma 4 4 2 3 2 3" xfId="11416" xr:uid="{24889F83-78CD-4DC1-81A3-51C782C5B946}"/>
    <cellStyle name="Comma 4 4 2 3 3" xfId="5039" xr:uid="{00000000-0005-0000-0000-0000E9090000}"/>
    <cellStyle name="Comma 4 4 2 3 3 2" xfId="13489" xr:uid="{C13A7AEE-D4E6-48EA-917E-B282593CD56F}"/>
    <cellStyle name="Comma 4 4 2 3 4" xfId="9271" xr:uid="{81DB969D-7A2C-4DEE-9A32-69AE41F97102}"/>
    <cellStyle name="Comma 4 4 2 4" xfId="1144" xr:uid="{00000000-0005-0000-0000-0000EA090000}"/>
    <cellStyle name="Comma 4 4 2 4 2" xfId="3375" xr:uid="{00000000-0005-0000-0000-0000EB090000}"/>
    <cellStyle name="Comma 4 4 2 4 2 2" xfId="7597" xr:uid="{00000000-0005-0000-0000-0000EC090000}"/>
    <cellStyle name="Comma 4 4 2 4 2 2 2" xfId="16047" xr:uid="{02AEAA56-1EF3-456E-A870-BEE76D49DF39}"/>
    <cellStyle name="Comma 4 4 2 4 2 3" xfId="11829" xr:uid="{2314FFEE-04AA-400F-8521-592376AAFBE5}"/>
    <cellStyle name="Comma 4 4 2 4 3" xfId="5452" xr:uid="{00000000-0005-0000-0000-0000ED090000}"/>
    <cellStyle name="Comma 4 4 2 4 3 2" xfId="13902" xr:uid="{751D6008-CEF9-4F71-8A35-8C293CC1BEEB}"/>
    <cellStyle name="Comma 4 4 2 4 4" xfId="9684" xr:uid="{460DF510-6FCC-4742-9BF6-8AA7F144E65A}"/>
    <cellStyle name="Comma 4 4 2 5" xfId="1558" xr:uid="{00000000-0005-0000-0000-0000EE090000}"/>
    <cellStyle name="Comma 4 4 2 5 2" xfId="3788" xr:uid="{00000000-0005-0000-0000-0000EF090000}"/>
    <cellStyle name="Comma 4 4 2 5 2 2" xfId="8010" xr:uid="{00000000-0005-0000-0000-0000F0090000}"/>
    <cellStyle name="Comma 4 4 2 5 2 2 2" xfId="16460" xr:uid="{D0D8B60A-8AE4-4907-ADA2-52997056AA7A}"/>
    <cellStyle name="Comma 4 4 2 5 2 3" xfId="12242" xr:uid="{414CC9D5-D48E-4801-B262-1F8FA586B8C6}"/>
    <cellStyle name="Comma 4 4 2 5 3" xfId="5865" xr:uid="{00000000-0005-0000-0000-0000F1090000}"/>
    <cellStyle name="Comma 4 4 2 5 3 2" xfId="14315" xr:uid="{0113208A-AAF1-4D0F-89E1-25305C7A4D7A}"/>
    <cellStyle name="Comma 4 4 2 5 4" xfId="10097" xr:uid="{900C9E10-3999-458D-853E-F4437B37123E}"/>
    <cellStyle name="Comma 4 4 2 6" xfId="1972" xr:uid="{00000000-0005-0000-0000-0000F2090000}"/>
    <cellStyle name="Comma 4 4 2 6 2" xfId="4201" xr:uid="{00000000-0005-0000-0000-0000F3090000}"/>
    <cellStyle name="Comma 4 4 2 6 2 2" xfId="8423" xr:uid="{00000000-0005-0000-0000-0000F4090000}"/>
    <cellStyle name="Comma 4 4 2 6 2 2 2" xfId="16873" xr:uid="{F7ECA03A-8DC7-46DE-9355-BBD4D411C9CD}"/>
    <cellStyle name="Comma 4 4 2 6 2 3" xfId="12655" xr:uid="{DAF62ADE-EA29-409C-9AE6-9BD163486817}"/>
    <cellStyle name="Comma 4 4 2 6 3" xfId="6278" xr:uid="{00000000-0005-0000-0000-0000F5090000}"/>
    <cellStyle name="Comma 4 4 2 6 3 2" xfId="14728" xr:uid="{79FF0259-CA4A-4B8A-9E55-A9F3AA6C87F9}"/>
    <cellStyle name="Comma 4 4 2 6 4" xfId="10510" xr:uid="{99BEEA91-5757-476E-97B1-5434260017F3}"/>
    <cellStyle name="Comma 4 4 2 7" xfId="2407" xr:uid="{00000000-0005-0000-0000-0000F6090000}"/>
    <cellStyle name="Comma 4 4 2 7 2" xfId="6691" xr:uid="{00000000-0005-0000-0000-0000F7090000}"/>
    <cellStyle name="Comma 4 4 2 7 2 2" xfId="15141" xr:uid="{AFE12DC3-1D51-402F-8CEA-38625DA02399}"/>
    <cellStyle name="Comma 4 4 2 7 3" xfId="10923" xr:uid="{EE62705A-E1F3-4D24-BDA2-32009351A7E6}"/>
    <cellStyle name="Comma 4 4 2 8" xfId="2703" xr:uid="{00000000-0005-0000-0000-0000F8090000}"/>
    <cellStyle name="Comma 4 4 2 9" xfId="2785" xr:uid="{00000000-0005-0000-0000-0000F9090000}"/>
    <cellStyle name="Comma 4 4 2 9 2" xfId="7008" xr:uid="{00000000-0005-0000-0000-0000FA090000}"/>
    <cellStyle name="Comma 4 4 2 9 2 2" xfId="15458" xr:uid="{BB136394-F343-4843-8B9E-3EB592A27EE0}"/>
    <cellStyle name="Comma 4 4 2 9 3" xfId="11240" xr:uid="{3F9ABCE5-2B72-4858-800E-54572AB2EDBA}"/>
    <cellStyle name="Comma 4 4 3" xfId="156" xr:uid="{00000000-0005-0000-0000-0000FB090000}"/>
    <cellStyle name="Comma 4 4 3 10" xfId="8859" xr:uid="{BAA7591E-1CBE-4C06-9282-6180D6FBD5C1}"/>
    <cellStyle name="Comma 4 4 3 2" xfId="693" xr:uid="{00000000-0005-0000-0000-0000FC090000}"/>
    <cellStyle name="Comma 4 4 3 2 2" xfId="2964" xr:uid="{00000000-0005-0000-0000-0000FD090000}"/>
    <cellStyle name="Comma 4 4 3 2 2 2" xfId="7186" xr:uid="{00000000-0005-0000-0000-0000FE090000}"/>
    <cellStyle name="Comma 4 4 3 2 2 2 2" xfId="15636" xr:uid="{B0065B96-DEB8-44BB-BD37-D6A14BBB7FDB}"/>
    <cellStyle name="Comma 4 4 3 2 2 3" xfId="11418" xr:uid="{9BB4331B-23E6-4290-BA14-F295F4406503}"/>
    <cellStyle name="Comma 4 4 3 2 3" xfId="5041" xr:uid="{00000000-0005-0000-0000-0000FF090000}"/>
    <cellStyle name="Comma 4 4 3 2 3 2" xfId="13491" xr:uid="{E440A23B-3B7A-40CF-A8D0-1554261E1A89}"/>
    <cellStyle name="Comma 4 4 3 2 4" xfId="9273" xr:uid="{1D07129C-B8BC-411E-8EF6-EFDB7FADFC18}"/>
    <cellStyle name="Comma 4 4 3 3" xfId="1146" xr:uid="{00000000-0005-0000-0000-0000000A0000}"/>
    <cellStyle name="Comma 4 4 3 3 2" xfId="3377" xr:uid="{00000000-0005-0000-0000-0000010A0000}"/>
    <cellStyle name="Comma 4 4 3 3 2 2" xfId="7599" xr:uid="{00000000-0005-0000-0000-0000020A0000}"/>
    <cellStyle name="Comma 4 4 3 3 2 2 2" xfId="16049" xr:uid="{0A122224-8C47-4AF7-AD07-24C24BA228E2}"/>
    <cellStyle name="Comma 4 4 3 3 2 3" xfId="11831" xr:uid="{40B7B39C-2A2F-4A55-A875-B331433A2D25}"/>
    <cellStyle name="Comma 4 4 3 3 3" xfId="5454" xr:uid="{00000000-0005-0000-0000-0000030A0000}"/>
    <cellStyle name="Comma 4 4 3 3 3 2" xfId="13904" xr:uid="{4908BBE8-8665-472F-9E82-D000DA5FBA3E}"/>
    <cellStyle name="Comma 4 4 3 3 4" xfId="9686" xr:uid="{08C15274-0BDF-438B-B01F-5F2EAD62F858}"/>
    <cellStyle name="Comma 4 4 3 4" xfId="1560" xr:uid="{00000000-0005-0000-0000-0000040A0000}"/>
    <cellStyle name="Comma 4 4 3 4 2" xfId="3790" xr:uid="{00000000-0005-0000-0000-0000050A0000}"/>
    <cellStyle name="Comma 4 4 3 4 2 2" xfId="8012" xr:uid="{00000000-0005-0000-0000-0000060A0000}"/>
    <cellStyle name="Comma 4 4 3 4 2 2 2" xfId="16462" xr:uid="{4125DCEB-EC27-4B9C-A260-0B41B1E40F91}"/>
    <cellStyle name="Comma 4 4 3 4 2 3" xfId="12244" xr:uid="{FE28D4F4-FFF7-4F80-92B2-417A2834DE06}"/>
    <cellStyle name="Comma 4 4 3 4 3" xfId="5867" xr:uid="{00000000-0005-0000-0000-0000070A0000}"/>
    <cellStyle name="Comma 4 4 3 4 3 2" xfId="14317" xr:uid="{54752190-5AC8-4BEF-B6A6-C041FD5EC2B6}"/>
    <cellStyle name="Comma 4 4 3 4 4" xfId="10099" xr:uid="{59969C4D-73D9-4C18-9856-64FF47EDDAD1}"/>
    <cellStyle name="Comma 4 4 3 5" xfId="1974" xr:uid="{00000000-0005-0000-0000-0000080A0000}"/>
    <cellStyle name="Comma 4 4 3 5 2" xfId="4203" xr:uid="{00000000-0005-0000-0000-0000090A0000}"/>
    <cellStyle name="Comma 4 4 3 5 2 2" xfId="8425" xr:uid="{00000000-0005-0000-0000-00000A0A0000}"/>
    <cellStyle name="Comma 4 4 3 5 2 2 2" xfId="16875" xr:uid="{2E714178-315A-4F80-843E-9871058563F0}"/>
    <cellStyle name="Comma 4 4 3 5 2 3" xfId="12657" xr:uid="{5D8BDB46-651E-4DD3-975F-0F6595B61A29}"/>
    <cellStyle name="Comma 4 4 3 5 3" xfId="6280" xr:uid="{00000000-0005-0000-0000-00000B0A0000}"/>
    <cellStyle name="Comma 4 4 3 5 3 2" xfId="14730" xr:uid="{C675FF36-6AD3-4BFB-9EFB-07A1322DCEF4}"/>
    <cellStyle name="Comma 4 4 3 5 4" xfId="10512" xr:uid="{C1A1578E-99A9-4B4F-8452-AFC87BDA3707}"/>
    <cellStyle name="Comma 4 4 3 6" xfId="2409" xr:uid="{00000000-0005-0000-0000-00000C0A0000}"/>
    <cellStyle name="Comma 4 4 3 6 2" xfId="6693" xr:uid="{00000000-0005-0000-0000-00000D0A0000}"/>
    <cellStyle name="Comma 4 4 3 6 2 2" xfId="15143" xr:uid="{E5782E98-56FD-48F2-AA6C-4EDC92E13508}"/>
    <cellStyle name="Comma 4 4 3 6 3" xfId="10925" xr:uid="{CA251B7A-84D8-4FCF-94A9-FBBBC0DC3BFF}"/>
    <cellStyle name="Comma 4 4 3 7" xfId="2705" xr:uid="{00000000-0005-0000-0000-00000E0A0000}"/>
    <cellStyle name="Comma 4 4 3 8" xfId="2787" xr:uid="{00000000-0005-0000-0000-00000F0A0000}"/>
    <cellStyle name="Comma 4 4 3 8 2" xfId="7010" xr:uid="{00000000-0005-0000-0000-0000100A0000}"/>
    <cellStyle name="Comma 4 4 3 8 2 2" xfId="15460" xr:uid="{3F7F283D-1A52-4EF1-8BF1-193E1BD6B029}"/>
    <cellStyle name="Comma 4 4 3 8 3" xfId="11242" xr:uid="{F3992410-3E2C-4DD7-B404-0E79CE882E56}"/>
    <cellStyle name="Comma 4 4 3 9" xfId="4627" xr:uid="{00000000-0005-0000-0000-0000110A0000}"/>
    <cellStyle name="Comma 4 4 3 9 2" xfId="13077" xr:uid="{D95AA655-E5BB-4E07-A96D-F42E596A3ADA}"/>
    <cellStyle name="Comma 4 4 4" xfId="690" xr:uid="{00000000-0005-0000-0000-0000120A0000}"/>
    <cellStyle name="Comma 4 4 4 2" xfId="2961" xr:uid="{00000000-0005-0000-0000-0000130A0000}"/>
    <cellStyle name="Comma 4 4 4 2 2" xfId="7183" xr:uid="{00000000-0005-0000-0000-0000140A0000}"/>
    <cellStyle name="Comma 4 4 4 2 2 2" xfId="15633" xr:uid="{2B14C9BA-F479-4697-B807-31C2E3F4C17C}"/>
    <cellStyle name="Comma 4 4 4 2 3" xfId="11415" xr:uid="{D3301D28-C669-44EF-AE9D-6044C23FB8E4}"/>
    <cellStyle name="Comma 4 4 4 3" xfId="5038" xr:uid="{00000000-0005-0000-0000-0000150A0000}"/>
    <cellStyle name="Comma 4 4 4 3 2" xfId="13488" xr:uid="{CBDA0CC1-A24D-4CF8-B534-DAE00962934A}"/>
    <cellStyle name="Comma 4 4 4 4" xfId="9270" xr:uid="{FC32079E-6E64-43B3-8092-5B37584BB11E}"/>
    <cellStyle name="Comma 4 4 5" xfId="1143" xr:uid="{00000000-0005-0000-0000-0000160A0000}"/>
    <cellStyle name="Comma 4 4 5 2" xfId="3374" xr:uid="{00000000-0005-0000-0000-0000170A0000}"/>
    <cellStyle name="Comma 4 4 5 2 2" xfId="7596" xr:uid="{00000000-0005-0000-0000-0000180A0000}"/>
    <cellStyle name="Comma 4 4 5 2 2 2" xfId="16046" xr:uid="{7F867D3F-693E-4E5A-8B5B-851DA9B3577E}"/>
    <cellStyle name="Comma 4 4 5 2 3" xfId="11828" xr:uid="{ED8AEDCB-FA5C-4C37-B1D7-9B4090BC66F7}"/>
    <cellStyle name="Comma 4 4 5 3" xfId="5451" xr:uid="{00000000-0005-0000-0000-0000190A0000}"/>
    <cellStyle name="Comma 4 4 5 3 2" xfId="13901" xr:uid="{232BBDB3-9C48-4C60-B61A-106568F309DF}"/>
    <cellStyle name="Comma 4 4 5 4" xfId="9683" xr:uid="{B34F0E19-D83F-4D76-A391-295CF3952B22}"/>
    <cellStyle name="Comma 4 4 6" xfId="1557" xr:uid="{00000000-0005-0000-0000-00001A0A0000}"/>
    <cellStyle name="Comma 4 4 6 2" xfId="3787" xr:uid="{00000000-0005-0000-0000-00001B0A0000}"/>
    <cellStyle name="Comma 4 4 6 2 2" xfId="8009" xr:uid="{00000000-0005-0000-0000-00001C0A0000}"/>
    <cellStyle name="Comma 4 4 6 2 2 2" xfId="16459" xr:uid="{7D810DA9-4E5A-479C-8986-529BEF44A514}"/>
    <cellStyle name="Comma 4 4 6 2 3" xfId="12241" xr:uid="{213268B3-B776-48F3-ABED-A356799199B7}"/>
    <cellStyle name="Comma 4 4 6 3" xfId="5864" xr:uid="{00000000-0005-0000-0000-00001D0A0000}"/>
    <cellStyle name="Comma 4 4 6 3 2" xfId="14314" xr:uid="{2CAE08FA-331A-45B6-94CF-1DFA1ED2417E}"/>
    <cellStyle name="Comma 4 4 6 4" xfId="10096" xr:uid="{B148CB0A-273F-41BE-90CF-9FF3FCC7829C}"/>
    <cellStyle name="Comma 4 4 7" xfId="1971" xr:uid="{00000000-0005-0000-0000-00001E0A0000}"/>
    <cellStyle name="Comma 4 4 7 2" xfId="4200" xr:uid="{00000000-0005-0000-0000-00001F0A0000}"/>
    <cellStyle name="Comma 4 4 7 2 2" xfId="8422" xr:uid="{00000000-0005-0000-0000-0000200A0000}"/>
    <cellStyle name="Comma 4 4 7 2 2 2" xfId="16872" xr:uid="{35E83845-5A18-4865-89AE-661A4E40234E}"/>
    <cellStyle name="Comma 4 4 7 2 3" xfId="12654" xr:uid="{D1C418C0-5DD0-43B3-8D11-208182DBF250}"/>
    <cellStyle name="Comma 4 4 7 3" xfId="6277" xr:uid="{00000000-0005-0000-0000-0000210A0000}"/>
    <cellStyle name="Comma 4 4 7 3 2" xfId="14727" xr:uid="{F0BA4C8D-6767-40D7-8470-1D5F1EB984A2}"/>
    <cellStyle name="Comma 4 4 7 4" xfId="10509" xr:uid="{2486F4C7-4AC3-4102-8866-7F136DEA757A}"/>
    <cellStyle name="Comma 4 4 8" xfId="2406" xr:uid="{00000000-0005-0000-0000-0000220A0000}"/>
    <cellStyle name="Comma 4 4 8 2" xfId="6690" xr:uid="{00000000-0005-0000-0000-0000230A0000}"/>
    <cellStyle name="Comma 4 4 8 2 2" xfId="15140" xr:uid="{B065FCC3-9996-45DF-B0BE-2095A5B86382}"/>
    <cellStyle name="Comma 4 4 8 3" xfId="10922" xr:uid="{A34C95D7-6362-48A9-89A0-DA9496066641}"/>
    <cellStyle name="Comma 4 4 9" xfId="2702" xr:uid="{00000000-0005-0000-0000-0000240A0000}"/>
    <cellStyle name="Comma 4 5" xfId="157" xr:uid="{00000000-0005-0000-0000-0000250A0000}"/>
    <cellStyle name="Comma 4 5 10" xfId="4628" xr:uid="{00000000-0005-0000-0000-0000260A0000}"/>
    <cellStyle name="Comma 4 5 10 2" xfId="13078" xr:uid="{98A45C4E-FE8F-4F43-81B4-80B02F39D34A}"/>
    <cellStyle name="Comma 4 5 11" xfId="8860" xr:uid="{1466B5F5-ED20-4901-AA3E-94C029BD91FB}"/>
    <cellStyle name="Comma 4 5 2" xfId="158" xr:uid="{00000000-0005-0000-0000-0000270A0000}"/>
    <cellStyle name="Comma 4 5 2 10" xfId="8861" xr:uid="{2B35BD56-8C7F-4FC7-B586-A68C1CB5D2E0}"/>
    <cellStyle name="Comma 4 5 2 2" xfId="695" xr:uid="{00000000-0005-0000-0000-0000280A0000}"/>
    <cellStyle name="Comma 4 5 2 2 2" xfId="2966" xr:uid="{00000000-0005-0000-0000-0000290A0000}"/>
    <cellStyle name="Comma 4 5 2 2 2 2" xfId="7188" xr:uid="{00000000-0005-0000-0000-00002A0A0000}"/>
    <cellStyle name="Comma 4 5 2 2 2 2 2" xfId="15638" xr:uid="{C63D294A-DDC9-43C4-852F-FD1FEB0B5B4D}"/>
    <cellStyle name="Comma 4 5 2 2 2 3" xfId="11420" xr:uid="{B62ACBCB-A7D2-4002-8EB0-9742BC8634CA}"/>
    <cellStyle name="Comma 4 5 2 2 3" xfId="5043" xr:uid="{00000000-0005-0000-0000-00002B0A0000}"/>
    <cellStyle name="Comma 4 5 2 2 3 2" xfId="13493" xr:uid="{D0565C04-9235-4FD6-9AD2-3B2E81BFAA29}"/>
    <cellStyle name="Comma 4 5 2 2 4" xfId="9275" xr:uid="{A4BFE21F-444C-4487-9BD2-0E65F9A7CD85}"/>
    <cellStyle name="Comma 4 5 2 3" xfId="1148" xr:uid="{00000000-0005-0000-0000-00002C0A0000}"/>
    <cellStyle name="Comma 4 5 2 3 2" xfId="3379" xr:uid="{00000000-0005-0000-0000-00002D0A0000}"/>
    <cellStyle name="Comma 4 5 2 3 2 2" xfId="7601" xr:uid="{00000000-0005-0000-0000-00002E0A0000}"/>
    <cellStyle name="Comma 4 5 2 3 2 2 2" xfId="16051" xr:uid="{50B032C6-800A-45E0-A7E3-012A90A2311A}"/>
    <cellStyle name="Comma 4 5 2 3 2 3" xfId="11833" xr:uid="{06271D53-D2FB-46C2-93E4-4F9A966E7B68}"/>
    <cellStyle name="Comma 4 5 2 3 3" xfId="5456" xr:uid="{00000000-0005-0000-0000-00002F0A0000}"/>
    <cellStyle name="Comma 4 5 2 3 3 2" xfId="13906" xr:uid="{FC36E447-57B7-471B-B33F-2738BDF43966}"/>
    <cellStyle name="Comma 4 5 2 3 4" xfId="9688" xr:uid="{B29254E8-96E3-43BE-898E-D80D29B3C8FC}"/>
    <cellStyle name="Comma 4 5 2 4" xfId="1562" xr:uid="{00000000-0005-0000-0000-0000300A0000}"/>
    <cellStyle name="Comma 4 5 2 4 2" xfId="3792" xr:uid="{00000000-0005-0000-0000-0000310A0000}"/>
    <cellStyle name="Comma 4 5 2 4 2 2" xfId="8014" xr:uid="{00000000-0005-0000-0000-0000320A0000}"/>
    <cellStyle name="Comma 4 5 2 4 2 2 2" xfId="16464" xr:uid="{DF65CD0B-9DB0-4F88-B468-CAA0D1D475F6}"/>
    <cellStyle name="Comma 4 5 2 4 2 3" xfId="12246" xr:uid="{0E024B62-A882-4644-9DEE-82533073A2CF}"/>
    <cellStyle name="Comma 4 5 2 4 3" xfId="5869" xr:uid="{00000000-0005-0000-0000-0000330A0000}"/>
    <cellStyle name="Comma 4 5 2 4 3 2" xfId="14319" xr:uid="{6FFBE886-2845-4269-A9D7-ECC7EFAF596C}"/>
    <cellStyle name="Comma 4 5 2 4 4" xfId="10101" xr:uid="{4EE24368-8F40-4329-B1CB-57285D42ED5F}"/>
    <cellStyle name="Comma 4 5 2 5" xfId="1976" xr:uid="{00000000-0005-0000-0000-0000340A0000}"/>
    <cellStyle name="Comma 4 5 2 5 2" xfId="4205" xr:uid="{00000000-0005-0000-0000-0000350A0000}"/>
    <cellStyle name="Comma 4 5 2 5 2 2" xfId="8427" xr:uid="{00000000-0005-0000-0000-0000360A0000}"/>
    <cellStyle name="Comma 4 5 2 5 2 2 2" xfId="16877" xr:uid="{D7ED2F5E-4214-4608-9E4B-DC3BD8F93C10}"/>
    <cellStyle name="Comma 4 5 2 5 2 3" xfId="12659" xr:uid="{B59B7789-FBB6-4390-A864-125610E33FAE}"/>
    <cellStyle name="Comma 4 5 2 5 3" xfId="6282" xr:uid="{00000000-0005-0000-0000-0000370A0000}"/>
    <cellStyle name="Comma 4 5 2 5 3 2" xfId="14732" xr:uid="{45DF2B35-43C7-4159-ADC0-ADCC721FF940}"/>
    <cellStyle name="Comma 4 5 2 5 4" xfId="10514" xr:uid="{D4BCC870-F1A9-4372-B124-558226826521}"/>
    <cellStyle name="Comma 4 5 2 6" xfId="2411" xr:uid="{00000000-0005-0000-0000-0000380A0000}"/>
    <cellStyle name="Comma 4 5 2 6 2" xfId="6695" xr:uid="{00000000-0005-0000-0000-0000390A0000}"/>
    <cellStyle name="Comma 4 5 2 6 2 2" xfId="15145" xr:uid="{78995A1B-03A1-4973-AE71-2053BFE178B6}"/>
    <cellStyle name="Comma 4 5 2 6 3" xfId="10927" xr:uid="{BB4EE083-E95B-44D6-9C2C-3E3A62213F43}"/>
    <cellStyle name="Comma 4 5 2 7" xfId="2707" xr:uid="{00000000-0005-0000-0000-00003A0A0000}"/>
    <cellStyle name="Comma 4 5 2 8" xfId="2789" xr:uid="{00000000-0005-0000-0000-00003B0A0000}"/>
    <cellStyle name="Comma 4 5 2 8 2" xfId="7012" xr:uid="{00000000-0005-0000-0000-00003C0A0000}"/>
    <cellStyle name="Comma 4 5 2 8 2 2" xfId="15462" xr:uid="{2DF99BFB-4CD5-4119-964B-EDB1831405B3}"/>
    <cellStyle name="Comma 4 5 2 8 3" xfId="11244" xr:uid="{D27C7AE8-3643-4349-8A01-F8176F7A6506}"/>
    <cellStyle name="Comma 4 5 2 9" xfId="4629" xr:uid="{00000000-0005-0000-0000-00003D0A0000}"/>
    <cellStyle name="Comma 4 5 2 9 2" xfId="13079" xr:uid="{2B12906D-766E-46AA-A259-517216362D9C}"/>
    <cellStyle name="Comma 4 5 3" xfId="694" xr:uid="{00000000-0005-0000-0000-00003E0A0000}"/>
    <cellStyle name="Comma 4 5 3 2" xfId="2965" xr:uid="{00000000-0005-0000-0000-00003F0A0000}"/>
    <cellStyle name="Comma 4 5 3 2 2" xfId="7187" xr:uid="{00000000-0005-0000-0000-0000400A0000}"/>
    <cellStyle name="Comma 4 5 3 2 2 2" xfId="15637" xr:uid="{0CD3C92F-E9EC-4015-99D1-27D91530181B}"/>
    <cellStyle name="Comma 4 5 3 2 3" xfId="11419" xr:uid="{AE23C017-B8C4-4A8A-9FA8-B42E974D33AA}"/>
    <cellStyle name="Comma 4 5 3 3" xfId="5042" xr:uid="{00000000-0005-0000-0000-0000410A0000}"/>
    <cellStyle name="Comma 4 5 3 3 2" xfId="13492" xr:uid="{DEDBC008-81C7-42CF-8809-EE7DBE54044E}"/>
    <cellStyle name="Comma 4 5 3 4" xfId="9274" xr:uid="{E0993E72-64B0-4BCF-A224-4BD7E2C1D1D3}"/>
    <cellStyle name="Comma 4 5 4" xfId="1147" xr:uid="{00000000-0005-0000-0000-0000420A0000}"/>
    <cellStyle name="Comma 4 5 4 2" xfId="3378" xr:uid="{00000000-0005-0000-0000-0000430A0000}"/>
    <cellStyle name="Comma 4 5 4 2 2" xfId="7600" xr:uid="{00000000-0005-0000-0000-0000440A0000}"/>
    <cellStyle name="Comma 4 5 4 2 2 2" xfId="16050" xr:uid="{2335E80C-FAB2-42DF-800D-954D508AE515}"/>
    <cellStyle name="Comma 4 5 4 2 3" xfId="11832" xr:uid="{83657DF0-7AFB-41B1-9B76-6798340DAE9D}"/>
    <cellStyle name="Comma 4 5 4 3" xfId="5455" xr:uid="{00000000-0005-0000-0000-0000450A0000}"/>
    <cellStyle name="Comma 4 5 4 3 2" xfId="13905" xr:uid="{2F1A1285-2CDC-49F9-93E2-0A5B840F44DF}"/>
    <cellStyle name="Comma 4 5 4 4" xfId="9687" xr:uid="{FFA288AE-CAFA-4A33-8C7D-EF3175AA9BF1}"/>
    <cellStyle name="Comma 4 5 5" xfId="1561" xr:uid="{00000000-0005-0000-0000-0000460A0000}"/>
    <cellStyle name="Comma 4 5 5 2" xfId="3791" xr:uid="{00000000-0005-0000-0000-0000470A0000}"/>
    <cellStyle name="Comma 4 5 5 2 2" xfId="8013" xr:uid="{00000000-0005-0000-0000-0000480A0000}"/>
    <cellStyle name="Comma 4 5 5 2 2 2" xfId="16463" xr:uid="{646183F8-6BE5-45BF-97DE-11B09138304D}"/>
    <cellStyle name="Comma 4 5 5 2 3" xfId="12245" xr:uid="{FC0C3F3C-0A25-4F24-A718-A927B52480EA}"/>
    <cellStyle name="Comma 4 5 5 3" xfId="5868" xr:uid="{00000000-0005-0000-0000-0000490A0000}"/>
    <cellStyle name="Comma 4 5 5 3 2" xfId="14318" xr:uid="{B35EA4F1-D533-46B3-A924-1FD2CF1069EF}"/>
    <cellStyle name="Comma 4 5 5 4" xfId="10100" xr:uid="{FD08A2F6-821D-4403-915B-31E4AB8318D0}"/>
    <cellStyle name="Comma 4 5 6" xfId="1975" xr:uid="{00000000-0005-0000-0000-00004A0A0000}"/>
    <cellStyle name="Comma 4 5 6 2" xfId="4204" xr:uid="{00000000-0005-0000-0000-00004B0A0000}"/>
    <cellStyle name="Comma 4 5 6 2 2" xfId="8426" xr:uid="{00000000-0005-0000-0000-00004C0A0000}"/>
    <cellStyle name="Comma 4 5 6 2 2 2" xfId="16876" xr:uid="{A3403428-1925-4011-B646-A0BFC48AFA7F}"/>
    <cellStyle name="Comma 4 5 6 2 3" xfId="12658" xr:uid="{414A503B-8865-4E60-B5D0-5639E3714A0A}"/>
    <cellStyle name="Comma 4 5 6 3" xfId="6281" xr:uid="{00000000-0005-0000-0000-00004D0A0000}"/>
    <cellStyle name="Comma 4 5 6 3 2" xfId="14731" xr:uid="{901C8B08-1D17-4C2D-8C46-10C5FFCBA696}"/>
    <cellStyle name="Comma 4 5 6 4" xfId="10513" xr:uid="{B4167A67-308D-4AC3-9CC0-FA0F1DB5E4CB}"/>
    <cellStyle name="Comma 4 5 7" xfId="2410" xr:uid="{00000000-0005-0000-0000-00004E0A0000}"/>
    <cellStyle name="Comma 4 5 7 2" xfId="6694" xr:uid="{00000000-0005-0000-0000-00004F0A0000}"/>
    <cellStyle name="Comma 4 5 7 2 2" xfId="15144" xr:uid="{1B9FB287-752A-4BCB-B4F7-DCD3280EFB76}"/>
    <cellStyle name="Comma 4 5 7 3" xfId="10926" xr:uid="{9210752C-E34D-4E36-9ADF-CCA961BAEC21}"/>
    <cellStyle name="Comma 4 5 8" xfId="2706" xr:uid="{00000000-0005-0000-0000-0000500A0000}"/>
    <cellStyle name="Comma 4 5 9" xfId="2788" xr:uid="{00000000-0005-0000-0000-0000510A0000}"/>
    <cellStyle name="Comma 4 5 9 2" xfId="7011" xr:uid="{00000000-0005-0000-0000-0000520A0000}"/>
    <cellStyle name="Comma 4 5 9 2 2" xfId="15461" xr:uid="{535B7AE0-EDD8-42AF-951E-4B6CEBD995A9}"/>
    <cellStyle name="Comma 4 5 9 3" xfId="11243" xr:uid="{467EEC4C-A38E-440A-9AC7-3B7414B75DD9}"/>
    <cellStyle name="Comma 4 6" xfId="159" xr:uid="{00000000-0005-0000-0000-0000530A0000}"/>
    <cellStyle name="Comma 4 6 10" xfId="8862" xr:uid="{7C11C829-0485-4E98-A281-843592C066AD}"/>
    <cellStyle name="Comma 4 6 2" xfId="696" xr:uid="{00000000-0005-0000-0000-0000540A0000}"/>
    <cellStyle name="Comma 4 6 2 2" xfId="2967" xr:uid="{00000000-0005-0000-0000-0000550A0000}"/>
    <cellStyle name="Comma 4 6 2 2 2" xfId="7189" xr:uid="{00000000-0005-0000-0000-0000560A0000}"/>
    <cellStyle name="Comma 4 6 2 2 2 2" xfId="15639" xr:uid="{3C5A42BF-5A4A-44C5-A05C-1087203193C8}"/>
    <cellStyle name="Comma 4 6 2 2 3" xfId="11421" xr:uid="{A788377B-F4C7-47A2-BC03-6DCF3897D366}"/>
    <cellStyle name="Comma 4 6 2 3" xfId="5044" xr:uid="{00000000-0005-0000-0000-0000570A0000}"/>
    <cellStyle name="Comma 4 6 2 3 2" xfId="13494" xr:uid="{46853326-EDDE-4D0E-8750-FC67BBF33C1D}"/>
    <cellStyle name="Comma 4 6 2 4" xfId="9276" xr:uid="{8729BACC-C65E-47E3-8BC7-1D639E5444B7}"/>
    <cellStyle name="Comma 4 6 3" xfId="1149" xr:uid="{00000000-0005-0000-0000-0000580A0000}"/>
    <cellStyle name="Comma 4 6 3 2" xfId="3380" xr:uid="{00000000-0005-0000-0000-0000590A0000}"/>
    <cellStyle name="Comma 4 6 3 2 2" xfId="7602" xr:uid="{00000000-0005-0000-0000-00005A0A0000}"/>
    <cellStyle name="Comma 4 6 3 2 2 2" xfId="16052" xr:uid="{EF22591B-77D6-4389-9767-CA2C835F6D29}"/>
    <cellStyle name="Comma 4 6 3 2 3" xfId="11834" xr:uid="{8BBEF35C-20F0-45D2-A28B-AF8BFEFE7C13}"/>
    <cellStyle name="Comma 4 6 3 3" xfId="5457" xr:uid="{00000000-0005-0000-0000-00005B0A0000}"/>
    <cellStyle name="Comma 4 6 3 3 2" xfId="13907" xr:uid="{7C639412-C862-40C7-BD91-8276B49F277D}"/>
    <cellStyle name="Comma 4 6 3 4" xfId="9689" xr:uid="{2C849705-B14F-4A5C-B729-E648840F11B6}"/>
    <cellStyle name="Comma 4 6 4" xfId="1563" xr:uid="{00000000-0005-0000-0000-00005C0A0000}"/>
    <cellStyle name="Comma 4 6 4 2" xfId="3793" xr:uid="{00000000-0005-0000-0000-00005D0A0000}"/>
    <cellStyle name="Comma 4 6 4 2 2" xfId="8015" xr:uid="{00000000-0005-0000-0000-00005E0A0000}"/>
    <cellStyle name="Comma 4 6 4 2 2 2" xfId="16465" xr:uid="{41C6DCC3-BB25-4919-9D65-572F95DDC450}"/>
    <cellStyle name="Comma 4 6 4 2 3" xfId="12247" xr:uid="{ACBFED4F-AC8E-4841-B98B-9FBE72E1B1A9}"/>
    <cellStyle name="Comma 4 6 4 3" xfId="5870" xr:uid="{00000000-0005-0000-0000-00005F0A0000}"/>
    <cellStyle name="Comma 4 6 4 3 2" xfId="14320" xr:uid="{A8060854-1433-4F79-B2AB-E4E91151DA9E}"/>
    <cellStyle name="Comma 4 6 4 4" xfId="10102" xr:uid="{DABEFF98-91A9-4D0E-9EB8-0677B362F963}"/>
    <cellStyle name="Comma 4 6 5" xfId="1977" xr:uid="{00000000-0005-0000-0000-0000600A0000}"/>
    <cellStyle name="Comma 4 6 5 2" xfId="4206" xr:uid="{00000000-0005-0000-0000-0000610A0000}"/>
    <cellStyle name="Comma 4 6 5 2 2" xfId="8428" xr:uid="{00000000-0005-0000-0000-0000620A0000}"/>
    <cellStyle name="Comma 4 6 5 2 2 2" xfId="16878" xr:uid="{E9B9BF6D-D8A7-42CD-9A1A-A234A1342CE1}"/>
    <cellStyle name="Comma 4 6 5 2 3" xfId="12660" xr:uid="{0CF57508-8B50-4A49-AE04-469FBF1E4DC5}"/>
    <cellStyle name="Comma 4 6 5 3" xfId="6283" xr:uid="{00000000-0005-0000-0000-0000630A0000}"/>
    <cellStyle name="Comma 4 6 5 3 2" xfId="14733" xr:uid="{D6E5AF87-F5F8-4150-84A0-FC81E762694C}"/>
    <cellStyle name="Comma 4 6 5 4" xfId="10515" xr:uid="{FFA9288E-51C8-4E5C-AD65-547C047D66BB}"/>
    <cellStyle name="Comma 4 6 6" xfId="2412" xr:uid="{00000000-0005-0000-0000-0000640A0000}"/>
    <cellStyle name="Comma 4 6 6 2" xfId="6696" xr:uid="{00000000-0005-0000-0000-0000650A0000}"/>
    <cellStyle name="Comma 4 6 6 2 2" xfId="15146" xr:uid="{ADBF551C-8A4C-468A-B51C-AC689A610129}"/>
    <cellStyle name="Comma 4 6 6 3" xfId="10928" xr:uid="{36E241FA-E6F8-4DF5-88BB-2B5DF1EBAD86}"/>
    <cellStyle name="Comma 4 6 7" xfId="2708" xr:uid="{00000000-0005-0000-0000-0000660A0000}"/>
    <cellStyle name="Comma 4 6 8" xfId="2790" xr:uid="{00000000-0005-0000-0000-0000670A0000}"/>
    <cellStyle name="Comma 4 6 8 2" xfId="7013" xr:uid="{00000000-0005-0000-0000-0000680A0000}"/>
    <cellStyle name="Comma 4 6 8 2 2" xfId="15463" xr:uid="{898C429F-D80C-46C8-8D04-226753F7643A}"/>
    <cellStyle name="Comma 4 6 8 3" xfId="11245" xr:uid="{88BF87C6-F3FC-435A-B610-65CA7AF19022}"/>
    <cellStyle name="Comma 4 6 9" xfId="4630" xr:uid="{00000000-0005-0000-0000-0000690A0000}"/>
    <cellStyle name="Comma 4 6 9 2" xfId="13080" xr:uid="{BB27B433-73CB-4B52-898A-A87522A39EDB}"/>
    <cellStyle name="Comma 4 7" xfId="160" xr:uid="{00000000-0005-0000-0000-00006A0A0000}"/>
    <cellStyle name="Comma 4 7 10" xfId="8863" xr:uid="{D4532909-4D31-48BD-A5A9-DF97E19794D4}"/>
    <cellStyle name="Comma 4 7 2" xfId="697" xr:uid="{00000000-0005-0000-0000-00006B0A0000}"/>
    <cellStyle name="Comma 4 7 2 2" xfId="2968" xr:uid="{00000000-0005-0000-0000-00006C0A0000}"/>
    <cellStyle name="Comma 4 7 2 2 2" xfId="7190" xr:uid="{00000000-0005-0000-0000-00006D0A0000}"/>
    <cellStyle name="Comma 4 7 2 2 2 2" xfId="15640" xr:uid="{B3A776E2-4CF5-4233-B7E4-C905A314FD3E}"/>
    <cellStyle name="Comma 4 7 2 2 3" xfId="11422" xr:uid="{122F7DE6-5D35-4D40-9F8D-DD297533D024}"/>
    <cellStyle name="Comma 4 7 2 3" xfId="5045" xr:uid="{00000000-0005-0000-0000-00006E0A0000}"/>
    <cellStyle name="Comma 4 7 2 3 2" xfId="13495" xr:uid="{4A1F4FA2-E6A4-4C2E-8302-3E031CAABC53}"/>
    <cellStyle name="Comma 4 7 2 4" xfId="9277" xr:uid="{22989CB8-3363-4490-8DAC-84EDBD80C0BF}"/>
    <cellStyle name="Comma 4 7 3" xfId="1150" xr:uid="{00000000-0005-0000-0000-00006F0A0000}"/>
    <cellStyle name="Comma 4 7 3 2" xfId="3381" xr:uid="{00000000-0005-0000-0000-0000700A0000}"/>
    <cellStyle name="Comma 4 7 3 2 2" xfId="7603" xr:uid="{00000000-0005-0000-0000-0000710A0000}"/>
    <cellStyle name="Comma 4 7 3 2 2 2" xfId="16053" xr:uid="{1155707B-C07B-4E91-9910-E9DCD572F4B9}"/>
    <cellStyle name="Comma 4 7 3 2 3" xfId="11835" xr:uid="{6EF965F1-6801-4A71-857E-1EE43CD3C0E0}"/>
    <cellStyle name="Comma 4 7 3 3" xfId="5458" xr:uid="{00000000-0005-0000-0000-0000720A0000}"/>
    <cellStyle name="Comma 4 7 3 3 2" xfId="13908" xr:uid="{6602A020-FA40-4866-93D9-160848AEB3BA}"/>
    <cellStyle name="Comma 4 7 3 4" xfId="9690" xr:uid="{C5F02D2B-BB5D-4028-8EB4-C522BB616E3D}"/>
    <cellStyle name="Comma 4 7 4" xfId="1564" xr:uid="{00000000-0005-0000-0000-0000730A0000}"/>
    <cellStyle name="Comma 4 7 4 2" xfId="3794" xr:uid="{00000000-0005-0000-0000-0000740A0000}"/>
    <cellStyle name="Comma 4 7 4 2 2" xfId="8016" xr:uid="{00000000-0005-0000-0000-0000750A0000}"/>
    <cellStyle name="Comma 4 7 4 2 2 2" xfId="16466" xr:uid="{A47FEBD6-63C1-42E3-9EE6-C05F2D87EB22}"/>
    <cellStyle name="Comma 4 7 4 2 3" xfId="12248" xr:uid="{9EBACA90-B98B-4E8C-8D05-8D38233B832A}"/>
    <cellStyle name="Comma 4 7 4 3" xfId="5871" xr:uid="{00000000-0005-0000-0000-0000760A0000}"/>
    <cellStyle name="Comma 4 7 4 3 2" xfId="14321" xr:uid="{6E8EC072-8457-418B-9047-2D2F1C5C0D8E}"/>
    <cellStyle name="Comma 4 7 4 4" xfId="10103" xr:uid="{34E546E5-2FF5-46C0-99E8-EFA6B22C1FCC}"/>
    <cellStyle name="Comma 4 7 5" xfId="1978" xr:uid="{00000000-0005-0000-0000-0000770A0000}"/>
    <cellStyle name="Comma 4 7 5 2" xfId="4207" xr:uid="{00000000-0005-0000-0000-0000780A0000}"/>
    <cellStyle name="Comma 4 7 5 2 2" xfId="8429" xr:uid="{00000000-0005-0000-0000-0000790A0000}"/>
    <cellStyle name="Comma 4 7 5 2 2 2" xfId="16879" xr:uid="{1089970C-573C-45F5-A233-2206ABF854F3}"/>
    <cellStyle name="Comma 4 7 5 2 3" xfId="12661" xr:uid="{08D387F6-FB07-40FC-B257-050AE2582785}"/>
    <cellStyle name="Comma 4 7 5 3" xfId="6284" xr:uid="{00000000-0005-0000-0000-00007A0A0000}"/>
    <cellStyle name="Comma 4 7 5 3 2" xfId="14734" xr:uid="{7DEFA019-CD0C-40CE-A5BC-18600681A600}"/>
    <cellStyle name="Comma 4 7 5 4" xfId="10516" xr:uid="{B9E7BAD6-734E-423A-86F3-5FECEB9CAECB}"/>
    <cellStyle name="Comma 4 7 6" xfId="2413" xr:uid="{00000000-0005-0000-0000-00007B0A0000}"/>
    <cellStyle name="Comma 4 7 6 2" xfId="6697" xr:uid="{00000000-0005-0000-0000-00007C0A0000}"/>
    <cellStyle name="Comma 4 7 6 2 2" xfId="15147" xr:uid="{A2D424A2-13DD-4404-93AC-DAC91910700E}"/>
    <cellStyle name="Comma 4 7 6 3" xfId="10929" xr:uid="{7E502866-8D13-43B0-A7D5-5C3E81B8065F}"/>
    <cellStyle name="Comma 4 7 7" xfId="2709" xr:uid="{00000000-0005-0000-0000-00007D0A0000}"/>
    <cellStyle name="Comma 4 7 8" xfId="2791" xr:uid="{00000000-0005-0000-0000-00007E0A0000}"/>
    <cellStyle name="Comma 4 7 8 2" xfId="7014" xr:uid="{00000000-0005-0000-0000-00007F0A0000}"/>
    <cellStyle name="Comma 4 7 8 2 2" xfId="15464" xr:uid="{D6628166-319F-4264-A8CA-2F4C8315B744}"/>
    <cellStyle name="Comma 4 7 8 3" xfId="11246" xr:uid="{49EE628C-63E7-4879-9916-E228D5AD8B02}"/>
    <cellStyle name="Comma 4 7 9" xfId="4631" xr:uid="{00000000-0005-0000-0000-0000800A0000}"/>
    <cellStyle name="Comma 4 7 9 2" xfId="13081" xr:uid="{C3B0C3D6-2119-4B14-9DAD-69EED79E0BAE}"/>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omma 7 2" xfId="12949" xr:uid="{53707A4B-FF38-4A87-8087-06ADB1E80239}"/>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2 2" xfId="17166" xr:uid="{87C53730-E6E5-4196-9176-126B871AD16D}"/>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14 3 2 2 3" xfId="17175" xr:uid="{27D09006-C9C0-4ACA-92FB-4C81FCF48816}"/>
    <cellStyle name="Currency 14 3 2 3" xfId="17172" xr:uid="{72221F7C-09EF-4063-A8F0-15BCFB484587}"/>
    <cellStyle name="Currency 14 3 3" xfId="17169" xr:uid="{5499BF2B-D1F8-4070-AD9E-47A6BA87208D}"/>
    <cellStyle name="Currency 14 4" xfId="12952" xr:uid="{2FAA7D24-0587-4AE3-BAA6-1896E6360331}"/>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0 2 2" xfId="15465" xr:uid="{DA00A14E-AB23-48EE-A16F-CF7F944E0E38}"/>
    <cellStyle name="Currency 3 2 2 10 3" xfId="11247" xr:uid="{0AC8304E-045D-4A73-B978-D84B914F6029}"/>
    <cellStyle name="Currency 3 2 2 11" xfId="4632" xr:uid="{00000000-0005-0000-0000-0000A50A0000}"/>
    <cellStyle name="Currency 3 2 2 11 2" xfId="13082" xr:uid="{008EBBCE-9341-4F7C-BCB5-F444D8AA7BD6}"/>
    <cellStyle name="Currency 3 2 2 12" xfId="8864" xr:uid="{103106D8-1BBC-48CC-83AE-D171CEB22A51}"/>
    <cellStyle name="Currency 3 2 2 2" xfId="179" xr:uid="{00000000-0005-0000-0000-0000A60A0000}"/>
    <cellStyle name="Currency 3 2 2 2 10" xfId="4633" xr:uid="{00000000-0005-0000-0000-0000A70A0000}"/>
    <cellStyle name="Currency 3 2 2 2 10 2" xfId="13083" xr:uid="{13DD624F-76F9-4955-9D40-29C319E8AACA}"/>
    <cellStyle name="Currency 3 2 2 2 11" xfId="8865" xr:uid="{CFE0EB3A-7096-4A4A-AA9F-9F37C408AEC6}"/>
    <cellStyle name="Currency 3 2 2 2 2" xfId="180" xr:uid="{00000000-0005-0000-0000-0000A80A0000}"/>
    <cellStyle name="Currency 3 2 2 2 2 10" xfId="8866" xr:uid="{01038E95-1AEF-40A6-88FC-67FFF5110A5C}"/>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2 2 2" xfId="15643" xr:uid="{25D98B6F-8D7D-477A-ABB7-68EBA342448A}"/>
    <cellStyle name="Currency 3 2 2 2 2 2 2 3" xfId="11425" xr:uid="{20FB335B-B13E-447B-899E-2C1F452928E7}"/>
    <cellStyle name="Currency 3 2 2 2 2 2 3" xfId="5048" xr:uid="{00000000-0005-0000-0000-0000AC0A0000}"/>
    <cellStyle name="Currency 3 2 2 2 2 2 3 2" xfId="13498" xr:uid="{CA35CC5A-251D-40E9-B96B-26D16C0E7577}"/>
    <cellStyle name="Currency 3 2 2 2 2 2 4" xfId="9280" xr:uid="{AA643111-860F-4889-AC85-1EDE6BA710C6}"/>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2 2 2" xfId="16056" xr:uid="{451537D3-DFAC-4F90-B386-027271153E6B}"/>
    <cellStyle name="Currency 3 2 2 2 2 3 2 3" xfId="11838" xr:uid="{69F48DCA-A3D6-42CE-A4F5-0FC6ABE2B919}"/>
    <cellStyle name="Currency 3 2 2 2 2 3 3" xfId="5461" xr:uid="{00000000-0005-0000-0000-0000B00A0000}"/>
    <cellStyle name="Currency 3 2 2 2 2 3 3 2" xfId="13911" xr:uid="{2DA37E05-A42A-4773-8AAD-6BDD2E63676D}"/>
    <cellStyle name="Currency 3 2 2 2 2 3 4" xfId="9693" xr:uid="{9DAA1EB1-856D-45C5-A144-55D2DA48044E}"/>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2 2 2" xfId="16469" xr:uid="{769C763E-3CDA-4C6D-909C-31D8CB8D39EE}"/>
    <cellStyle name="Currency 3 2 2 2 2 4 2 3" xfId="12251" xr:uid="{DA98B08E-1A1F-4801-A284-2CAEA0D9B6CE}"/>
    <cellStyle name="Currency 3 2 2 2 2 4 3" xfId="5874" xr:uid="{00000000-0005-0000-0000-0000B40A0000}"/>
    <cellStyle name="Currency 3 2 2 2 2 4 3 2" xfId="14324" xr:uid="{06920978-581E-4910-B51E-0F5CFE8DE797}"/>
    <cellStyle name="Currency 3 2 2 2 2 4 4" xfId="10106" xr:uid="{1E58EE77-E556-439A-9B88-96550BD2F93A}"/>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2 2 2" xfId="16882" xr:uid="{47BAE2CD-2EFE-4608-8072-3A9A5A4756CE}"/>
    <cellStyle name="Currency 3 2 2 2 2 5 2 3" xfId="12664" xr:uid="{54755B3B-9B71-4C9F-B882-0E197DB620D0}"/>
    <cellStyle name="Currency 3 2 2 2 2 5 3" xfId="6287" xr:uid="{00000000-0005-0000-0000-0000B80A0000}"/>
    <cellStyle name="Currency 3 2 2 2 2 5 3 2" xfId="14737" xr:uid="{081AB13A-E4DB-4C82-9F43-120EE726B200}"/>
    <cellStyle name="Currency 3 2 2 2 2 5 4" xfId="10519" xr:uid="{CB42BED4-E13F-463F-A97E-8E83B7DFF861}"/>
    <cellStyle name="Currency 3 2 2 2 2 6" xfId="2416" xr:uid="{00000000-0005-0000-0000-0000B90A0000}"/>
    <cellStyle name="Currency 3 2 2 2 2 6 2" xfId="6700" xr:uid="{00000000-0005-0000-0000-0000BA0A0000}"/>
    <cellStyle name="Currency 3 2 2 2 2 6 2 2" xfId="15150" xr:uid="{8C098E06-2466-4CC4-B23A-07CC7015C2F9}"/>
    <cellStyle name="Currency 3 2 2 2 2 6 3" xfId="10932" xr:uid="{E0456843-6EC7-4528-B087-DAD131EC6B05}"/>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8 2 2" xfId="15467" xr:uid="{64A9741B-B10B-4AE3-9D83-BB2AD1853D41}"/>
    <cellStyle name="Currency 3 2 2 2 2 8 3" xfId="11249" xr:uid="{AFA77054-C1DD-46C0-A845-1E5F409CAF3C}"/>
    <cellStyle name="Currency 3 2 2 2 2 9" xfId="4634" xr:uid="{00000000-0005-0000-0000-0000BE0A0000}"/>
    <cellStyle name="Currency 3 2 2 2 2 9 2" xfId="13084" xr:uid="{DB7B5E1D-05F9-49DA-8730-CAA314436BD5}"/>
    <cellStyle name="Currency 3 2 2 2 3" xfId="709" xr:uid="{00000000-0005-0000-0000-0000BF0A0000}"/>
    <cellStyle name="Currency 3 2 2 2 3 2" xfId="2970" xr:uid="{00000000-0005-0000-0000-0000C00A0000}"/>
    <cellStyle name="Currency 3 2 2 2 3 2 2" xfId="7192" xr:uid="{00000000-0005-0000-0000-0000C10A0000}"/>
    <cellStyle name="Currency 3 2 2 2 3 2 2 2" xfId="15642" xr:uid="{999578A6-FB84-4188-84A6-350F80493FB0}"/>
    <cellStyle name="Currency 3 2 2 2 3 2 3" xfId="11424" xr:uid="{F05D3F06-598C-41FB-8320-EDFE94D54D53}"/>
    <cellStyle name="Currency 3 2 2 2 3 3" xfId="5047" xr:uid="{00000000-0005-0000-0000-0000C20A0000}"/>
    <cellStyle name="Currency 3 2 2 2 3 3 2" xfId="13497" xr:uid="{834654DF-EE95-4687-B824-3BE3E13ADB3F}"/>
    <cellStyle name="Currency 3 2 2 2 3 4" xfId="9279" xr:uid="{BBA6D29B-C236-4730-9A12-9A3BED8CFBE5}"/>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2 2 2" xfId="16055" xr:uid="{5F92AAFA-48A7-4053-8C25-ABFCF44D09B0}"/>
    <cellStyle name="Currency 3 2 2 2 4 2 3" xfId="11837" xr:uid="{D3EF5455-9D5D-4EF2-9E20-1EB400632327}"/>
    <cellStyle name="Currency 3 2 2 2 4 3" xfId="5460" xr:uid="{00000000-0005-0000-0000-0000C60A0000}"/>
    <cellStyle name="Currency 3 2 2 2 4 3 2" xfId="13910" xr:uid="{258854EE-24C4-47D4-911F-99F2D9DE656A}"/>
    <cellStyle name="Currency 3 2 2 2 4 4" xfId="9692" xr:uid="{A9D108CB-0167-4080-A6B7-E59591E65C31}"/>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2 2 2" xfId="16468" xr:uid="{9CF282AF-93A0-4397-B7F2-6885883BBD47}"/>
    <cellStyle name="Currency 3 2 2 2 5 2 3" xfId="12250" xr:uid="{B70C5DA0-B625-476F-97FA-DDAFF5A9F134}"/>
    <cellStyle name="Currency 3 2 2 2 5 3" xfId="5873" xr:uid="{00000000-0005-0000-0000-0000CA0A0000}"/>
    <cellStyle name="Currency 3 2 2 2 5 3 2" xfId="14323" xr:uid="{806E1CCB-C12A-442C-906A-05BA9286BECC}"/>
    <cellStyle name="Currency 3 2 2 2 5 4" xfId="10105" xr:uid="{DEBC966A-4CA7-40FD-BD61-B86DC9A2F0B7}"/>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2 2 2" xfId="16881" xr:uid="{DAC6FD45-759D-4FEB-A0AE-A1A171DEC128}"/>
    <cellStyle name="Currency 3 2 2 2 6 2 3" xfId="12663" xr:uid="{027F34D5-DD19-4BF5-8870-C77E1E322592}"/>
    <cellStyle name="Currency 3 2 2 2 6 3" xfId="6286" xr:uid="{00000000-0005-0000-0000-0000CE0A0000}"/>
    <cellStyle name="Currency 3 2 2 2 6 3 2" xfId="14736" xr:uid="{F392CDA3-3130-4CB9-B0CC-8F6C2CC4D9D8}"/>
    <cellStyle name="Currency 3 2 2 2 6 4" xfId="10518" xr:uid="{765D26FA-3710-45B9-ADA6-1BCDC9B27D5D}"/>
    <cellStyle name="Currency 3 2 2 2 7" xfId="2415" xr:uid="{00000000-0005-0000-0000-0000CF0A0000}"/>
    <cellStyle name="Currency 3 2 2 2 7 2" xfId="6699" xr:uid="{00000000-0005-0000-0000-0000D00A0000}"/>
    <cellStyle name="Currency 3 2 2 2 7 2 2" xfId="15149" xr:uid="{102333C7-7731-434C-B055-4DC777DD66F1}"/>
    <cellStyle name="Currency 3 2 2 2 7 3" xfId="10931" xr:uid="{7517D887-F1CC-4E97-93F8-CDA4169A0A71}"/>
    <cellStyle name="Currency 3 2 2 2 8" xfId="2712" xr:uid="{00000000-0005-0000-0000-0000D10A0000}"/>
    <cellStyle name="Currency 3 2 2 2 9" xfId="2793" xr:uid="{00000000-0005-0000-0000-0000D20A0000}"/>
    <cellStyle name="Currency 3 2 2 2 9 2" xfId="7016" xr:uid="{00000000-0005-0000-0000-0000D30A0000}"/>
    <cellStyle name="Currency 3 2 2 2 9 2 2" xfId="15466" xr:uid="{C4EFDC25-8550-42E0-870D-B2D27229FDD7}"/>
    <cellStyle name="Currency 3 2 2 2 9 3" xfId="11248" xr:uid="{FD615EA9-0940-42FF-9344-2B519F96EE6E}"/>
    <cellStyle name="Currency 3 2 2 3" xfId="181" xr:uid="{00000000-0005-0000-0000-0000D40A0000}"/>
    <cellStyle name="Currency 3 2 2 3 10" xfId="8867" xr:uid="{0AAC479B-E02A-487A-8AA9-5603FBB3504F}"/>
    <cellStyle name="Currency 3 2 2 3 2" xfId="711" xr:uid="{00000000-0005-0000-0000-0000D50A0000}"/>
    <cellStyle name="Currency 3 2 2 3 2 2" xfId="2972" xr:uid="{00000000-0005-0000-0000-0000D60A0000}"/>
    <cellStyle name="Currency 3 2 2 3 2 2 2" xfId="7194" xr:uid="{00000000-0005-0000-0000-0000D70A0000}"/>
    <cellStyle name="Currency 3 2 2 3 2 2 2 2" xfId="15644" xr:uid="{28AE8B61-0548-41D3-A29A-12280B6F0C91}"/>
    <cellStyle name="Currency 3 2 2 3 2 2 3" xfId="11426" xr:uid="{34563B06-7772-48CA-888B-4B030BE0BD42}"/>
    <cellStyle name="Currency 3 2 2 3 2 3" xfId="5049" xr:uid="{00000000-0005-0000-0000-0000D80A0000}"/>
    <cellStyle name="Currency 3 2 2 3 2 3 2" xfId="13499" xr:uid="{A27DD9AA-7990-44FB-99A2-A093F2E38274}"/>
    <cellStyle name="Currency 3 2 2 3 2 4" xfId="9281" xr:uid="{F426B708-00ED-4DC0-9E91-B3DC4557FCF8}"/>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2 2 2" xfId="16057" xr:uid="{FF1257ED-9B84-478B-A180-13F8F1E0FBC0}"/>
    <cellStyle name="Currency 3 2 2 3 3 2 3" xfId="11839" xr:uid="{42417B9E-13B5-4A25-A6A5-158BCC31CC8D}"/>
    <cellStyle name="Currency 3 2 2 3 3 3" xfId="5462" xr:uid="{00000000-0005-0000-0000-0000DC0A0000}"/>
    <cellStyle name="Currency 3 2 2 3 3 3 2" xfId="13912" xr:uid="{DDCD0AE0-AFFD-4A62-897C-87233364B1C5}"/>
    <cellStyle name="Currency 3 2 2 3 3 4" xfId="9694" xr:uid="{36607136-129A-46D4-BF75-E25235DE5106}"/>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2 2 2" xfId="16470" xr:uid="{DBCFD791-A977-4930-8685-C43C7782F870}"/>
    <cellStyle name="Currency 3 2 2 3 4 2 3" xfId="12252" xr:uid="{3254DB0D-CCED-43D3-8075-A8890B3D7FE2}"/>
    <cellStyle name="Currency 3 2 2 3 4 3" xfId="5875" xr:uid="{00000000-0005-0000-0000-0000E00A0000}"/>
    <cellStyle name="Currency 3 2 2 3 4 3 2" xfId="14325" xr:uid="{76526110-85C9-461B-8425-A0ED48FCCED0}"/>
    <cellStyle name="Currency 3 2 2 3 4 4" xfId="10107" xr:uid="{78DE59EB-8BEE-4D1D-A626-93501687A8A4}"/>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2 2 2" xfId="16883" xr:uid="{1D179E0D-7008-4D2C-8CB9-C8648CF970C7}"/>
    <cellStyle name="Currency 3 2 2 3 5 2 3" xfId="12665" xr:uid="{F63C6544-1822-48F2-B6CA-ED0EF1078F86}"/>
    <cellStyle name="Currency 3 2 2 3 5 3" xfId="6288" xr:uid="{00000000-0005-0000-0000-0000E40A0000}"/>
    <cellStyle name="Currency 3 2 2 3 5 3 2" xfId="14738" xr:uid="{4F0204A7-E874-47A4-AB10-DCE4A63A898F}"/>
    <cellStyle name="Currency 3 2 2 3 5 4" xfId="10520" xr:uid="{E178D476-E7AD-4AD1-B6D2-0321E9C03D51}"/>
    <cellStyle name="Currency 3 2 2 3 6" xfId="2417" xr:uid="{00000000-0005-0000-0000-0000E50A0000}"/>
    <cellStyle name="Currency 3 2 2 3 6 2" xfId="6701" xr:uid="{00000000-0005-0000-0000-0000E60A0000}"/>
    <cellStyle name="Currency 3 2 2 3 6 2 2" xfId="15151" xr:uid="{F3050966-A1A8-4FB5-98B7-A86E960053B7}"/>
    <cellStyle name="Currency 3 2 2 3 6 3" xfId="10933" xr:uid="{597329EE-0B55-4C73-864B-B8A0DBB5BA81}"/>
    <cellStyle name="Currency 3 2 2 3 7" xfId="2714" xr:uid="{00000000-0005-0000-0000-0000E70A0000}"/>
    <cellStyle name="Currency 3 2 2 3 8" xfId="2795" xr:uid="{00000000-0005-0000-0000-0000E80A0000}"/>
    <cellStyle name="Currency 3 2 2 3 8 2" xfId="7018" xr:uid="{00000000-0005-0000-0000-0000E90A0000}"/>
    <cellStyle name="Currency 3 2 2 3 8 2 2" xfId="15468" xr:uid="{2AF71126-9EBE-4D33-AD81-A3810025009A}"/>
    <cellStyle name="Currency 3 2 2 3 8 3" xfId="11250" xr:uid="{ED15C556-E0FB-4261-A255-D869EEE0022E}"/>
    <cellStyle name="Currency 3 2 2 3 9" xfId="4635" xr:uid="{00000000-0005-0000-0000-0000EA0A0000}"/>
    <cellStyle name="Currency 3 2 2 3 9 2" xfId="13085" xr:uid="{B562D5FF-7850-4F65-8CE2-5A09B8040014}"/>
    <cellStyle name="Currency 3 2 2 4" xfId="708" xr:uid="{00000000-0005-0000-0000-0000EB0A0000}"/>
    <cellStyle name="Currency 3 2 2 4 2" xfId="2969" xr:uid="{00000000-0005-0000-0000-0000EC0A0000}"/>
    <cellStyle name="Currency 3 2 2 4 2 2" xfId="7191" xr:uid="{00000000-0005-0000-0000-0000ED0A0000}"/>
    <cellStyle name="Currency 3 2 2 4 2 2 2" xfId="15641" xr:uid="{FB9283CC-F045-4D36-943C-6F1784650A27}"/>
    <cellStyle name="Currency 3 2 2 4 2 3" xfId="11423" xr:uid="{7078887D-9E19-4695-B160-7802081413E5}"/>
    <cellStyle name="Currency 3 2 2 4 3" xfId="5046" xr:uid="{00000000-0005-0000-0000-0000EE0A0000}"/>
    <cellStyle name="Currency 3 2 2 4 3 2" xfId="13496" xr:uid="{3E0C46AA-A3CA-476D-93DE-025BDEA258E3}"/>
    <cellStyle name="Currency 3 2 2 4 4" xfId="9278" xr:uid="{B6AD333C-8B85-4199-8133-CA5199F6F040}"/>
    <cellStyle name="Currency 3 2 2 5" xfId="1151" xr:uid="{00000000-0005-0000-0000-0000EF0A0000}"/>
    <cellStyle name="Currency 3 2 2 5 2" xfId="3382" xr:uid="{00000000-0005-0000-0000-0000F00A0000}"/>
    <cellStyle name="Currency 3 2 2 5 2 2" xfId="7604" xr:uid="{00000000-0005-0000-0000-0000F10A0000}"/>
    <cellStyle name="Currency 3 2 2 5 2 2 2" xfId="16054" xr:uid="{0BAD1A26-A05A-4DA5-B40E-945F130B28AE}"/>
    <cellStyle name="Currency 3 2 2 5 2 3" xfId="11836" xr:uid="{CE3D4DC1-23B1-43E3-82EA-4AA853598153}"/>
    <cellStyle name="Currency 3 2 2 5 3" xfId="5459" xr:uid="{00000000-0005-0000-0000-0000F20A0000}"/>
    <cellStyle name="Currency 3 2 2 5 3 2" xfId="13909" xr:uid="{94BA8A70-FC30-41BC-A6A0-156AC8060630}"/>
    <cellStyle name="Currency 3 2 2 5 4" xfId="9691" xr:uid="{CD24FF04-B92E-468A-BC1D-76C885EF42DA}"/>
    <cellStyle name="Currency 3 2 2 6" xfId="1565" xr:uid="{00000000-0005-0000-0000-0000F30A0000}"/>
    <cellStyle name="Currency 3 2 2 6 2" xfId="3795" xr:uid="{00000000-0005-0000-0000-0000F40A0000}"/>
    <cellStyle name="Currency 3 2 2 6 2 2" xfId="8017" xr:uid="{00000000-0005-0000-0000-0000F50A0000}"/>
    <cellStyle name="Currency 3 2 2 6 2 2 2" xfId="16467" xr:uid="{34FFE427-B9CE-4600-BB97-5115E00523F8}"/>
    <cellStyle name="Currency 3 2 2 6 2 3" xfId="12249" xr:uid="{5EC217ED-407E-45CF-9944-4BCB1BB94FAC}"/>
    <cellStyle name="Currency 3 2 2 6 3" xfId="5872" xr:uid="{00000000-0005-0000-0000-0000F60A0000}"/>
    <cellStyle name="Currency 3 2 2 6 3 2" xfId="14322" xr:uid="{C23C3F14-CD78-43F2-A648-E07A60422E04}"/>
    <cellStyle name="Currency 3 2 2 6 4" xfId="10104" xr:uid="{82B18602-CD73-434C-8771-29815872AB77}"/>
    <cellStyle name="Currency 3 2 2 7" xfId="1979" xr:uid="{00000000-0005-0000-0000-0000F70A0000}"/>
    <cellStyle name="Currency 3 2 2 7 2" xfId="4208" xr:uid="{00000000-0005-0000-0000-0000F80A0000}"/>
    <cellStyle name="Currency 3 2 2 7 2 2" xfId="8430" xr:uid="{00000000-0005-0000-0000-0000F90A0000}"/>
    <cellStyle name="Currency 3 2 2 7 2 2 2" xfId="16880" xr:uid="{FFACFF72-A3CF-4C49-BD54-EFD7C95FF948}"/>
    <cellStyle name="Currency 3 2 2 7 2 3" xfId="12662" xr:uid="{8FB32092-592A-4454-A3A7-5D5422CED0E0}"/>
    <cellStyle name="Currency 3 2 2 7 3" xfId="6285" xr:uid="{00000000-0005-0000-0000-0000FA0A0000}"/>
    <cellStyle name="Currency 3 2 2 7 3 2" xfId="14735" xr:uid="{7D59BF70-F114-4E3B-887E-60FE158DF621}"/>
    <cellStyle name="Currency 3 2 2 7 4" xfId="10517" xr:uid="{3C2705C4-1429-40DF-A0FC-7C6673739D14}"/>
    <cellStyle name="Currency 3 2 2 8" xfId="2414" xr:uid="{00000000-0005-0000-0000-0000FB0A0000}"/>
    <cellStyle name="Currency 3 2 2 8 2" xfId="6698" xr:uid="{00000000-0005-0000-0000-0000FC0A0000}"/>
    <cellStyle name="Currency 3 2 2 8 2 2" xfId="15148" xr:uid="{273B0A20-7A63-4D5D-B2C9-CA2DA54E380E}"/>
    <cellStyle name="Currency 3 2 2 8 3" xfId="10930" xr:uid="{C9E3EEAC-8EE6-4BF2-9EF9-B4C3800AB32E}"/>
    <cellStyle name="Currency 3 2 2 9" xfId="2711" xr:uid="{00000000-0005-0000-0000-0000FD0A0000}"/>
    <cellStyle name="Currency 3 2 3" xfId="182" xr:uid="{00000000-0005-0000-0000-0000FE0A0000}"/>
    <cellStyle name="Currency 3 2 3 10" xfId="4636" xr:uid="{00000000-0005-0000-0000-0000FF0A0000}"/>
    <cellStyle name="Currency 3 2 3 10 2" xfId="13086" xr:uid="{8E50EA70-2CA6-494C-97A6-95CB79D492BC}"/>
    <cellStyle name="Currency 3 2 3 11" xfId="8868" xr:uid="{22E7DBA7-AA64-4276-9BAB-82377DC03436}"/>
    <cellStyle name="Currency 3 2 3 2" xfId="183" xr:uid="{00000000-0005-0000-0000-0000000B0000}"/>
    <cellStyle name="Currency 3 2 3 2 10" xfId="8869" xr:uid="{0A65B709-300B-4DEF-A3DE-B8125F205D17}"/>
    <cellStyle name="Currency 3 2 3 2 2" xfId="713" xr:uid="{00000000-0005-0000-0000-0000010B0000}"/>
    <cellStyle name="Currency 3 2 3 2 2 2" xfId="2974" xr:uid="{00000000-0005-0000-0000-0000020B0000}"/>
    <cellStyle name="Currency 3 2 3 2 2 2 2" xfId="7196" xr:uid="{00000000-0005-0000-0000-0000030B0000}"/>
    <cellStyle name="Currency 3 2 3 2 2 2 2 2" xfId="15646" xr:uid="{0AD65A11-CBD4-4F62-8FDE-1457E2714099}"/>
    <cellStyle name="Currency 3 2 3 2 2 2 3" xfId="11428" xr:uid="{F63AADDC-43C5-4DF3-AAA6-A0D5EF11E472}"/>
    <cellStyle name="Currency 3 2 3 2 2 3" xfId="5051" xr:uid="{00000000-0005-0000-0000-0000040B0000}"/>
    <cellStyle name="Currency 3 2 3 2 2 3 2" xfId="13501" xr:uid="{3D045DB5-81CF-4861-BCDC-1454FD20BEA6}"/>
    <cellStyle name="Currency 3 2 3 2 2 4" xfId="9283" xr:uid="{20E080A7-FF12-4DD0-80C8-929708247354}"/>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2 2 2" xfId="16059" xr:uid="{423A6E27-2C8A-4E88-B6A5-4FC80FA7B9EE}"/>
    <cellStyle name="Currency 3 2 3 2 3 2 3" xfId="11841" xr:uid="{DB92FA37-C378-450B-9CA6-6D29717A8E72}"/>
    <cellStyle name="Currency 3 2 3 2 3 3" xfId="5464" xr:uid="{00000000-0005-0000-0000-0000080B0000}"/>
    <cellStyle name="Currency 3 2 3 2 3 3 2" xfId="13914" xr:uid="{DF62E772-58A8-4CA0-BD0B-E348DBE81D23}"/>
    <cellStyle name="Currency 3 2 3 2 3 4" xfId="9696" xr:uid="{3DEDFECA-AA79-4DCF-ACB9-9D529BE0E73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2 2 2" xfId="16472" xr:uid="{8E71C78A-4074-4629-ABA9-9FB0AA7CD435}"/>
    <cellStyle name="Currency 3 2 3 2 4 2 3" xfId="12254" xr:uid="{8F9AB6C5-E410-49AF-9FFA-0634EF51AFDF}"/>
    <cellStyle name="Currency 3 2 3 2 4 3" xfId="5877" xr:uid="{00000000-0005-0000-0000-00000C0B0000}"/>
    <cellStyle name="Currency 3 2 3 2 4 3 2" xfId="14327" xr:uid="{44BC83CF-6903-4D69-9A3C-D0861D712BA5}"/>
    <cellStyle name="Currency 3 2 3 2 4 4" xfId="10109" xr:uid="{E35B0DB0-3C07-46AE-8FDE-2C33743D9777}"/>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2 2 2" xfId="16885" xr:uid="{2A3F3E4F-8CC3-4796-876A-7DAEF012B240}"/>
    <cellStyle name="Currency 3 2 3 2 5 2 3" xfId="12667" xr:uid="{FA05EB6F-8C76-4C43-B3FC-EFFCDFFB404B}"/>
    <cellStyle name="Currency 3 2 3 2 5 3" xfId="6290" xr:uid="{00000000-0005-0000-0000-0000100B0000}"/>
    <cellStyle name="Currency 3 2 3 2 5 3 2" xfId="14740" xr:uid="{527087BC-6EBF-4E82-A9AD-8DD2A53E7FDC}"/>
    <cellStyle name="Currency 3 2 3 2 5 4" xfId="10522" xr:uid="{E8099F37-07A0-4B98-A695-B235688107E0}"/>
    <cellStyle name="Currency 3 2 3 2 6" xfId="2419" xr:uid="{00000000-0005-0000-0000-0000110B0000}"/>
    <cellStyle name="Currency 3 2 3 2 6 2" xfId="6703" xr:uid="{00000000-0005-0000-0000-0000120B0000}"/>
    <cellStyle name="Currency 3 2 3 2 6 2 2" xfId="15153" xr:uid="{AB73600B-272B-401D-BB30-9D019032A97C}"/>
    <cellStyle name="Currency 3 2 3 2 6 3" xfId="10935" xr:uid="{32268D5A-527D-4DDA-98FC-E4D4FB106461}"/>
    <cellStyle name="Currency 3 2 3 2 7" xfId="2716" xr:uid="{00000000-0005-0000-0000-0000130B0000}"/>
    <cellStyle name="Currency 3 2 3 2 8" xfId="2797" xr:uid="{00000000-0005-0000-0000-0000140B0000}"/>
    <cellStyle name="Currency 3 2 3 2 8 2" xfId="7020" xr:uid="{00000000-0005-0000-0000-0000150B0000}"/>
    <cellStyle name="Currency 3 2 3 2 8 2 2" xfId="15470" xr:uid="{8059CDFF-9FCF-4EF0-AF79-491F857292DF}"/>
    <cellStyle name="Currency 3 2 3 2 8 3" xfId="11252" xr:uid="{3D39FB05-D9CE-4201-9041-449BDFFE1B41}"/>
    <cellStyle name="Currency 3 2 3 2 9" xfId="4637" xr:uid="{00000000-0005-0000-0000-0000160B0000}"/>
    <cellStyle name="Currency 3 2 3 2 9 2" xfId="13087" xr:uid="{3808C88F-11E6-4928-AADC-3470D393B1BD}"/>
    <cellStyle name="Currency 3 2 3 3" xfId="712" xr:uid="{00000000-0005-0000-0000-0000170B0000}"/>
    <cellStyle name="Currency 3 2 3 3 2" xfId="2973" xr:uid="{00000000-0005-0000-0000-0000180B0000}"/>
    <cellStyle name="Currency 3 2 3 3 2 2" xfId="7195" xr:uid="{00000000-0005-0000-0000-0000190B0000}"/>
    <cellStyle name="Currency 3 2 3 3 2 2 2" xfId="15645" xr:uid="{5649E4F6-2A14-4185-9056-9339B7323BFC}"/>
    <cellStyle name="Currency 3 2 3 3 2 3" xfId="11427" xr:uid="{692650FB-9181-4E83-91B9-386B77CC4AAF}"/>
    <cellStyle name="Currency 3 2 3 3 3" xfId="5050" xr:uid="{00000000-0005-0000-0000-00001A0B0000}"/>
    <cellStyle name="Currency 3 2 3 3 3 2" xfId="13500" xr:uid="{4880AEAD-9008-4C5C-ACC7-1576BD10404C}"/>
    <cellStyle name="Currency 3 2 3 3 4" xfId="9282" xr:uid="{964A802A-A790-4EF1-8001-B3D5DC9FCBD4}"/>
    <cellStyle name="Currency 3 2 3 4" xfId="1155" xr:uid="{00000000-0005-0000-0000-00001B0B0000}"/>
    <cellStyle name="Currency 3 2 3 4 2" xfId="3386" xr:uid="{00000000-0005-0000-0000-00001C0B0000}"/>
    <cellStyle name="Currency 3 2 3 4 2 2" xfId="7608" xr:uid="{00000000-0005-0000-0000-00001D0B0000}"/>
    <cellStyle name="Currency 3 2 3 4 2 2 2" xfId="16058" xr:uid="{C22C9F0C-8C3D-406F-874B-E1CF23BFC749}"/>
    <cellStyle name="Currency 3 2 3 4 2 3" xfId="11840" xr:uid="{72EC659A-727D-4ED4-90B3-E46F226A92FB}"/>
    <cellStyle name="Currency 3 2 3 4 3" xfId="5463" xr:uid="{00000000-0005-0000-0000-00001E0B0000}"/>
    <cellStyle name="Currency 3 2 3 4 3 2" xfId="13913" xr:uid="{83FB7A4C-B8D4-4C49-BF83-41AFEDED5E1A}"/>
    <cellStyle name="Currency 3 2 3 4 4" xfId="9695" xr:uid="{4F084079-1CC5-44C3-BAD0-A29277867216}"/>
    <cellStyle name="Currency 3 2 3 5" xfId="1569" xr:uid="{00000000-0005-0000-0000-00001F0B0000}"/>
    <cellStyle name="Currency 3 2 3 5 2" xfId="3799" xr:uid="{00000000-0005-0000-0000-0000200B0000}"/>
    <cellStyle name="Currency 3 2 3 5 2 2" xfId="8021" xr:uid="{00000000-0005-0000-0000-0000210B0000}"/>
    <cellStyle name="Currency 3 2 3 5 2 2 2" xfId="16471" xr:uid="{3CDF20D1-D0CD-4E41-823E-B1A1A2F75CBA}"/>
    <cellStyle name="Currency 3 2 3 5 2 3" xfId="12253" xr:uid="{68B321DE-8CA7-456E-B7FD-740CC9D22340}"/>
    <cellStyle name="Currency 3 2 3 5 3" xfId="5876" xr:uid="{00000000-0005-0000-0000-0000220B0000}"/>
    <cellStyle name="Currency 3 2 3 5 3 2" xfId="14326" xr:uid="{1F54D0CD-1E8F-4FCD-BCA7-3EDDCE05D985}"/>
    <cellStyle name="Currency 3 2 3 5 4" xfId="10108" xr:uid="{9C233D92-474E-4CFB-A2AB-3B1CCCFCBCC5}"/>
    <cellStyle name="Currency 3 2 3 6" xfId="1983" xr:uid="{00000000-0005-0000-0000-0000230B0000}"/>
    <cellStyle name="Currency 3 2 3 6 2" xfId="4212" xr:uid="{00000000-0005-0000-0000-0000240B0000}"/>
    <cellStyle name="Currency 3 2 3 6 2 2" xfId="8434" xr:uid="{00000000-0005-0000-0000-0000250B0000}"/>
    <cellStyle name="Currency 3 2 3 6 2 2 2" xfId="16884" xr:uid="{5E2AB15C-F01C-4116-849C-1C1ABCEEBB30}"/>
    <cellStyle name="Currency 3 2 3 6 2 3" xfId="12666" xr:uid="{285A8BFC-2FFC-45F7-AC0D-0D8970111DBA}"/>
    <cellStyle name="Currency 3 2 3 6 3" xfId="6289" xr:uid="{00000000-0005-0000-0000-0000260B0000}"/>
    <cellStyle name="Currency 3 2 3 6 3 2" xfId="14739" xr:uid="{DA2532DA-3F39-41A9-8B20-5A18C1B3F777}"/>
    <cellStyle name="Currency 3 2 3 6 4" xfId="10521" xr:uid="{61D2197E-8EB9-45C2-958C-D5C36AAF6867}"/>
    <cellStyle name="Currency 3 2 3 7" xfId="2418" xr:uid="{00000000-0005-0000-0000-0000270B0000}"/>
    <cellStyle name="Currency 3 2 3 7 2" xfId="6702" xr:uid="{00000000-0005-0000-0000-0000280B0000}"/>
    <cellStyle name="Currency 3 2 3 7 2 2" xfId="15152" xr:uid="{72A8E9DD-5D1D-4CB1-A4CF-B085DACD9607}"/>
    <cellStyle name="Currency 3 2 3 7 3" xfId="10934" xr:uid="{C43881CD-FA74-41F8-A46D-DCA58945FD00}"/>
    <cellStyle name="Currency 3 2 3 8" xfId="2715" xr:uid="{00000000-0005-0000-0000-0000290B0000}"/>
    <cellStyle name="Currency 3 2 3 9" xfId="2796" xr:uid="{00000000-0005-0000-0000-00002A0B0000}"/>
    <cellStyle name="Currency 3 2 3 9 2" xfId="7019" xr:uid="{00000000-0005-0000-0000-00002B0B0000}"/>
    <cellStyle name="Currency 3 2 3 9 2 2" xfId="15469" xr:uid="{487CC3B4-3E8E-4914-96DC-8B4C38B2376D}"/>
    <cellStyle name="Currency 3 2 3 9 3" xfId="11251" xr:uid="{D6699870-39BA-4759-A258-518AD8C2D360}"/>
    <cellStyle name="Currency 3 2 4" xfId="184" xr:uid="{00000000-0005-0000-0000-00002C0B0000}"/>
    <cellStyle name="Currency 3 2 4 10" xfId="8870" xr:uid="{6B2EC736-79A6-48E1-B67E-E4F618EA4B29}"/>
    <cellStyle name="Currency 3 2 4 2" xfId="714" xr:uid="{00000000-0005-0000-0000-00002D0B0000}"/>
    <cellStyle name="Currency 3 2 4 2 2" xfId="2975" xr:uid="{00000000-0005-0000-0000-00002E0B0000}"/>
    <cellStyle name="Currency 3 2 4 2 2 2" xfId="7197" xr:uid="{00000000-0005-0000-0000-00002F0B0000}"/>
    <cellStyle name="Currency 3 2 4 2 2 2 2" xfId="15647" xr:uid="{3768C28B-5FE9-468A-959B-F6AD51B1572E}"/>
    <cellStyle name="Currency 3 2 4 2 2 3" xfId="11429" xr:uid="{4913E30E-5B08-4036-A2B6-A9D5F7F9272A}"/>
    <cellStyle name="Currency 3 2 4 2 3" xfId="5052" xr:uid="{00000000-0005-0000-0000-0000300B0000}"/>
    <cellStyle name="Currency 3 2 4 2 3 2" xfId="13502" xr:uid="{D6F7358E-A71B-4A3E-A4F3-C0BF0F90A47A}"/>
    <cellStyle name="Currency 3 2 4 2 4" xfId="9284" xr:uid="{26AB054F-F643-48C6-95FB-6915DD8CB350}"/>
    <cellStyle name="Currency 3 2 4 3" xfId="1157" xr:uid="{00000000-0005-0000-0000-0000310B0000}"/>
    <cellStyle name="Currency 3 2 4 3 2" xfId="3388" xr:uid="{00000000-0005-0000-0000-0000320B0000}"/>
    <cellStyle name="Currency 3 2 4 3 2 2" xfId="7610" xr:uid="{00000000-0005-0000-0000-0000330B0000}"/>
    <cellStyle name="Currency 3 2 4 3 2 2 2" xfId="16060" xr:uid="{0CD51CC5-04B5-4A13-B4D4-08FA90424939}"/>
    <cellStyle name="Currency 3 2 4 3 2 3" xfId="11842" xr:uid="{639BBB8A-2A03-461E-8420-E64791644F04}"/>
    <cellStyle name="Currency 3 2 4 3 3" xfId="5465" xr:uid="{00000000-0005-0000-0000-0000340B0000}"/>
    <cellStyle name="Currency 3 2 4 3 3 2" xfId="13915" xr:uid="{C38E335A-36D4-4F9C-94C1-5D5EE2090C22}"/>
    <cellStyle name="Currency 3 2 4 3 4" xfId="9697" xr:uid="{546DF44F-784E-4BA7-B5D5-638E46F4F825}"/>
    <cellStyle name="Currency 3 2 4 4" xfId="1571" xr:uid="{00000000-0005-0000-0000-0000350B0000}"/>
    <cellStyle name="Currency 3 2 4 4 2" xfId="3801" xr:uid="{00000000-0005-0000-0000-0000360B0000}"/>
    <cellStyle name="Currency 3 2 4 4 2 2" xfId="8023" xr:uid="{00000000-0005-0000-0000-0000370B0000}"/>
    <cellStyle name="Currency 3 2 4 4 2 2 2" xfId="16473" xr:uid="{E17CA5D4-2DAA-45F0-82E6-854F0BB11A13}"/>
    <cellStyle name="Currency 3 2 4 4 2 3" xfId="12255" xr:uid="{88199D2C-A904-4BEF-A9A4-D138D2B041FD}"/>
    <cellStyle name="Currency 3 2 4 4 3" xfId="5878" xr:uid="{00000000-0005-0000-0000-0000380B0000}"/>
    <cellStyle name="Currency 3 2 4 4 3 2" xfId="14328" xr:uid="{7E2DE1C1-80BA-429E-9F03-EFA68387A860}"/>
    <cellStyle name="Currency 3 2 4 4 4" xfId="10110" xr:uid="{832B7153-22D6-4D06-9878-B523778CBCCE}"/>
    <cellStyle name="Currency 3 2 4 5" xfId="1985" xr:uid="{00000000-0005-0000-0000-0000390B0000}"/>
    <cellStyle name="Currency 3 2 4 5 2" xfId="4214" xr:uid="{00000000-0005-0000-0000-00003A0B0000}"/>
    <cellStyle name="Currency 3 2 4 5 2 2" xfId="8436" xr:uid="{00000000-0005-0000-0000-00003B0B0000}"/>
    <cellStyle name="Currency 3 2 4 5 2 2 2" xfId="16886" xr:uid="{179766CB-CA38-46E7-BFF6-EE732F5680AF}"/>
    <cellStyle name="Currency 3 2 4 5 2 3" xfId="12668" xr:uid="{01DCAC27-BAB0-41D7-BEFD-FB14D0825797}"/>
    <cellStyle name="Currency 3 2 4 5 3" xfId="6291" xr:uid="{00000000-0005-0000-0000-00003C0B0000}"/>
    <cellStyle name="Currency 3 2 4 5 3 2" xfId="14741" xr:uid="{4719D603-4392-42FE-9845-374305B0FEF6}"/>
    <cellStyle name="Currency 3 2 4 5 4" xfId="10523" xr:uid="{33D8ACE5-2799-4EA1-B343-F73FC5D2F38C}"/>
    <cellStyle name="Currency 3 2 4 6" xfId="2420" xr:uid="{00000000-0005-0000-0000-00003D0B0000}"/>
    <cellStyle name="Currency 3 2 4 6 2" xfId="6704" xr:uid="{00000000-0005-0000-0000-00003E0B0000}"/>
    <cellStyle name="Currency 3 2 4 6 2 2" xfId="15154" xr:uid="{BEC53314-99D8-498E-A5A4-03D821001877}"/>
    <cellStyle name="Currency 3 2 4 6 3" xfId="10936" xr:uid="{BA1AC613-14D6-4A64-BC3F-30AB288E897A}"/>
    <cellStyle name="Currency 3 2 4 7" xfId="2717" xr:uid="{00000000-0005-0000-0000-00003F0B0000}"/>
    <cellStyle name="Currency 3 2 4 8" xfId="2798" xr:uid="{00000000-0005-0000-0000-0000400B0000}"/>
    <cellStyle name="Currency 3 2 4 8 2" xfId="7021" xr:uid="{00000000-0005-0000-0000-0000410B0000}"/>
    <cellStyle name="Currency 3 2 4 8 2 2" xfId="15471" xr:uid="{B2E71E57-F4FB-4093-A393-31238DD41022}"/>
    <cellStyle name="Currency 3 2 4 8 3" xfId="11253" xr:uid="{33F6F331-708F-488E-954B-F041E4868C3F}"/>
    <cellStyle name="Currency 3 2 4 9" xfId="4638" xr:uid="{00000000-0005-0000-0000-0000420B0000}"/>
    <cellStyle name="Currency 3 2 4 9 2" xfId="13088" xr:uid="{38CC7D5C-B1F6-458A-AFA4-76BD5181B8C4}"/>
    <cellStyle name="Currency 3 2 5" xfId="185" xr:uid="{00000000-0005-0000-0000-0000430B0000}"/>
    <cellStyle name="Currency 3 2 5 10" xfId="8871" xr:uid="{1C91D344-57F2-4A29-B246-B1D9B6B2D96B}"/>
    <cellStyle name="Currency 3 2 5 2" xfId="715" xr:uid="{00000000-0005-0000-0000-0000440B0000}"/>
    <cellStyle name="Currency 3 2 5 2 2" xfId="2976" xr:uid="{00000000-0005-0000-0000-0000450B0000}"/>
    <cellStyle name="Currency 3 2 5 2 2 2" xfId="7198" xr:uid="{00000000-0005-0000-0000-0000460B0000}"/>
    <cellStyle name="Currency 3 2 5 2 2 2 2" xfId="15648" xr:uid="{D2506BA4-C5EA-4CA5-9C9D-C77C5E33D2D9}"/>
    <cellStyle name="Currency 3 2 5 2 2 3" xfId="11430" xr:uid="{94C4A0AB-1137-43F0-9246-BA8470948753}"/>
    <cellStyle name="Currency 3 2 5 2 3" xfId="5053" xr:uid="{00000000-0005-0000-0000-0000470B0000}"/>
    <cellStyle name="Currency 3 2 5 2 3 2" xfId="13503" xr:uid="{B19663C9-D92B-4138-995E-2CC24E39A5E8}"/>
    <cellStyle name="Currency 3 2 5 2 4" xfId="9285" xr:uid="{26CE3815-9740-4313-88C2-FA70DDA73CCB}"/>
    <cellStyle name="Currency 3 2 5 3" xfId="1158" xr:uid="{00000000-0005-0000-0000-0000480B0000}"/>
    <cellStyle name="Currency 3 2 5 3 2" xfId="3389" xr:uid="{00000000-0005-0000-0000-0000490B0000}"/>
    <cellStyle name="Currency 3 2 5 3 2 2" xfId="7611" xr:uid="{00000000-0005-0000-0000-00004A0B0000}"/>
    <cellStyle name="Currency 3 2 5 3 2 2 2" xfId="16061" xr:uid="{5D4AD279-7595-46F4-B681-49CB5987C615}"/>
    <cellStyle name="Currency 3 2 5 3 2 3" xfId="11843" xr:uid="{38AB2918-3CC0-47A4-92C6-B7224A03EA15}"/>
    <cellStyle name="Currency 3 2 5 3 3" xfId="5466" xr:uid="{00000000-0005-0000-0000-00004B0B0000}"/>
    <cellStyle name="Currency 3 2 5 3 3 2" xfId="13916" xr:uid="{0279B0BA-FA6E-43FD-8A81-D14B0DDD9D75}"/>
    <cellStyle name="Currency 3 2 5 3 4" xfId="9698" xr:uid="{03FAAC8B-09E8-43CF-9603-A4C070A1984F}"/>
    <cellStyle name="Currency 3 2 5 4" xfId="1572" xr:uid="{00000000-0005-0000-0000-00004C0B0000}"/>
    <cellStyle name="Currency 3 2 5 4 2" xfId="3802" xr:uid="{00000000-0005-0000-0000-00004D0B0000}"/>
    <cellStyle name="Currency 3 2 5 4 2 2" xfId="8024" xr:uid="{00000000-0005-0000-0000-00004E0B0000}"/>
    <cellStyle name="Currency 3 2 5 4 2 2 2" xfId="16474" xr:uid="{EB8569A8-A32A-440B-813B-B07E2210AF86}"/>
    <cellStyle name="Currency 3 2 5 4 2 3" xfId="12256" xr:uid="{57A2FCA9-4AA9-4640-9DC4-F80087180336}"/>
    <cellStyle name="Currency 3 2 5 4 3" xfId="5879" xr:uid="{00000000-0005-0000-0000-00004F0B0000}"/>
    <cellStyle name="Currency 3 2 5 4 3 2" xfId="14329" xr:uid="{B9B82745-0F45-4035-80F5-8014B9B70D64}"/>
    <cellStyle name="Currency 3 2 5 4 4" xfId="10111" xr:uid="{58017FFD-54EF-4847-AE5C-F23D0AF8AA40}"/>
    <cellStyle name="Currency 3 2 5 5" xfId="1986" xr:uid="{00000000-0005-0000-0000-0000500B0000}"/>
    <cellStyle name="Currency 3 2 5 5 2" xfId="4215" xr:uid="{00000000-0005-0000-0000-0000510B0000}"/>
    <cellStyle name="Currency 3 2 5 5 2 2" xfId="8437" xr:uid="{00000000-0005-0000-0000-0000520B0000}"/>
    <cellStyle name="Currency 3 2 5 5 2 2 2" xfId="16887" xr:uid="{ECD8E34D-9DEB-45AB-9328-0E9A5B03F6F7}"/>
    <cellStyle name="Currency 3 2 5 5 2 3" xfId="12669" xr:uid="{496844B2-D593-4582-8CB1-D0297C067073}"/>
    <cellStyle name="Currency 3 2 5 5 3" xfId="6292" xr:uid="{00000000-0005-0000-0000-0000530B0000}"/>
    <cellStyle name="Currency 3 2 5 5 3 2" xfId="14742" xr:uid="{569800DC-2E42-4067-9D43-3F900597983F}"/>
    <cellStyle name="Currency 3 2 5 5 4" xfId="10524" xr:uid="{F7146565-859E-4446-8F4D-5F7C22BB0AED}"/>
    <cellStyle name="Currency 3 2 5 6" xfId="2421" xr:uid="{00000000-0005-0000-0000-0000540B0000}"/>
    <cellStyle name="Currency 3 2 5 6 2" xfId="6705" xr:uid="{00000000-0005-0000-0000-0000550B0000}"/>
    <cellStyle name="Currency 3 2 5 6 2 2" xfId="15155" xr:uid="{E9F81EDD-C0D6-4813-979E-B2CC48D15B80}"/>
    <cellStyle name="Currency 3 2 5 6 3" xfId="10937" xr:uid="{1BB716F9-9FB3-432D-92DB-F7A230C3F4B8}"/>
    <cellStyle name="Currency 3 2 5 7" xfId="2718" xr:uid="{00000000-0005-0000-0000-0000560B0000}"/>
    <cellStyle name="Currency 3 2 5 8" xfId="2799" xr:uid="{00000000-0005-0000-0000-0000570B0000}"/>
    <cellStyle name="Currency 3 2 5 8 2" xfId="7022" xr:uid="{00000000-0005-0000-0000-0000580B0000}"/>
    <cellStyle name="Currency 3 2 5 8 2 2" xfId="15472" xr:uid="{71D3021D-780F-438A-AD36-CF9970E43762}"/>
    <cellStyle name="Currency 3 2 5 8 3" xfId="11254" xr:uid="{A702AE68-2F3B-48C7-A642-5F7A352FAC13}"/>
    <cellStyle name="Currency 3 2 5 9" xfId="4639" xr:uid="{00000000-0005-0000-0000-0000590B0000}"/>
    <cellStyle name="Currency 3 2 5 9 2" xfId="13089" xr:uid="{1F7D2A9C-7F5B-4E6D-B001-A8ADAE2A8E0B}"/>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0 2 2" xfId="15473" xr:uid="{959A02AC-3757-45A3-B6DA-A4B48F0BE485}"/>
    <cellStyle name="Currency 5 2 2 2 10 3" xfId="11255" xr:uid="{AC9C06AE-8CAD-4FA6-871F-F80D5186364C}"/>
    <cellStyle name="Currency 5 2 2 2 11" xfId="4640" xr:uid="{00000000-0005-0000-0000-00006C0B0000}"/>
    <cellStyle name="Currency 5 2 2 2 11 2" xfId="13090" xr:uid="{B8585FE5-6D3D-4709-9CA0-363E4095A33B}"/>
    <cellStyle name="Currency 5 2 2 2 12" xfId="8872" xr:uid="{686CB5C6-7D81-4726-A865-E3BAF60FBFBB}"/>
    <cellStyle name="Currency 5 2 2 2 2" xfId="197" xr:uid="{00000000-0005-0000-0000-00006D0B0000}"/>
    <cellStyle name="Currency 5 2 2 2 2 10" xfId="4641" xr:uid="{00000000-0005-0000-0000-00006E0B0000}"/>
    <cellStyle name="Currency 5 2 2 2 2 10 2" xfId="13091" xr:uid="{55F5C94E-B8A3-4B81-8A83-9190741F2FFA}"/>
    <cellStyle name="Currency 5 2 2 2 2 11" xfId="8873" xr:uid="{ABD5095E-6891-451B-A4DE-6B50FC66BBC1}"/>
    <cellStyle name="Currency 5 2 2 2 2 2" xfId="198" xr:uid="{00000000-0005-0000-0000-00006F0B0000}"/>
    <cellStyle name="Currency 5 2 2 2 2 2 10" xfId="8874" xr:uid="{9B54F95E-20FD-4A5D-8C2C-79ACED442D3F}"/>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2 2 2" xfId="15651" xr:uid="{DDC8D818-CD8C-4D4D-BEEA-5CB62DF738EE}"/>
    <cellStyle name="Currency 5 2 2 2 2 2 2 2 3" xfId="11433" xr:uid="{E37B9607-25AC-4C77-B84E-7E9C6E8C0D4B}"/>
    <cellStyle name="Currency 5 2 2 2 2 2 2 3" xfId="5056" xr:uid="{00000000-0005-0000-0000-0000730B0000}"/>
    <cellStyle name="Currency 5 2 2 2 2 2 2 3 2" xfId="13506" xr:uid="{D5A8BE64-42BC-4A8F-8374-A71A935EE8D4}"/>
    <cellStyle name="Currency 5 2 2 2 2 2 2 4" xfId="9288" xr:uid="{5C52695D-9F7B-4C37-9768-F24EFE75E791}"/>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2 2 2" xfId="16064" xr:uid="{8DED9B1E-D6B4-463A-83BC-068B28B8C651}"/>
    <cellStyle name="Currency 5 2 2 2 2 2 3 2 3" xfId="11846" xr:uid="{2AF91E6E-00B2-48A8-A432-A1754CD3C77C}"/>
    <cellStyle name="Currency 5 2 2 2 2 2 3 3" xfId="5469" xr:uid="{00000000-0005-0000-0000-0000770B0000}"/>
    <cellStyle name="Currency 5 2 2 2 2 2 3 3 2" xfId="13919" xr:uid="{5B62B262-A14B-46D8-AA87-8138E178C862}"/>
    <cellStyle name="Currency 5 2 2 2 2 2 3 4" xfId="9701" xr:uid="{4FF906E2-BD20-47D2-96BA-9E9FE541A624}"/>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2 2 2" xfId="16477" xr:uid="{CC6A8857-8FF1-4A9B-A400-C66D5B6B7C80}"/>
    <cellStyle name="Currency 5 2 2 2 2 2 4 2 3" xfId="12259" xr:uid="{5C352029-EC5B-41D8-A1AC-66A22C3787CF}"/>
    <cellStyle name="Currency 5 2 2 2 2 2 4 3" xfId="5882" xr:uid="{00000000-0005-0000-0000-00007B0B0000}"/>
    <cellStyle name="Currency 5 2 2 2 2 2 4 3 2" xfId="14332" xr:uid="{48209B7C-9C4A-4F8F-8F48-ECD2516D461F}"/>
    <cellStyle name="Currency 5 2 2 2 2 2 4 4" xfId="10114" xr:uid="{6500A9F7-DCA9-4980-8C2A-77E4090C5064}"/>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2 2 2" xfId="16890" xr:uid="{2CB83778-E7E9-4550-A416-0F9D8AC77C4B}"/>
    <cellStyle name="Currency 5 2 2 2 2 2 5 2 3" xfId="12672" xr:uid="{75ECE2E8-4DA3-4371-AEAF-D7CEF93A5217}"/>
    <cellStyle name="Currency 5 2 2 2 2 2 5 3" xfId="6295" xr:uid="{00000000-0005-0000-0000-00007F0B0000}"/>
    <cellStyle name="Currency 5 2 2 2 2 2 5 3 2" xfId="14745" xr:uid="{EF8162C9-93B9-47BE-BA78-E705697CDA80}"/>
    <cellStyle name="Currency 5 2 2 2 2 2 5 4" xfId="10527" xr:uid="{DBB9CCE4-7DCD-4FBE-AB0F-B74636FAAA03}"/>
    <cellStyle name="Currency 5 2 2 2 2 2 6" xfId="2424" xr:uid="{00000000-0005-0000-0000-0000800B0000}"/>
    <cellStyle name="Currency 5 2 2 2 2 2 6 2" xfId="6708" xr:uid="{00000000-0005-0000-0000-0000810B0000}"/>
    <cellStyle name="Currency 5 2 2 2 2 2 6 2 2" xfId="15158" xr:uid="{4CFA9B8E-550D-409B-AEA1-5B546FAB22F9}"/>
    <cellStyle name="Currency 5 2 2 2 2 2 6 3" xfId="10940" xr:uid="{B850906A-68BB-49AE-9551-1DD5D90B1299}"/>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8 2 2" xfId="15475" xr:uid="{EC1DC2AE-ECA3-412A-899B-2CFF6971830A}"/>
    <cellStyle name="Currency 5 2 2 2 2 2 8 3" xfId="11257" xr:uid="{8C4A0674-D58C-49EB-8920-7F952F26A128}"/>
    <cellStyle name="Currency 5 2 2 2 2 2 9" xfId="4642" xr:uid="{00000000-0005-0000-0000-0000850B0000}"/>
    <cellStyle name="Currency 5 2 2 2 2 2 9 2" xfId="13092" xr:uid="{B38B63FB-6DFD-443D-BCC8-8F3092D4E844}"/>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2 2 2" xfId="15650" xr:uid="{B914F46B-9CD8-41DA-8683-9B93833DA936}"/>
    <cellStyle name="Currency 5 2 2 2 2 3 2 3" xfId="11432" xr:uid="{1074B4B0-7967-4901-8A7F-6ACCE07F6D41}"/>
    <cellStyle name="Currency 5 2 2 2 2 3 3" xfId="5055" xr:uid="{00000000-0005-0000-0000-0000890B0000}"/>
    <cellStyle name="Currency 5 2 2 2 2 3 3 2" xfId="13505" xr:uid="{28DF3274-30EC-4928-98B2-7A2BB32428D9}"/>
    <cellStyle name="Currency 5 2 2 2 2 3 4" xfId="9287" xr:uid="{26C24AC9-1D51-422C-BF96-637C5E3E2871}"/>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2 2 2" xfId="16063" xr:uid="{F48C31C4-16F9-4855-ABCC-AB258BFEE0E5}"/>
    <cellStyle name="Currency 5 2 2 2 2 4 2 3" xfId="11845" xr:uid="{AF98AA8B-64AE-4DAD-A4ED-818880E4CAFE}"/>
    <cellStyle name="Currency 5 2 2 2 2 4 3" xfId="5468" xr:uid="{00000000-0005-0000-0000-00008D0B0000}"/>
    <cellStyle name="Currency 5 2 2 2 2 4 3 2" xfId="13918" xr:uid="{DF921DDC-6D2A-42BA-A1AF-144CC1F05C94}"/>
    <cellStyle name="Currency 5 2 2 2 2 4 4" xfId="9700" xr:uid="{F8380253-23DA-455C-9626-57E465203F2A}"/>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2 2 2" xfId="16476" xr:uid="{CB6F7312-3973-400F-A05C-3BF8E12B8ECA}"/>
    <cellStyle name="Currency 5 2 2 2 2 5 2 3" xfId="12258" xr:uid="{5B40813E-AC9F-497C-8A1C-02F482900987}"/>
    <cellStyle name="Currency 5 2 2 2 2 5 3" xfId="5881" xr:uid="{00000000-0005-0000-0000-0000910B0000}"/>
    <cellStyle name="Currency 5 2 2 2 2 5 3 2" xfId="14331" xr:uid="{E7D18E5C-FA54-412C-8C50-1D275F25F091}"/>
    <cellStyle name="Currency 5 2 2 2 2 5 4" xfId="10113" xr:uid="{8B74EADB-6EDD-40D3-8661-5945B5989012}"/>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2 2 2" xfId="16889" xr:uid="{6DDCACC2-C88F-4C6C-A71C-4EAAE539359A}"/>
    <cellStyle name="Currency 5 2 2 2 2 6 2 3" xfId="12671" xr:uid="{E5CC1256-1793-4343-9A12-403BB75AA62E}"/>
    <cellStyle name="Currency 5 2 2 2 2 6 3" xfId="6294" xr:uid="{00000000-0005-0000-0000-0000950B0000}"/>
    <cellStyle name="Currency 5 2 2 2 2 6 3 2" xfId="14744" xr:uid="{8F02E8F8-CDE9-46B5-A4A4-6BBEC68D92DE}"/>
    <cellStyle name="Currency 5 2 2 2 2 6 4" xfId="10526" xr:uid="{B69C81F8-B1CA-423F-98EB-5EC1B5F27EB8}"/>
    <cellStyle name="Currency 5 2 2 2 2 7" xfId="2423" xr:uid="{00000000-0005-0000-0000-0000960B0000}"/>
    <cellStyle name="Currency 5 2 2 2 2 7 2" xfId="6707" xr:uid="{00000000-0005-0000-0000-0000970B0000}"/>
    <cellStyle name="Currency 5 2 2 2 2 7 2 2" xfId="15157" xr:uid="{D88607CC-8C07-40D1-85A6-E5D5B22F66E1}"/>
    <cellStyle name="Currency 5 2 2 2 2 7 3" xfId="10939" xr:uid="{EA228862-8044-40D4-96B8-4D2CA3008E99}"/>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2 9 2 2" xfId="15474" xr:uid="{10E05B85-4C25-41D3-B301-4F6ACD850F93}"/>
    <cellStyle name="Currency 5 2 2 2 2 9 3" xfId="11256" xr:uid="{5A0C973B-1278-46BA-AF5D-3DCD9B427F07}"/>
    <cellStyle name="Currency 5 2 2 2 3" xfId="199" xr:uid="{00000000-0005-0000-0000-00009B0B0000}"/>
    <cellStyle name="Currency 5 2 2 2 3 10" xfId="8875" xr:uid="{840B0B6E-9171-4663-BAF1-36BD6CE7DBC5}"/>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2 2 2" xfId="15652" xr:uid="{DDA7D95A-C5F6-424E-98C8-3D0B0CEC0074}"/>
    <cellStyle name="Currency 5 2 2 2 3 2 2 3" xfId="11434" xr:uid="{46878EDE-216E-4761-AA8E-CAD32E966B77}"/>
    <cellStyle name="Currency 5 2 2 2 3 2 3" xfId="5057" xr:uid="{00000000-0005-0000-0000-00009F0B0000}"/>
    <cellStyle name="Currency 5 2 2 2 3 2 3 2" xfId="13507" xr:uid="{B123B222-E998-44FD-931E-842A648A8D6E}"/>
    <cellStyle name="Currency 5 2 2 2 3 2 4" xfId="9289" xr:uid="{E2DBCD1D-04B5-4B31-BCC0-EAD52876110D}"/>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2 2 2" xfId="16065" xr:uid="{B31C7A87-DAA4-45E8-B856-3DE7DA33A195}"/>
    <cellStyle name="Currency 5 2 2 2 3 3 2 3" xfId="11847" xr:uid="{93486C74-BD8A-407B-B287-DE338A5898A8}"/>
    <cellStyle name="Currency 5 2 2 2 3 3 3" xfId="5470" xr:uid="{00000000-0005-0000-0000-0000A30B0000}"/>
    <cellStyle name="Currency 5 2 2 2 3 3 3 2" xfId="13920" xr:uid="{4363D85D-A825-4FE9-A57A-08C96563E759}"/>
    <cellStyle name="Currency 5 2 2 2 3 3 4" xfId="9702" xr:uid="{5E80347C-05AA-4838-A481-2356E773967B}"/>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2 2 2" xfId="16478" xr:uid="{B68E3915-1ECD-4FE9-8E27-16D27B773A88}"/>
    <cellStyle name="Currency 5 2 2 2 3 4 2 3" xfId="12260" xr:uid="{E43B4F02-F86F-4E50-8BB5-E160FE7B2403}"/>
    <cellStyle name="Currency 5 2 2 2 3 4 3" xfId="5883" xr:uid="{00000000-0005-0000-0000-0000A70B0000}"/>
    <cellStyle name="Currency 5 2 2 2 3 4 3 2" xfId="14333" xr:uid="{EBC60220-1DD4-4E1B-A31D-006897AC1771}"/>
    <cellStyle name="Currency 5 2 2 2 3 4 4" xfId="10115" xr:uid="{0EAA3CB9-0809-43E0-96A4-74DF3AF788EE}"/>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2 2 2" xfId="16891" xr:uid="{0C1EE100-1D16-4742-AC1F-176C183F9F14}"/>
    <cellStyle name="Currency 5 2 2 2 3 5 2 3" xfId="12673" xr:uid="{1E743099-A290-423A-9F84-9C9D0D451F7F}"/>
    <cellStyle name="Currency 5 2 2 2 3 5 3" xfId="6296" xr:uid="{00000000-0005-0000-0000-0000AB0B0000}"/>
    <cellStyle name="Currency 5 2 2 2 3 5 3 2" xfId="14746" xr:uid="{0DFE60AB-6508-4283-9052-CB3376A2C615}"/>
    <cellStyle name="Currency 5 2 2 2 3 5 4" xfId="10528" xr:uid="{B21DE870-940E-40E5-BDBA-8D7846ECD3CF}"/>
    <cellStyle name="Currency 5 2 2 2 3 6" xfId="2425" xr:uid="{00000000-0005-0000-0000-0000AC0B0000}"/>
    <cellStyle name="Currency 5 2 2 2 3 6 2" xfId="6709" xr:uid="{00000000-0005-0000-0000-0000AD0B0000}"/>
    <cellStyle name="Currency 5 2 2 2 3 6 2 2" xfId="15159" xr:uid="{5B8A804B-F2CC-470C-BAAF-9F3C54ABD3FD}"/>
    <cellStyle name="Currency 5 2 2 2 3 6 3" xfId="10941" xr:uid="{74F18C27-CCF9-45DA-87DE-D98665E3ADCB}"/>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8 2 2" xfId="15476" xr:uid="{4AEA35C4-C8D5-49BB-BCC1-7113188773FF}"/>
    <cellStyle name="Currency 5 2 2 2 3 8 3" xfId="11258" xr:uid="{CD4A4895-A88C-405A-A1C8-4A2A65FD63B6}"/>
    <cellStyle name="Currency 5 2 2 2 3 9" xfId="4643" xr:uid="{00000000-0005-0000-0000-0000B10B0000}"/>
    <cellStyle name="Currency 5 2 2 2 3 9 2" xfId="13093" xr:uid="{872FFBDC-04A5-4D74-89BB-5F5CC8E417E7}"/>
    <cellStyle name="Currency 5 2 2 2 4" xfId="723" xr:uid="{00000000-0005-0000-0000-0000B20B0000}"/>
    <cellStyle name="Currency 5 2 2 2 4 2" xfId="2977" xr:uid="{00000000-0005-0000-0000-0000B30B0000}"/>
    <cellStyle name="Currency 5 2 2 2 4 2 2" xfId="7199" xr:uid="{00000000-0005-0000-0000-0000B40B0000}"/>
    <cellStyle name="Currency 5 2 2 2 4 2 2 2" xfId="15649" xr:uid="{1A3BDB66-2051-4945-80F1-F3F68A86771D}"/>
    <cellStyle name="Currency 5 2 2 2 4 2 3" xfId="11431" xr:uid="{4365BD33-B3D5-4B8C-9266-E555BCDD29B3}"/>
    <cellStyle name="Currency 5 2 2 2 4 3" xfId="5054" xr:uid="{00000000-0005-0000-0000-0000B50B0000}"/>
    <cellStyle name="Currency 5 2 2 2 4 3 2" xfId="13504" xr:uid="{12EFEC5C-1853-4E6E-98B2-E5C95FF94A1B}"/>
    <cellStyle name="Currency 5 2 2 2 4 4" xfId="9286" xr:uid="{4B02A883-A4A6-4528-8B3E-2517614E51D6}"/>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2 2 2" xfId="16062" xr:uid="{616B37A9-4DD0-4022-A368-F48BD8A9D0C4}"/>
    <cellStyle name="Currency 5 2 2 2 5 2 3" xfId="11844" xr:uid="{33E6E54E-3DCD-40B0-83B6-769C51A5EA20}"/>
    <cellStyle name="Currency 5 2 2 2 5 3" xfId="5467" xr:uid="{00000000-0005-0000-0000-0000B90B0000}"/>
    <cellStyle name="Currency 5 2 2 2 5 3 2" xfId="13917" xr:uid="{EE5D290E-AEA4-4956-971F-8EC84C0FED80}"/>
    <cellStyle name="Currency 5 2 2 2 5 4" xfId="9699" xr:uid="{B50B7D67-72DC-4A74-9EAF-8FE5947DD204}"/>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2 2 2" xfId="16475" xr:uid="{C89BC4E2-7472-44F2-AADE-29E9834635BD}"/>
    <cellStyle name="Currency 5 2 2 2 6 2 3" xfId="12257" xr:uid="{F183C9F1-B0D4-471C-ACDF-B37DD9FF6701}"/>
    <cellStyle name="Currency 5 2 2 2 6 3" xfId="5880" xr:uid="{00000000-0005-0000-0000-0000BD0B0000}"/>
    <cellStyle name="Currency 5 2 2 2 6 3 2" xfId="14330" xr:uid="{666FF9FF-1E9B-46FF-ACEC-A0603E0D073B}"/>
    <cellStyle name="Currency 5 2 2 2 6 4" xfId="10112" xr:uid="{ADA9501F-93C4-4C70-8916-CE8992E4BB52}"/>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2 2 2" xfId="16888" xr:uid="{11210786-84EF-4B2B-95DB-0823C42D4B76}"/>
    <cellStyle name="Currency 5 2 2 2 7 2 3" xfId="12670" xr:uid="{EF20A610-7660-48FF-AFB0-EB44340C9852}"/>
    <cellStyle name="Currency 5 2 2 2 7 3" xfId="6293" xr:uid="{00000000-0005-0000-0000-0000C10B0000}"/>
    <cellStyle name="Currency 5 2 2 2 7 3 2" xfId="14743" xr:uid="{5C1DA289-DBC7-4EC3-9483-CAF4959934C3}"/>
    <cellStyle name="Currency 5 2 2 2 7 4" xfId="10525" xr:uid="{3F5D7C93-CB55-482F-8365-14EDB568C2F2}"/>
    <cellStyle name="Currency 5 2 2 2 8" xfId="2422" xr:uid="{00000000-0005-0000-0000-0000C20B0000}"/>
    <cellStyle name="Currency 5 2 2 2 8 2" xfId="6706" xr:uid="{00000000-0005-0000-0000-0000C30B0000}"/>
    <cellStyle name="Currency 5 2 2 2 8 2 2" xfId="15156" xr:uid="{5B0BD719-31BB-4732-850E-0683871B1BF2}"/>
    <cellStyle name="Currency 5 2 2 2 8 3" xfId="10938" xr:uid="{AC355D10-469B-4825-B2FD-0478A384D30E}"/>
    <cellStyle name="Currency 5 2 2 2 9" xfId="2719" xr:uid="{00000000-0005-0000-0000-0000C40B0000}"/>
    <cellStyle name="Currency 5 2 2 3" xfId="200" xr:uid="{00000000-0005-0000-0000-0000C50B0000}"/>
    <cellStyle name="Currency 5 2 2 3 10" xfId="4644" xr:uid="{00000000-0005-0000-0000-0000C60B0000}"/>
    <cellStyle name="Currency 5 2 2 3 10 2" xfId="13094" xr:uid="{9BE106C8-5D80-4283-8D87-6238F697B3CC}"/>
    <cellStyle name="Currency 5 2 2 3 11" xfId="8876" xr:uid="{3D6E2337-35AF-4A66-A462-08FCAB08348E}"/>
    <cellStyle name="Currency 5 2 2 3 2" xfId="201" xr:uid="{00000000-0005-0000-0000-0000C70B0000}"/>
    <cellStyle name="Currency 5 2 2 3 2 10" xfId="8877" xr:uid="{15BCBAE3-282B-4409-8FA4-DF28BFDD2720}"/>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2 2 2" xfId="15654" xr:uid="{10207AB9-F106-449C-9D00-3FEB53F1A43D}"/>
    <cellStyle name="Currency 5 2 2 3 2 2 2 3" xfId="11436" xr:uid="{80168F13-E3CC-4396-B002-B4E79B77D895}"/>
    <cellStyle name="Currency 5 2 2 3 2 2 3" xfId="5059" xr:uid="{00000000-0005-0000-0000-0000CB0B0000}"/>
    <cellStyle name="Currency 5 2 2 3 2 2 3 2" xfId="13509" xr:uid="{B48A8654-84CE-4ABB-A11A-291D0E16C350}"/>
    <cellStyle name="Currency 5 2 2 3 2 2 4" xfId="9291" xr:uid="{86DB5F39-5308-4756-8A5B-55F7A834D817}"/>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2 2 2" xfId="16067" xr:uid="{E4B7FC6B-6D0C-40B4-8F17-FD679B6D7F05}"/>
    <cellStyle name="Currency 5 2 2 3 2 3 2 3" xfId="11849" xr:uid="{812E1D5C-6E93-448F-BEE0-5241805C6BAD}"/>
    <cellStyle name="Currency 5 2 2 3 2 3 3" xfId="5472" xr:uid="{00000000-0005-0000-0000-0000CF0B0000}"/>
    <cellStyle name="Currency 5 2 2 3 2 3 3 2" xfId="13922" xr:uid="{B4C70C9A-C733-4DB1-80C6-07B4FE3C5897}"/>
    <cellStyle name="Currency 5 2 2 3 2 3 4" xfId="9704" xr:uid="{81ED3043-863F-4E2C-BA10-7D6244C96573}"/>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2 2 2" xfId="16480" xr:uid="{F87A6456-B90F-4D9B-B2F7-8223CD425715}"/>
    <cellStyle name="Currency 5 2 2 3 2 4 2 3" xfId="12262" xr:uid="{40CDD63D-16D9-4A72-BDF7-FE10EFB8A0BD}"/>
    <cellStyle name="Currency 5 2 2 3 2 4 3" xfId="5885" xr:uid="{00000000-0005-0000-0000-0000D30B0000}"/>
    <cellStyle name="Currency 5 2 2 3 2 4 3 2" xfId="14335" xr:uid="{A4254B74-F1A5-4CCD-B4B2-9129F346EC73}"/>
    <cellStyle name="Currency 5 2 2 3 2 4 4" xfId="10117" xr:uid="{46AE16E3-AD7B-4B72-86FC-90FF9D409DA1}"/>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2 2 2" xfId="16893" xr:uid="{6008908A-3FFC-4E94-BC1A-82F60B940E05}"/>
    <cellStyle name="Currency 5 2 2 3 2 5 2 3" xfId="12675" xr:uid="{D03C922A-E5D3-4CFC-81DB-9AD7E36AD957}"/>
    <cellStyle name="Currency 5 2 2 3 2 5 3" xfId="6298" xr:uid="{00000000-0005-0000-0000-0000D70B0000}"/>
    <cellStyle name="Currency 5 2 2 3 2 5 3 2" xfId="14748" xr:uid="{E34BFA3E-6A7B-4FB9-BC72-54B93472D9A4}"/>
    <cellStyle name="Currency 5 2 2 3 2 5 4" xfId="10530" xr:uid="{E6E8E1A8-E0B5-4194-B494-FF118E440C4A}"/>
    <cellStyle name="Currency 5 2 2 3 2 6" xfId="2427" xr:uid="{00000000-0005-0000-0000-0000D80B0000}"/>
    <cellStyle name="Currency 5 2 2 3 2 6 2" xfId="6711" xr:uid="{00000000-0005-0000-0000-0000D90B0000}"/>
    <cellStyle name="Currency 5 2 2 3 2 6 2 2" xfId="15161" xr:uid="{BA883F2E-45DA-42EB-AFF7-B7D1EED9E319}"/>
    <cellStyle name="Currency 5 2 2 3 2 6 3" xfId="10943" xr:uid="{1706F1DE-8AE1-41F5-B60B-33D01EF282BA}"/>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8 2 2" xfId="15478" xr:uid="{E4C533E0-0919-49BE-B95F-C3F278BF26B0}"/>
    <cellStyle name="Currency 5 2 2 3 2 8 3" xfId="11260" xr:uid="{D6BBF654-C41E-4688-9BE1-B0026EB02E77}"/>
    <cellStyle name="Currency 5 2 2 3 2 9" xfId="4645" xr:uid="{00000000-0005-0000-0000-0000DD0B0000}"/>
    <cellStyle name="Currency 5 2 2 3 2 9 2" xfId="13095" xr:uid="{4EECD7FB-1B78-4CA2-B153-DA7446F709DF}"/>
    <cellStyle name="Currency 5 2 2 3 3" xfId="727" xr:uid="{00000000-0005-0000-0000-0000DE0B0000}"/>
    <cellStyle name="Currency 5 2 2 3 3 2" xfId="2981" xr:uid="{00000000-0005-0000-0000-0000DF0B0000}"/>
    <cellStyle name="Currency 5 2 2 3 3 2 2" xfId="7203" xr:uid="{00000000-0005-0000-0000-0000E00B0000}"/>
    <cellStyle name="Currency 5 2 2 3 3 2 2 2" xfId="15653" xr:uid="{0BBDC8CF-59C6-43AE-BEE1-430BF9CD6277}"/>
    <cellStyle name="Currency 5 2 2 3 3 2 3" xfId="11435" xr:uid="{49F9F264-6CBF-4571-B6C3-3DBCE50FFE53}"/>
    <cellStyle name="Currency 5 2 2 3 3 3" xfId="5058" xr:uid="{00000000-0005-0000-0000-0000E10B0000}"/>
    <cellStyle name="Currency 5 2 2 3 3 3 2" xfId="13508" xr:uid="{1D76F8DC-D136-4123-A3C9-2ECC8CCECE1C}"/>
    <cellStyle name="Currency 5 2 2 3 3 4" xfId="9290" xr:uid="{3F582D38-5B96-4B44-B37F-8D252644F685}"/>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2 2 2" xfId="16066" xr:uid="{3DF1D3D5-9B2C-4F03-86DE-C4D6879945A8}"/>
    <cellStyle name="Currency 5 2 2 3 4 2 3" xfId="11848" xr:uid="{4536589F-46F4-4CC7-844C-2E12ABFFB4B0}"/>
    <cellStyle name="Currency 5 2 2 3 4 3" xfId="5471" xr:uid="{00000000-0005-0000-0000-0000E50B0000}"/>
    <cellStyle name="Currency 5 2 2 3 4 3 2" xfId="13921" xr:uid="{F3F4CF2D-EE6E-42C6-BDD5-4F7D974B2024}"/>
    <cellStyle name="Currency 5 2 2 3 4 4" xfId="9703" xr:uid="{86BD1E57-D338-41C2-8A08-FF801DCA181A}"/>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2 2 2" xfId="16479" xr:uid="{FDC9CA5A-368E-43E4-995B-709D7D9C279F}"/>
    <cellStyle name="Currency 5 2 2 3 5 2 3" xfId="12261" xr:uid="{44DC31FA-11DA-4B7C-AE6A-C98CA6E0CABB}"/>
    <cellStyle name="Currency 5 2 2 3 5 3" xfId="5884" xr:uid="{00000000-0005-0000-0000-0000E90B0000}"/>
    <cellStyle name="Currency 5 2 2 3 5 3 2" xfId="14334" xr:uid="{95C17501-A758-42F9-BFE1-8FC7321F1EDD}"/>
    <cellStyle name="Currency 5 2 2 3 5 4" xfId="10116" xr:uid="{2D48502A-9956-4800-A64C-C5D3A4D8F5DD}"/>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2 2 2" xfId="16892" xr:uid="{49208B2C-8D0F-4401-B2B6-824B312A05E4}"/>
    <cellStyle name="Currency 5 2 2 3 6 2 3" xfId="12674" xr:uid="{8F960439-232F-4670-B1BA-1E1E2267C988}"/>
    <cellStyle name="Currency 5 2 2 3 6 3" xfId="6297" xr:uid="{00000000-0005-0000-0000-0000ED0B0000}"/>
    <cellStyle name="Currency 5 2 2 3 6 3 2" xfId="14747" xr:uid="{D5299F0C-E2D3-4857-AF55-ACBC79109F61}"/>
    <cellStyle name="Currency 5 2 2 3 6 4" xfId="10529" xr:uid="{ADC9BC79-4CBA-4E74-AC36-D9F0DE17579E}"/>
    <cellStyle name="Currency 5 2 2 3 7" xfId="2426" xr:uid="{00000000-0005-0000-0000-0000EE0B0000}"/>
    <cellStyle name="Currency 5 2 2 3 7 2" xfId="6710" xr:uid="{00000000-0005-0000-0000-0000EF0B0000}"/>
    <cellStyle name="Currency 5 2 2 3 7 2 2" xfId="15160" xr:uid="{5FAD36D3-748F-4AF9-98C5-763F562C263D}"/>
    <cellStyle name="Currency 5 2 2 3 7 3" xfId="10942" xr:uid="{4FE1282A-0ECD-4C70-9934-49A919D35EA2}"/>
    <cellStyle name="Currency 5 2 2 3 8" xfId="2723" xr:uid="{00000000-0005-0000-0000-0000F00B0000}"/>
    <cellStyle name="Currency 5 2 2 3 9" xfId="2804" xr:uid="{00000000-0005-0000-0000-0000F10B0000}"/>
    <cellStyle name="Currency 5 2 2 3 9 2" xfId="7027" xr:uid="{00000000-0005-0000-0000-0000F20B0000}"/>
    <cellStyle name="Currency 5 2 2 3 9 2 2" xfId="15477" xr:uid="{B01A44C7-0506-4AF1-B487-B1728753411D}"/>
    <cellStyle name="Currency 5 2 2 3 9 3" xfId="11259" xr:uid="{3F2BA58A-52B6-4D59-B5C5-F3835A4476DA}"/>
    <cellStyle name="Currency 5 2 2 4" xfId="202" xr:uid="{00000000-0005-0000-0000-0000F30B0000}"/>
    <cellStyle name="Currency 5 2 2 4 10" xfId="8878" xr:uid="{A1CD8F9C-00CC-4DA8-8100-0C0D83453E4E}"/>
    <cellStyle name="Currency 5 2 2 4 2" xfId="729" xr:uid="{00000000-0005-0000-0000-0000F40B0000}"/>
    <cellStyle name="Currency 5 2 2 4 2 2" xfId="2983" xr:uid="{00000000-0005-0000-0000-0000F50B0000}"/>
    <cellStyle name="Currency 5 2 2 4 2 2 2" xfId="7205" xr:uid="{00000000-0005-0000-0000-0000F60B0000}"/>
    <cellStyle name="Currency 5 2 2 4 2 2 2 2" xfId="15655" xr:uid="{E768B30B-9C4F-4E41-B30C-763A2ABD2D98}"/>
    <cellStyle name="Currency 5 2 2 4 2 2 3" xfId="11437" xr:uid="{E16AB471-28F1-4A37-B2FB-E0512C6533C8}"/>
    <cellStyle name="Currency 5 2 2 4 2 3" xfId="5060" xr:uid="{00000000-0005-0000-0000-0000F70B0000}"/>
    <cellStyle name="Currency 5 2 2 4 2 3 2" xfId="13510" xr:uid="{50EF2C48-1553-4BCC-8E4D-3C20BBFD623F}"/>
    <cellStyle name="Currency 5 2 2 4 2 4" xfId="9292" xr:uid="{D028A7B1-D712-49D6-83AE-1F924A4534A9}"/>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2 2 2" xfId="16068" xr:uid="{E9761B8B-5C54-4F6A-84B4-7BAC2B121CB2}"/>
    <cellStyle name="Currency 5 2 2 4 3 2 3" xfId="11850" xr:uid="{E266D6AD-7AF1-40AB-8F3F-22C3AA0E09C0}"/>
    <cellStyle name="Currency 5 2 2 4 3 3" xfId="5473" xr:uid="{00000000-0005-0000-0000-0000FB0B0000}"/>
    <cellStyle name="Currency 5 2 2 4 3 3 2" xfId="13923" xr:uid="{D106AF93-5D1C-4842-B3AF-B16F3477AB83}"/>
    <cellStyle name="Currency 5 2 2 4 3 4" xfId="9705" xr:uid="{DE9E9F60-F582-45D4-8351-6B75754EBC55}"/>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2 2 2" xfId="16481" xr:uid="{5A1B9972-7E06-41EE-A2E9-DEC235E29216}"/>
    <cellStyle name="Currency 5 2 2 4 4 2 3" xfId="12263" xr:uid="{9AE0FCC2-2144-4BFA-A623-964118183E9F}"/>
    <cellStyle name="Currency 5 2 2 4 4 3" xfId="5886" xr:uid="{00000000-0005-0000-0000-0000FF0B0000}"/>
    <cellStyle name="Currency 5 2 2 4 4 3 2" xfId="14336" xr:uid="{67937CA3-CE37-44EB-9438-7A9592E0169D}"/>
    <cellStyle name="Currency 5 2 2 4 4 4" xfId="10118" xr:uid="{2BECA4D8-0589-4192-B2E3-8415EE3C9A4E}"/>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2 2 2" xfId="16894" xr:uid="{0F5F9C96-4A99-4F65-97ED-3AA8FF67F265}"/>
    <cellStyle name="Currency 5 2 2 4 5 2 3" xfId="12676" xr:uid="{D3888C3F-30AA-4825-8B69-10ED3DDA9474}"/>
    <cellStyle name="Currency 5 2 2 4 5 3" xfId="6299" xr:uid="{00000000-0005-0000-0000-0000030C0000}"/>
    <cellStyle name="Currency 5 2 2 4 5 3 2" xfId="14749" xr:uid="{1B32CE18-1890-4FCD-BC99-EA32CF0AE974}"/>
    <cellStyle name="Currency 5 2 2 4 5 4" xfId="10531" xr:uid="{0801514F-1E1D-4EB4-9418-C4D6C6FCFAEB}"/>
    <cellStyle name="Currency 5 2 2 4 6" xfId="2428" xr:uid="{00000000-0005-0000-0000-0000040C0000}"/>
    <cellStyle name="Currency 5 2 2 4 6 2" xfId="6712" xr:uid="{00000000-0005-0000-0000-0000050C0000}"/>
    <cellStyle name="Currency 5 2 2 4 6 2 2" xfId="15162" xr:uid="{65C2093A-F798-4184-9597-5409CC712F3E}"/>
    <cellStyle name="Currency 5 2 2 4 6 3" xfId="10944" xr:uid="{74EB8A3D-5F7D-42E6-9CE0-6BE2391E4239}"/>
    <cellStyle name="Currency 5 2 2 4 7" xfId="2725" xr:uid="{00000000-0005-0000-0000-0000060C0000}"/>
    <cellStyle name="Currency 5 2 2 4 8" xfId="2806" xr:uid="{00000000-0005-0000-0000-0000070C0000}"/>
    <cellStyle name="Currency 5 2 2 4 8 2" xfId="7029" xr:uid="{00000000-0005-0000-0000-0000080C0000}"/>
    <cellStyle name="Currency 5 2 2 4 8 2 2" xfId="15479" xr:uid="{B47BFDEB-7F3F-4FAD-BB76-BAE489092564}"/>
    <cellStyle name="Currency 5 2 2 4 8 3" xfId="11261" xr:uid="{61869ED1-709A-4629-AD46-1CBC427E2E08}"/>
    <cellStyle name="Currency 5 2 2 4 9" xfId="4646" xr:uid="{00000000-0005-0000-0000-0000090C0000}"/>
    <cellStyle name="Currency 5 2 2 4 9 2" xfId="13096" xr:uid="{F7998128-1A5F-4DB2-9732-C248832A9FF6}"/>
    <cellStyle name="Currency 5 2 2 5" xfId="203" xr:uid="{00000000-0005-0000-0000-00000A0C0000}"/>
    <cellStyle name="Currency 5 2 2 5 10" xfId="8879" xr:uid="{AB0E3DC1-B3B4-4D41-B61C-37F4ED915BA6}"/>
    <cellStyle name="Currency 5 2 2 5 2" xfId="730" xr:uid="{00000000-0005-0000-0000-00000B0C0000}"/>
    <cellStyle name="Currency 5 2 2 5 2 2" xfId="2984" xr:uid="{00000000-0005-0000-0000-00000C0C0000}"/>
    <cellStyle name="Currency 5 2 2 5 2 2 2" xfId="7206" xr:uid="{00000000-0005-0000-0000-00000D0C0000}"/>
    <cellStyle name="Currency 5 2 2 5 2 2 2 2" xfId="15656" xr:uid="{6BEF3C17-E419-4AB1-A443-2D097F5271E0}"/>
    <cellStyle name="Currency 5 2 2 5 2 2 3" xfId="11438" xr:uid="{F75EC3A1-4F5B-4AB5-B18A-115DE19A0E0C}"/>
    <cellStyle name="Currency 5 2 2 5 2 3" xfId="5061" xr:uid="{00000000-0005-0000-0000-00000E0C0000}"/>
    <cellStyle name="Currency 5 2 2 5 2 3 2" xfId="13511" xr:uid="{C76E380D-D140-46B3-872F-E4727EFA14D0}"/>
    <cellStyle name="Currency 5 2 2 5 2 4" xfId="9293" xr:uid="{52BB5293-6FE0-4133-9CAD-F859A6487F8C}"/>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2 2 2" xfId="16069" xr:uid="{565293AC-E750-4D56-B37F-19B56A8DA90A}"/>
    <cellStyle name="Currency 5 2 2 5 3 2 3" xfId="11851" xr:uid="{BA5F5E6B-E94D-477C-8D20-EBF23616A7FC}"/>
    <cellStyle name="Currency 5 2 2 5 3 3" xfId="5474" xr:uid="{00000000-0005-0000-0000-0000120C0000}"/>
    <cellStyle name="Currency 5 2 2 5 3 3 2" xfId="13924" xr:uid="{2B7DEEBE-0E02-4585-AC21-4EAC74977080}"/>
    <cellStyle name="Currency 5 2 2 5 3 4" xfId="9706" xr:uid="{DABB9BB1-20A0-4A1B-95B1-D1560DDB07DC}"/>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2 2 2" xfId="16482" xr:uid="{3041170A-9489-41C6-8FC7-820188FDBC82}"/>
    <cellStyle name="Currency 5 2 2 5 4 2 3" xfId="12264" xr:uid="{458F88AE-B555-4560-8231-84D070518622}"/>
    <cellStyle name="Currency 5 2 2 5 4 3" xfId="5887" xr:uid="{00000000-0005-0000-0000-0000160C0000}"/>
    <cellStyle name="Currency 5 2 2 5 4 3 2" xfId="14337" xr:uid="{B10CE3C1-F107-4081-A11F-C5A9E1CD86CA}"/>
    <cellStyle name="Currency 5 2 2 5 4 4" xfId="10119" xr:uid="{C41B91A2-B6CF-4C13-86AD-4422D2A72059}"/>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2 2 2" xfId="16895" xr:uid="{DBC401CD-5307-4BAD-B6FF-3EA2EA07B4C4}"/>
    <cellStyle name="Currency 5 2 2 5 5 2 3" xfId="12677" xr:uid="{91AB12C7-ABFC-454F-8F25-089B5AB16430}"/>
    <cellStyle name="Currency 5 2 2 5 5 3" xfId="6300" xr:uid="{00000000-0005-0000-0000-00001A0C0000}"/>
    <cellStyle name="Currency 5 2 2 5 5 3 2" xfId="14750" xr:uid="{AB74B29C-9F4D-462B-9152-9F7C280F0DBE}"/>
    <cellStyle name="Currency 5 2 2 5 5 4" xfId="10532" xr:uid="{D00F3849-D700-4340-BB55-6073D7143939}"/>
    <cellStyle name="Currency 5 2 2 5 6" xfId="2429" xr:uid="{00000000-0005-0000-0000-00001B0C0000}"/>
    <cellStyle name="Currency 5 2 2 5 6 2" xfId="6713" xr:uid="{00000000-0005-0000-0000-00001C0C0000}"/>
    <cellStyle name="Currency 5 2 2 5 6 2 2" xfId="15163" xr:uid="{43502C42-9975-4A91-8A30-D47A5BD70756}"/>
    <cellStyle name="Currency 5 2 2 5 6 3" xfId="10945" xr:uid="{07CC2BAD-3125-4BEF-B2C2-932E2DA34EB6}"/>
    <cellStyle name="Currency 5 2 2 5 7" xfId="2726" xr:uid="{00000000-0005-0000-0000-00001D0C0000}"/>
    <cellStyle name="Currency 5 2 2 5 8" xfId="2807" xr:uid="{00000000-0005-0000-0000-00001E0C0000}"/>
    <cellStyle name="Currency 5 2 2 5 8 2" xfId="7030" xr:uid="{00000000-0005-0000-0000-00001F0C0000}"/>
    <cellStyle name="Currency 5 2 2 5 8 2 2" xfId="15480" xr:uid="{A880DE1B-74F0-4ACC-A3D8-A91708250B94}"/>
    <cellStyle name="Currency 5 2 2 5 8 3" xfId="11262" xr:uid="{DB7BFBC0-5135-4025-9742-20B7321475F6}"/>
    <cellStyle name="Currency 5 2 2 5 9" xfId="4647" xr:uid="{00000000-0005-0000-0000-0000200C0000}"/>
    <cellStyle name="Currency 5 2 2 5 9 2" xfId="13097" xr:uid="{C33536CC-AF8E-4304-8FD7-AB129251FC6C}"/>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10 2" xfId="13098" xr:uid="{39A29F14-28B5-4A62-9003-214B8AAFF011}"/>
    <cellStyle name="Currency 5 2 4 11" xfId="8880" xr:uid="{2B1611A7-9DE9-458D-B249-6CF60C96DFA4}"/>
    <cellStyle name="Currency 5 2 4 2" xfId="206" xr:uid="{00000000-0005-0000-0000-0000250C0000}"/>
    <cellStyle name="Currency 5 2 4 2 10" xfId="8881" xr:uid="{1F7879D1-B101-447B-A3CC-2FEB30FE3CF2}"/>
    <cellStyle name="Currency 5 2 4 2 2" xfId="733" xr:uid="{00000000-0005-0000-0000-0000260C0000}"/>
    <cellStyle name="Currency 5 2 4 2 2 2" xfId="2986" xr:uid="{00000000-0005-0000-0000-0000270C0000}"/>
    <cellStyle name="Currency 5 2 4 2 2 2 2" xfId="7208" xr:uid="{00000000-0005-0000-0000-0000280C0000}"/>
    <cellStyle name="Currency 5 2 4 2 2 2 2 2" xfId="15658" xr:uid="{BA392E74-1894-4C05-A749-191BAD2EF44B}"/>
    <cellStyle name="Currency 5 2 4 2 2 2 3" xfId="11440" xr:uid="{AEE5E7DA-86CB-45D6-8470-32F882659948}"/>
    <cellStyle name="Currency 5 2 4 2 2 3" xfId="5063" xr:uid="{00000000-0005-0000-0000-0000290C0000}"/>
    <cellStyle name="Currency 5 2 4 2 2 3 2" xfId="13513" xr:uid="{12E2F7C0-0CC7-4651-B37E-CAFE176CDF73}"/>
    <cellStyle name="Currency 5 2 4 2 2 4" xfId="9295" xr:uid="{1BB116B4-C4CE-47C2-8221-A76470CC531B}"/>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2 2 2" xfId="16071" xr:uid="{4DFEE9CA-8EFB-4115-BCB9-9113BF010CEC}"/>
    <cellStyle name="Currency 5 2 4 2 3 2 3" xfId="11853" xr:uid="{39F80F08-544E-4699-9D5D-2DDAFB2337A8}"/>
    <cellStyle name="Currency 5 2 4 2 3 3" xfId="5476" xr:uid="{00000000-0005-0000-0000-00002D0C0000}"/>
    <cellStyle name="Currency 5 2 4 2 3 3 2" xfId="13926" xr:uid="{B9B452CA-1EC7-4E3F-AB45-C09F0A976CDF}"/>
    <cellStyle name="Currency 5 2 4 2 3 4" xfId="9708" xr:uid="{EF72A73C-B761-4E17-A97C-0C99A9E39174}"/>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2 2 2" xfId="16484" xr:uid="{8C530CA6-B88E-4B4D-8C9C-8758A282DA95}"/>
    <cellStyle name="Currency 5 2 4 2 4 2 3" xfId="12266" xr:uid="{59505B46-B276-4580-A027-D2B2453FC80F}"/>
    <cellStyle name="Currency 5 2 4 2 4 3" xfId="5889" xr:uid="{00000000-0005-0000-0000-0000310C0000}"/>
    <cellStyle name="Currency 5 2 4 2 4 3 2" xfId="14339" xr:uid="{B126C87A-B0D6-4A33-A3B9-BFEC05670EE2}"/>
    <cellStyle name="Currency 5 2 4 2 4 4" xfId="10121" xr:uid="{BB3E95EE-6E73-4525-9098-C5347ED4438C}"/>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2 2 2" xfId="16897" xr:uid="{D0720D39-AEF4-4F87-9CAC-620A604ADBA4}"/>
    <cellStyle name="Currency 5 2 4 2 5 2 3" xfId="12679" xr:uid="{83B06F0D-B239-4A07-B74F-9F4BE9A9631D}"/>
    <cellStyle name="Currency 5 2 4 2 5 3" xfId="6302" xr:uid="{00000000-0005-0000-0000-0000350C0000}"/>
    <cellStyle name="Currency 5 2 4 2 5 3 2" xfId="14752" xr:uid="{F4680FBE-1150-46CC-8F13-CD15D425A8B9}"/>
    <cellStyle name="Currency 5 2 4 2 5 4" xfId="10534" xr:uid="{9CEFDF13-558F-4095-AA8D-3C853D41748B}"/>
    <cellStyle name="Currency 5 2 4 2 6" xfId="2431" xr:uid="{00000000-0005-0000-0000-0000360C0000}"/>
    <cellStyle name="Currency 5 2 4 2 6 2" xfId="6715" xr:uid="{00000000-0005-0000-0000-0000370C0000}"/>
    <cellStyle name="Currency 5 2 4 2 6 2 2" xfId="15165" xr:uid="{6D6F3FCE-7FE7-429C-AACD-C47304DC87E1}"/>
    <cellStyle name="Currency 5 2 4 2 6 3" xfId="10947" xr:uid="{B2FEFDDF-C533-4B66-A0AC-C5D8F38344E2}"/>
    <cellStyle name="Currency 5 2 4 2 7" xfId="2728" xr:uid="{00000000-0005-0000-0000-0000380C0000}"/>
    <cellStyle name="Currency 5 2 4 2 8" xfId="2809" xr:uid="{00000000-0005-0000-0000-0000390C0000}"/>
    <cellStyle name="Currency 5 2 4 2 8 2" xfId="7032" xr:uid="{00000000-0005-0000-0000-00003A0C0000}"/>
    <cellStyle name="Currency 5 2 4 2 8 2 2" xfId="15482" xr:uid="{20DA9371-F63B-4BB5-AF1F-85DD3927BD1E}"/>
    <cellStyle name="Currency 5 2 4 2 8 3" xfId="11264" xr:uid="{449D07E6-B8A4-4F5F-BF29-31966FC66812}"/>
    <cellStyle name="Currency 5 2 4 2 9" xfId="4649" xr:uid="{00000000-0005-0000-0000-00003B0C0000}"/>
    <cellStyle name="Currency 5 2 4 2 9 2" xfId="13099" xr:uid="{CD10C957-0C6F-41D9-8CA7-897F204BF675}"/>
    <cellStyle name="Currency 5 2 4 3" xfId="732" xr:uid="{00000000-0005-0000-0000-00003C0C0000}"/>
    <cellStyle name="Currency 5 2 4 3 2" xfId="2985" xr:uid="{00000000-0005-0000-0000-00003D0C0000}"/>
    <cellStyle name="Currency 5 2 4 3 2 2" xfId="7207" xr:uid="{00000000-0005-0000-0000-00003E0C0000}"/>
    <cellStyle name="Currency 5 2 4 3 2 2 2" xfId="15657" xr:uid="{969E75A4-BB56-4E78-A3D5-B48DD035BE62}"/>
    <cellStyle name="Currency 5 2 4 3 2 3" xfId="11439" xr:uid="{1136D0E7-063A-4CEF-81BA-0A83CA558F11}"/>
    <cellStyle name="Currency 5 2 4 3 3" xfId="5062" xr:uid="{00000000-0005-0000-0000-00003F0C0000}"/>
    <cellStyle name="Currency 5 2 4 3 3 2" xfId="13512" xr:uid="{D76ACD62-0CCF-4214-A3F3-855E56DFC7B2}"/>
    <cellStyle name="Currency 5 2 4 3 4" xfId="9294" xr:uid="{81B18C2E-67CC-4051-99CF-B855E8FC2D18}"/>
    <cellStyle name="Currency 5 2 4 4" xfId="1167" xr:uid="{00000000-0005-0000-0000-0000400C0000}"/>
    <cellStyle name="Currency 5 2 4 4 2" xfId="3398" xr:uid="{00000000-0005-0000-0000-0000410C0000}"/>
    <cellStyle name="Currency 5 2 4 4 2 2" xfId="7620" xr:uid="{00000000-0005-0000-0000-0000420C0000}"/>
    <cellStyle name="Currency 5 2 4 4 2 2 2" xfId="16070" xr:uid="{17D3329B-4C4E-443C-9AC3-986E3A725B77}"/>
    <cellStyle name="Currency 5 2 4 4 2 3" xfId="11852" xr:uid="{473A97F5-866F-431B-8EF5-CEC2D400AD2F}"/>
    <cellStyle name="Currency 5 2 4 4 3" xfId="5475" xr:uid="{00000000-0005-0000-0000-0000430C0000}"/>
    <cellStyle name="Currency 5 2 4 4 3 2" xfId="13925" xr:uid="{228042D5-1BE7-4CF7-846D-D759B0C7E376}"/>
    <cellStyle name="Currency 5 2 4 4 4" xfId="9707" xr:uid="{0E94BC86-E5F8-4E11-91F5-711EF883318D}"/>
    <cellStyle name="Currency 5 2 4 5" xfId="1581" xr:uid="{00000000-0005-0000-0000-0000440C0000}"/>
    <cellStyle name="Currency 5 2 4 5 2" xfId="3811" xr:uid="{00000000-0005-0000-0000-0000450C0000}"/>
    <cellStyle name="Currency 5 2 4 5 2 2" xfId="8033" xr:uid="{00000000-0005-0000-0000-0000460C0000}"/>
    <cellStyle name="Currency 5 2 4 5 2 2 2" xfId="16483" xr:uid="{FEE4FC34-9B50-4F6E-9106-691A44D531E3}"/>
    <cellStyle name="Currency 5 2 4 5 2 3" xfId="12265" xr:uid="{885D9C20-61A0-4B86-8A42-3C9DD20E9E72}"/>
    <cellStyle name="Currency 5 2 4 5 3" xfId="5888" xr:uid="{00000000-0005-0000-0000-0000470C0000}"/>
    <cellStyle name="Currency 5 2 4 5 3 2" xfId="14338" xr:uid="{BCBF957C-1F73-41B4-A8D6-5C3D5B6C0B3F}"/>
    <cellStyle name="Currency 5 2 4 5 4" xfId="10120" xr:uid="{61343B5A-8772-41D7-B381-A68EC20A72C5}"/>
    <cellStyle name="Currency 5 2 4 6" xfId="1995" xr:uid="{00000000-0005-0000-0000-0000480C0000}"/>
    <cellStyle name="Currency 5 2 4 6 2" xfId="4224" xr:uid="{00000000-0005-0000-0000-0000490C0000}"/>
    <cellStyle name="Currency 5 2 4 6 2 2" xfId="8446" xr:uid="{00000000-0005-0000-0000-00004A0C0000}"/>
    <cellStyle name="Currency 5 2 4 6 2 2 2" xfId="16896" xr:uid="{4FBD7D44-BFE6-4AE7-AE98-6791E1337C57}"/>
    <cellStyle name="Currency 5 2 4 6 2 3" xfId="12678" xr:uid="{AC1E3277-0469-45A3-9E49-D76FCD18F5DE}"/>
    <cellStyle name="Currency 5 2 4 6 3" xfId="6301" xr:uid="{00000000-0005-0000-0000-00004B0C0000}"/>
    <cellStyle name="Currency 5 2 4 6 3 2" xfId="14751" xr:uid="{1A8525CA-69DE-4793-A923-3D66C37945C3}"/>
    <cellStyle name="Currency 5 2 4 6 4" xfId="10533" xr:uid="{DA873D50-7FFD-4E21-AF4A-812C3978CE3C}"/>
    <cellStyle name="Currency 5 2 4 7" xfId="2430" xr:uid="{00000000-0005-0000-0000-00004C0C0000}"/>
    <cellStyle name="Currency 5 2 4 7 2" xfId="6714" xr:uid="{00000000-0005-0000-0000-00004D0C0000}"/>
    <cellStyle name="Currency 5 2 4 7 2 2" xfId="15164" xr:uid="{E4DE49BB-0FC3-4EBD-BC5F-77334C5A88E7}"/>
    <cellStyle name="Currency 5 2 4 7 3" xfId="10946" xr:uid="{421D52A5-D55F-4F28-852B-DEA61FE61A0A}"/>
    <cellStyle name="Currency 5 2 4 8" xfId="2727" xr:uid="{00000000-0005-0000-0000-00004E0C0000}"/>
    <cellStyle name="Currency 5 2 4 9" xfId="2808" xr:uid="{00000000-0005-0000-0000-00004F0C0000}"/>
    <cellStyle name="Currency 5 2 4 9 2" xfId="7031" xr:uid="{00000000-0005-0000-0000-0000500C0000}"/>
    <cellStyle name="Currency 5 2 4 9 2 2" xfId="15481" xr:uid="{6A2D0035-E25B-40B0-AA09-9F7DFC59AAE6}"/>
    <cellStyle name="Currency 5 2 4 9 3" xfId="11263" xr:uid="{95FC68BE-982E-4DD4-B353-AC50A22E9C22}"/>
    <cellStyle name="Currency 5 2 5" xfId="207" xr:uid="{00000000-0005-0000-0000-0000510C0000}"/>
    <cellStyle name="Currency 5 2 5 10" xfId="8882" xr:uid="{34CB5A28-DCC5-4477-9B67-885232D4F0F8}"/>
    <cellStyle name="Currency 5 2 5 2" xfId="734" xr:uid="{00000000-0005-0000-0000-0000520C0000}"/>
    <cellStyle name="Currency 5 2 5 2 2" xfId="2987" xr:uid="{00000000-0005-0000-0000-0000530C0000}"/>
    <cellStyle name="Currency 5 2 5 2 2 2" xfId="7209" xr:uid="{00000000-0005-0000-0000-0000540C0000}"/>
    <cellStyle name="Currency 5 2 5 2 2 2 2" xfId="15659" xr:uid="{B9B6BDAB-2D8A-4E19-A307-FC24F2683B09}"/>
    <cellStyle name="Currency 5 2 5 2 2 3" xfId="11441" xr:uid="{39B2F21E-1105-4F41-9DDA-7878C9F2781D}"/>
    <cellStyle name="Currency 5 2 5 2 3" xfId="5064" xr:uid="{00000000-0005-0000-0000-0000550C0000}"/>
    <cellStyle name="Currency 5 2 5 2 3 2" xfId="13514" xr:uid="{AA059C5E-2A46-4E46-81E6-54351D6A11EE}"/>
    <cellStyle name="Currency 5 2 5 2 4" xfId="9296" xr:uid="{1834EF2B-59B4-4D56-9CEB-07AD04174954}"/>
    <cellStyle name="Currency 5 2 5 3" xfId="1169" xr:uid="{00000000-0005-0000-0000-0000560C0000}"/>
    <cellStyle name="Currency 5 2 5 3 2" xfId="3400" xr:uid="{00000000-0005-0000-0000-0000570C0000}"/>
    <cellStyle name="Currency 5 2 5 3 2 2" xfId="7622" xr:uid="{00000000-0005-0000-0000-0000580C0000}"/>
    <cellStyle name="Currency 5 2 5 3 2 2 2" xfId="16072" xr:uid="{2621FF9E-2502-4807-BA0F-60E9AF03F300}"/>
    <cellStyle name="Currency 5 2 5 3 2 3" xfId="11854" xr:uid="{B93FED1A-F0FC-47A3-92F3-AE5822423E3D}"/>
    <cellStyle name="Currency 5 2 5 3 3" xfId="5477" xr:uid="{00000000-0005-0000-0000-0000590C0000}"/>
    <cellStyle name="Currency 5 2 5 3 3 2" xfId="13927" xr:uid="{39D3BDAD-191E-4BB1-A4C5-4F87B2937ACD}"/>
    <cellStyle name="Currency 5 2 5 3 4" xfId="9709" xr:uid="{00E01BAC-CA8E-4D57-8606-53374256399E}"/>
    <cellStyle name="Currency 5 2 5 4" xfId="1583" xr:uid="{00000000-0005-0000-0000-00005A0C0000}"/>
    <cellStyle name="Currency 5 2 5 4 2" xfId="3813" xr:uid="{00000000-0005-0000-0000-00005B0C0000}"/>
    <cellStyle name="Currency 5 2 5 4 2 2" xfId="8035" xr:uid="{00000000-0005-0000-0000-00005C0C0000}"/>
    <cellStyle name="Currency 5 2 5 4 2 2 2" xfId="16485" xr:uid="{9B695BD7-DC46-4E5C-936A-C79B81708C75}"/>
    <cellStyle name="Currency 5 2 5 4 2 3" xfId="12267" xr:uid="{E9C8DB11-3A67-49B6-AAB8-4690C9CADC48}"/>
    <cellStyle name="Currency 5 2 5 4 3" xfId="5890" xr:uid="{00000000-0005-0000-0000-00005D0C0000}"/>
    <cellStyle name="Currency 5 2 5 4 3 2" xfId="14340" xr:uid="{B6E1567D-133E-40B6-93EA-27E55578D13A}"/>
    <cellStyle name="Currency 5 2 5 4 4" xfId="10122" xr:uid="{3619EB15-EBA3-4D12-BAFB-6002B6009389}"/>
    <cellStyle name="Currency 5 2 5 5" xfId="1997" xr:uid="{00000000-0005-0000-0000-00005E0C0000}"/>
    <cellStyle name="Currency 5 2 5 5 2" xfId="4226" xr:uid="{00000000-0005-0000-0000-00005F0C0000}"/>
    <cellStyle name="Currency 5 2 5 5 2 2" xfId="8448" xr:uid="{00000000-0005-0000-0000-0000600C0000}"/>
    <cellStyle name="Currency 5 2 5 5 2 2 2" xfId="16898" xr:uid="{C426DF00-16B4-4839-B8AE-50081FE396BC}"/>
    <cellStyle name="Currency 5 2 5 5 2 3" xfId="12680" xr:uid="{DFBBEC39-A180-4573-A72C-E390F3A42934}"/>
    <cellStyle name="Currency 5 2 5 5 3" xfId="6303" xr:uid="{00000000-0005-0000-0000-0000610C0000}"/>
    <cellStyle name="Currency 5 2 5 5 3 2" xfId="14753" xr:uid="{8838C46F-FE03-4303-98B3-B95E53814296}"/>
    <cellStyle name="Currency 5 2 5 5 4" xfId="10535" xr:uid="{A6B03A0C-8110-4535-9B53-FFDEE2BC3CB1}"/>
    <cellStyle name="Currency 5 2 5 6" xfId="2432" xr:uid="{00000000-0005-0000-0000-0000620C0000}"/>
    <cellStyle name="Currency 5 2 5 6 2" xfId="6716" xr:uid="{00000000-0005-0000-0000-0000630C0000}"/>
    <cellStyle name="Currency 5 2 5 6 2 2" xfId="15166" xr:uid="{8F1D3BE7-E70A-49AC-ACAF-8716B6C818D9}"/>
    <cellStyle name="Currency 5 2 5 6 3" xfId="10948" xr:uid="{594E413C-F20A-4085-846F-135B673D09B2}"/>
    <cellStyle name="Currency 5 2 5 7" xfId="2729" xr:uid="{00000000-0005-0000-0000-0000640C0000}"/>
    <cellStyle name="Currency 5 2 5 8" xfId="2810" xr:uid="{00000000-0005-0000-0000-0000650C0000}"/>
    <cellStyle name="Currency 5 2 5 8 2" xfId="7033" xr:uid="{00000000-0005-0000-0000-0000660C0000}"/>
    <cellStyle name="Currency 5 2 5 8 2 2" xfId="15483" xr:uid="{6F7F7341-02B4-456F-94BF-89363C57A890}"/>
    <cellStyle name="Currency 5 2 5 8 3" xfId="11265" xr:uid="{46964DCE-2E8A-4546-A431-18E2EF54B39F}"/>
    <cellStyle name="Currency 5 2 5 9" xfId="4650" xr:uid="{00000000-0005-0000-0000-0000670C0000}"/>
    <cellStyle name="Currency 5 2 5 9 2" xfId="13100" xr:uid="{04A4EB5F-E15E-401E-8E4F-DDA2D4F360D8}"/>
    <cellStyle name="Currency 5 2 6" xfId="208" xr:uid="{00000000-0005-0000-0000-0000680C0000}"/>
    <cellStyle name="Currency 5 2 6 10" xfId="8883" xr:uid="{8F2937FA-A2ED-4160-965F-A073C0FF1B4B}"/>
    <cellStyle name="Currency 5 2 6 2" xfId="735" xr:uid="{00000000-0005-0000-0000-0000690C0000}"/>
    <cellStyle name="Currency 5 2 6 2 2" xfId="2988" xr:uid="{00000000-0005-0000-0000-00006A0C0000}"/>
    <cellStyle name="Currency 5 2 6 2 2 2" xfId="7210" xr:uid="{00000000-0005-0000-0000-00006B0C0000}"/>
    <cellStyle name="Currency 5 2 6 2 2 2 2" xfId="15660" xr:uid="{A5344091-A385-4EF3-A1C7-0EEF24B3BD5C}"/>
    <cellStyle name="Currency 5 2 6 2 2 3" xfId="11442" xr:uid="{E7D2292A-9290-46DD-A900-702442DEBE1A}"/>
    <cellStyle name="Currency 5 2 6 2 3" xfId="5065" xr:uid="{00000000-0005-0000-0000-00006C0C0000}"/>
    <cellStyle name="Currency 5 2 6 2 3 2" xfId="13515" xr:uid="{BD4B393E-5D90-4083-8ACC-CF8AAD9F56B7}"/>
    <cellStyle name="Currency 5 2 6 2 4" xfId="9297" xr:uid="{D7B204F2-5D30-4CC8-9E22-CAE927794E64}"/>
    <cellStyle name="Currency 5 2 6 3" xfId="1170" xr:uid="{00000000-0005-0000-0000-00006D0C0000}"/>
    <cellStyle name="Currency 5 2 6 3 2" xfId="3401" xr:uid="{00000000-0005-0000-0000-00006E0C0000}"/>
    <cellStyle name="Currency 5 2 6 3 2 2" xfId="7623" xr:uid="{00000000-0005-0000-0000-00006F0C0000}"/>
    <cellStyle name="Currency 5 2 6 3 2 2 2" xfId="16073" xr:uid="{6A13D46B-DB61-412F-B0B2-0A23B40B15E7}"/>
    <cellStyle name="Currency 5 2 6 3 2 3" xfId="11855" xr:uid="{87F4A3CF-1087-4019-BB01-2B6D30EC997D}"/>
    <cellStyle name="Currency 5 2 6 3 3" xfId="5478" xr:uid="{00000000-0005-0000-0000-0000700C0000}"/>
    <cellStyle name="Currency 5 2 6 3 3 2" xfId="13928" xr:uid="{BFB3B02B-16BF-4EC2-BEBF-BA317A091723}"/>
    <cellStyle name="Currency 5 2 6 3 4" xfId="9710" xr:uid="{32B91E55-60A7-4C41-B8B1-718469D98D9B}"/>
    <cellStyle name="Currency 5 2 6 4" xfId="1584" xr:uid="{00000000-0005-0000-0000-0000710C0000}"/>
    <cellStyle name="Currency 5 2 6 4 2" xfId="3814" xr:uid="{00000000-0005-0000-0000-0000720C0000}"/>
    <cellStyle name="Currency 5 2 6 4 2 2" xfId="8036" xr:uid="{00000000-0005-0000-0000-0000730C0000}"/>
    <cellStyle name="Currency 5 2 6 4 2 2 2" xfId="16486" xr:uid="{30ACBF95-1E88-41FE-9B79-45674F94876F}"/>
    <cellStyle name="Currency 5 2 6 4 2 3" xfId="12268" xr:uid="{B76CE6AF-8EF6-4BD7-AB10-1C25839DBEB4}"/>
    <cellStyle name="Currency 5 2 6 4 3" xfId="5891" xr:uid="{00000000-0005-0000-0000-0000740C0000}"/>
    <cellStyle name="Currency 5 2 6 4 3 2" xfId="14341" xr:uid="{E1E974F7-8489-4CB7-8830-EA6C016AA4E5}"/>
    <cellStyle name="Currency 5 2 6 4 4" xfId="10123" xr:uid="{D229D058-2AE6-4681-B065-D6F2562BFC6D}"/>
    <cellStyle name="Currency 5 2 6 5" xfId="1998" xr:uid="{00000000-0005-0000-0000-0000750C0000}"/>
    <cellStyle name="Currency 5 2 6 5 2" xfId="4227" xr:uid="{00000000-0005-0000-0000-0000760C0000}"/>
    <cellStyle name="Currency 5 2 6 5 2 2" xfId="8449" xr:uid="{00000000-0005-0000-0000-0000770C0000}"/>
    <cellStyle name="Currency 5 2 6 5 2 2 2" xfId="16899" xr:uid="{C2888A29-DBA7-491A-AC76-83461DD4D0D7}"/>
    <cellStyle name="Currency 5 2 6 5 2 3" xfId="12681" xr:uid="{DF5495EC-EA22-47FD-96C6-05B4CF89FC63}"/>
    <cellStyle name="Currency 5 2 6 5 3" xfId="6304" xr:uid="{00000000-0005-0000-0000-0000780C0000}"/>
    <cellStyle name="Currency 5 2 6 5 3 2" xfId="14754" xr:uid="{DA239A5E-5241-4090-AD37-1D275F2C78F0}"/>
    <cellStyle name="Currency 5 2 6 5 4" xfId="10536" xr:uid="{328E1939-13A3-4FF4-A1BC-440FD85AF946}"/>
    <cellStyle name="Currency 5 2 6 6" xfId="2433" xr:uid="{00000000-0005-0000-0000-0000790C0000}"/>
    <cellStyle name="Currency 5 2 6 6 2" xfId="6717" xr:uid="{00000000-0005-0000-0000-00007A0C0000}"/>
    <cellStyle name="Currency 5 2 6 6 2 2" xfId="15167" xr:uid="{9A8398CD-CC45-449B-8043-810321916B5D}"/>
    <cellStyle name="Currency 5 2 6 6 3" xfId="10949" xr:uid="{F6D514B4-71BD-4BC4-9B6D-EE2A10F5B0C5}"/>
    <cellStyle name="Currency 5 2 6 7" xfId="2730" xr:uid="{00000000-0005-0000-0000-00007B0C0000}"/>
    <cellStyle name="Currency 5 2 6 8" xfId="2811" xr:uid="{00000000-0005-0000-0000-00007C0C0000}"/>
    <cellStyle name="Currency 5 2 6 8 2" xfId="7034" xr:uid="{00000000-0005-0000-0000-00007D0C0000}"/>
    <cellStyle name="Currency 5 2 6 8 2 2" xfId="15484" xr:uid="{D5DCEDFE-F2DE-4225-B48E-7EFE89819CAD}"/>
    <cellStyle name="Currency 5 2 6 8 3" xfId="11266" xr:uid="{D1D8A81D-8CAE-436A-A66C-BF37CBBBC66E}"/>
    <cellStyle name="Currency 5 2 6 9" xfId="4651" xr:uid="{00000000-0005-0000-0000-00007E0C0000}"/>
    <cellStyle name="Currency 5 2 6 9 2" xfId="13101" xr:uid="{46AB4138-7B1A-48EB-8F31-8A5ABF305B27}"/>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0 2 2" xfId="15485" xr:uid="{ED9575D3-44D5-4516-8CE9-6DEAFBA7089A}"/>
    <cellStyle name="Currency 5 3 2 10 3" xfId="11267" xr:uid="{1EBA2040-448B-450D-A313-0BFFCDCDBEBA}"/>
    <cellStyle name="Currency 5 3 2 11" xfId="4652" xr:uid="{00000000-0005-0000-0000-0000840C0000}"/>
    <cellStyle name="Currency 5 3 2 11 2" xfId="13102" xr:uid="{4B30E8B2-05C6-42F1-B522-61F598F73D3E}"/>
    <cellStyle name="Currency 5 3 2 12" xfId="8884" xr:uid="{539B63D4-2773-4109-A56D-1750177A229A}"/>
    <cellStyle name="Currency 5 3 2 2" xfId="211" xr:uid="{00000000-0005-0000-0000-0000850C0000}"/>
    <cellStyle name="Currency 5 3 2 2 10" xfId="4653" xr:uid="{00000000-0005-0000-0000-0000860C0000}"/>
    <cellStyle name="Currency 5 3 2 2 10 2" xfId="13103" xr:uid="{02B103E8-7BB6-4A46-A5F8-BD6A428D832C}"/>
    <cellStyle name="Currency 5 3 2 2 11" xfId="8885" xr:uid="{3F23DF3D-6D32-40C6-B15E-436550B24782}"/>
    <cellStyle name="Currency 5 3 2 2 2" xfId="212" xr:uid="{00000000-0005-0000-0000-0000870C0000}"/>
    <cellStyle name="Currency 5 3 2 2 2 10" xfId="8886" xr:uid="{037215E4-EB75-4BC5-B5AF-2B5F96A5B8F1}"/>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2 2 2" xfId="15663" xr:uid="{E8E00540-3D76-4C38-997E-7B3410A90DD3}"/>
    <cellStyle name="Currency 5 3 2 2 2 2 2 3" xfId="11445" xr:uid="{1E2343F5-14C3-49A6-B016-7E86CEFCF831}"/>
    <cellStyle name="Currency 5 3 2 2 2 2 3" xfId="5068" xr:uid="{00000000-0005-0000-0000-00008B0C0000}"/>
    <cellStyle name="Currency 5 3 2 2 2 2 3 2" xfId="13518" xr:uid="{469DF146-9453-4789-BBEA-2B99BC947C91}"/>
    <cellStyle name="Currency 5 3 2 2 2 2 4" xfId="9300" xr:uid="{BA7CFAC0-7216-4CE0-9753-D0AF2BC7F184}"/>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2 2 2" xfId="16076" xr:uid="{EA62D31F-F3C6-4BDD-87BD-53153205924D}"/>
    <cellStyle name="Currency 5 3 2 2 2 3 2 3" xfId="11858" xr:uid="{491AB885-0C97-4FDF-A389-40ADC285F98E}"/>
    <cellStyle name="Currency 5 3 2 2 2 3 3" xfId="5481" xr:uid="{00000000-0005-0000-0000-00008F0C0000}"/>
    <cellStyle name="Currency 5 3 2 2 2 3 3 2" xfId="13931" xr:uid="{14DE7A50-F16B-49AC-8D39-4494749DFD71}"/>
    <cellStyle name="Currency 5 3 2 2 2 3 4" xfId="9713" xr:uid="{CF1E4C63-D5CC-4A44-814E-83242D0A712F}"/>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2 2 2" xfId="16489" xr:uid="{5183618D-9995-4883-A15B-F15CCD2B30E7}"/>
    <cellStyle name="Currency 5 3 2 2 2 4 2 3" xfId="12271" xr:uid="{2C5DF45B-F6BC-4998-B7C3-45F46800A778}"/>
    <cellStyle name="Currency 5 3 2 2 2 4 3" xfId="5894" xr:uid="{00000000-0005-0000-0000-0000930C0000}"/>
    <cellStyle name="Currency 5 3 2 2 2 4 3 2" xfId="14344" xr:uid="{00E419B0-8DE3-44E0-8957-1A459C953441}"/>
    <cellStyle name="Currency 5 3 2 2 2 4 4" xfId="10126" xr:uid="{1D7E5C1E-1CCF-4FC6-975F-FF30743CC301}"/>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2 2 2" xfId="16902" xr:uid="{31198490-3DC7-4943-B4D6-6B88BF90CB1B}"/>
    <cellStyle name="Currency 5 3 2 2 2 5 2 3" xfId="12684" xr:uid="{576EFE22-B5CD-42C8-BA4A-9C88FE08F19C}"/>
    <cellStyle name="Currency 5 3 2 2 2 5 3" xfId="6307" xr:uid="{00000000-0005-0000-0000-0000970C0000}"/>
    <cellStyle name="Currency 5 3 2 2 2 5 3 2" xfId="14757" xr:uid="{6C42436D-47D2-4C08-9E31-B03C23380035}"/>
    <cellStyle name="Currency 5 3 2 2 2 5 4" xfId="10539" xr:uid="{D2BC5133-C1BA-4BD8-A8D8-739E1C7B8162}"/>
    <cellStyle name="Currency 5 3 2 2 2 6" xfId="2436" xr:uid="{00000000-0005-0000-0000-0000980C0000}"/>
    <cellStyle name="Currency 5 3 2 2 2 6 2" xfId="6720" xr:uid="{00000000-0005-0000-0000-0000990C0000}"/>
    <cellStyle name="Currency 5 3 2 2 2 6 2 2" xfId="15170" xr:uid="{A52548E0-332C-4E6B-A7B1-72D57CB6ED17}"/>
    <cellStyle name="Currency 5 3 2 2 2 6 3" xfId="10952" xr:uid="{CFADEAB3-3E9F-4537-8591-E5A83FF21423}"/>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8 2 2" xfId="15487" xr:uid="{CCB432AA-E25E-46E2-BCC6-D4A73F87A527}"/>
    <cellStyle name="Currency 5 3 2 2 2 8 3" xfId="11269" xr:uid="{C59B9EFB-5F79-4B07-8F84-E634B6286B76}"/>
    <cellStyle name="Currency 5 3 2 2 2 9" xfId="4654" xr:uid="{00000000-0005-0000-0000-00009D0C0000}"/>
    <cellStyle name="Currency 5 3 2 2 2 9 2" xfId="13104" xr:uid="{472E5ADC-B607-4A27-A016-C21B65B08A07}"/>
    <cellStyle name="Currency 5 3 2 2 3" xfId="737" xr:uid="{00000000-0005-0000-0000-00009E0C0000}"/>
    <cellStyle name="Currency 5 3 2 2 3 2" xfId="2990" xr:uid="{00000000-0005-0000-0000-00009F0C0000}"/>
    <cellStyle name="Currency 5 3 2 2 3 2 2" xfId="7212" xr:uid="{00000000-0005-0000-0000-0000A00C0000}"/>
    <cellStyle name="Currency 5 3 2 2 3 2 2 2" xfId="15662" xr:uid="{3A4E2453-E1BB-498B-9714-769B4523D730}"/>
    <cellStyle name="Currency 5 3 2 2 3 2 3" xfId="11444" xr:uid="{AEB82AB4-9AFA-43BA-A79A-F665B150093C}"/>
    <cellStyle name="Currency 5 3 2 2 3 3" xfId="5067" xr:uid="{00000000-0005-0000-0000-0000A10C0000}"/>
    <cellStyle name="Currency 5 3 2 2 3 3 2" xfId="13517" xr:uid="{A70CB3FD-64E5-4972-A9EA-116C9BAF28BC}"/>
    <cellStyle name="Currency 5 3 2 2 3 4" xfId="9299" xr:uid="{B42798FF-6A20-4894-A1A0-6C9BD07DD5B6}"/>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2 2 2" xfId="16075" xr:uid="{25E69299-5B09-4CE3-9450-BCC3A9CAC475}"/>
    <cellStyle name="Currency 5 3 2 2 4 2 3" xfId="11857" xr:uid="{6AEDBE1E-8791-4E0B-85EA-487F8EBCB10E}"/>
    <cellStyle name="Currency 5 3 2 2 4 3" xfId="5480" xr:uid="{00000000-0005-0000-0000-0000A50C0000}"/>
    <cellStyle name="Currency 5 3 2 2 4 3 2" xfId="13930" xr:uid="{A513B8A6-D249-4083-AED2-0F477881A215}"/>
    <cellStyle name="Currency 5 3 2 2 4 4" xfId="9712" xr:uid="{D0E05F56-5137-4A43-8ADC-920D1F60F00A}"/>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2 2 2" xfId="16488" xr:uid="{2B3327AE-CA9C-4394-8E36-11143DA32798}"/>
    <cellStyle name="Currency 5 3 2 2 5 2 3" xfId="12270" xr:uid="{D39DBA61-0EF4-4F73-B7B0-DEA2EEBC2F4D}"/>
    <cellStyle name="Currency 5 3 2 2 5 3" xfId="5893" xr:uid="{00000000-0005-0000-0000-0000A90C0000}"/>
    <cellStyle name="Currency 5 3 2 2 5 3 2" xfId="14343" xr:uid="{C6C0B8CC-1355-43BB-9671-84655029A79E}"/>
    <cellStyle name="Currency 5 3 2 2 5 4" xfId="10125" xr:uid="{C58EB8EB-B1D3-4EBC-92BE-DB9A8CAC83FE}"/>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2 2 2" xfId="16901" xr:uid="{22A87CDA-F2DB-4ECD-99DE-EC5CF19F8637}"/>
    <cellStyle name="Currency 5 3 2 2 6 2 3" xfId="12683" xr:uid="{7C024231-D729-44D6-806F-988D65C3092F}"/>
    <cellStyle name="Currency 5 3 2 2 6 3" xfId="6306" xr:uid="{00000000-0005-0000-0000-0000AD0C0000}"/>
    <cellStyle name="Currency 5 3 2 2 6 3 2" xfId="14756" xr:uid="{B96F470A-2B8B-4057-B408-51B89393A8FE}"/>
    <cellStyle name="Currency 5 3 2 2 6 4" xfId="10538" xr:uid="{D6691770-096B-4CCF-811F-FFACA856E428}"/>
    <cellStyle name="Currency 5 3 2 2 7" xfId="2435" xr:uid="{00000000-0005-0000-0000-0000AE0C0000}"/>
    <cellStyle name="Currency 5 3 2 2 7 2" xfId="6719" xr:uid="{00000000-0005-0000-0000-0000AF0C0000}"/>
    <cellStyle name="Currency 5 3 2 2 7 2 2" xfId="15169" xr:uid="{B1DF2692-5F5A-4133-B01F-196C894F56DA}"/>
    <cellStyle name="Currency 5 3 2 2 7 3" xfId="10951" xr:uid="{9824860A-CFD2-42FE-8C4A-18261D917BAD}"/>
    <cellStyle name="Currency 5 3 2 2 8" xfId="2732" xr:uid="{00000000-0005-0000-0000-0000B00C0000}"/>
    <cellStyle name="Currency 5 3 2 2 9" xfId="2813" xr:uid="{00000000-0005-0000-0000-0000B10C0000}"/>
    <cellStyle name="Currency 5 3 2 2 9 2" xfId="7036" xr:uid="{00000000-0005-0000-0000-0000B20C0000}"/>
    <cellStyle name="Currency 5 3 2 2 9 2 2" xfId="15486" xr:uid="{35432E2B-C148-4F36-943D-98488B62B03F}"/>
    <cellStyle name="Currency 5 3 2 2 9 3" xfId="11268" xr:uid="{1FBFAB9A-5793-492B-823F-F9E43B3D22C8}"/>
    <cellStyle name="Currency 5 3 2 3" xfId="213" xr:uid="{00000000-0005-0000-0000-0000B30C0000}"/>
    <cellStyle name="Currency 5 3 2 3 10" xfId="8887" xr:uid="{2C54D4F4-4153-4ECE-AE25-9A1EC26EB65E}"/>
    <cellStyle name="Currency 5 3 2 3 2" xfId="739" xr:uid="{00000000-0005-0000-0000-0000B40C0000}"/>
    <cellStyle name="Currency 5 3 2 3 2 2" xfId="2992" xr:uid="{00000000-0005-0000-0000-0000B50C0000}"/>
    <cellStyle name="Currency 5 3 2 3 2 2 2" xfId="7214" xr:uid="{00000000-0005-0000-0000-0000B60C0000}"/>
    <cellStyle name="Currency 5 3 2 3 2 2 2 2" xfId="15664" xr:uid="{EABEED00-C3FC-46E5-81DB-FBB58733259E}"/>
    <cellStyle name="Currency 5 3 2 3 2 2 3" xfId="11446" xr:uid="{23BFDF4F-50F3-4825-B03A-5468A7DA0B90}"/>
    <cellStyle name="Currency 5 3 2 3 2 3" xfId="5069" xr:uid="{00000000-0005-0000-0000-0000B70C0000}"/>
    <cellStyle name="Currency 5 3 2 3 2 3 2" xfId="13519" xr:uid="{54531A32-D9EB-4CB8-A347-83CF35FDF137}"/>
    <cellStyle name="Currency 5 3 2 3 2 4" xfId="9301" xr:uid="{9063553E-599C-47BF-919F-ED938BD6B787}"/>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2 2 2" xfId="16077" xr:uid="{90081E90-BE03-481F-896B-49EEEB50667B}"/>
    <cellStyle name="Currency 5 3 2 3 3 2 3" xfId="11859" xr:uid="{8D022DCB-151B-4A0A-B723-CE439B2E350D}"/>
    <cellStyle name="Currency 5 3 2 3 3 3" xfId="5482" xr:uid="{00000000-0005-0000-0000-0000BB0C0000}"/>
    <cellStyle name="Currency 5 3 2 3 3 3 2" xfId="13932" xr:uid="{C51F2A62-6BFA-47C7-B939-0C7AD6961902}"/>
    <cellStyle name="Currency 5 3 2 3 3 4" xfId="9714" xr:uid="{653DE147-18DD-42F1-BFEA-43AC32CFFF51}"/>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2 2 2" xfId="16490" xr:uid="{3194C9F4-C31B-44DD-B843-F1F948BDB895}"/>
    <cellStyle name="Currency 5 3 2 3 4 2 3" xfId="12272" xr:uid="{87B57388-E12A-4A2C-A39C-1DE1460B9277}"/>
    <cellStyle name="Currency 5 3 2 3 4 3" xfId="5895" xr:uid="{00000000-0005-0000-0000-0000BF0C0000}"/>
    <cellStyle name="Currency 5 3 2 3 4 3 2" xfId="14345" xr:uid="{B493B7FC-9060-4AC4-8F6D-5DE701EFE339}"/>
    <cellStyle name="Currency 5 3 2 3 4 4" xfId="10127" xr:uid="{D82164BD-97BE-4D81-B952-90585DC222AF}"/>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2 2 2" xfId="16903" xr:uid="{ABBEE660-1CAE-464A-BBF8-169F19583243}"/>
    <cellStyle name="Currency 5 3 2 3 5 2 3" xfId="12685" xr:uid="{329BCBE2-FD0D-4696-97A7-B269D5FE43C1}"/>
    <cellStyle name="Currency 5 3 2 3 5 3" xfId="6308" xr:uid="{00000000-0005-0000-0000-0000C30C0000}"/>
    <cellStyle name="Currency 5 3 2 3 5 3 2" xfId="14758" xr:uid="{CCC55B26-AA1E-4EA2-BA3D-F50AB29A5B6D}"/>
    <cellStyle name="Currency 5 3 2 3 5 4" xfId="10540" xr:uid="{4D655FDB-C9F6-4E4A-995B-B72A909E75EC}"/>
    <cellStyle name="Currency 5 3 2 3 6" xfId="2437" xr:uid="{00000000-0005-0000-0000-0000C40C0000}"/>
    <cellStyle name="Currency 5 3 2 3 6 2" xfId="6721" xr:uid="{00000000-0005-0000-0000-0000C50C0000}"/>
    <cellStyle name="Currency 5 3 2 3 6 2 2" xfId="15171" xr:uid="{B5088FCF-69A9-4009-83AC-0DF2DB53A3D6}"/>
    <cellStyle name="Currency 5 3 2 3 6 3" xfId="10953" xr:uid="{74B05A02-7696-461A-B01F-BBFEB911EBE5}"/>
    <cellStyle name="Currency 5 3 2 3 7" xfId="2734" xr:uid="{00000000-0005-0000-0000-0000C60C0000}"/>
    <cellStyle name="Currency 5 3 2 3 8" xfId="2815" xr:uid="{00000000-0005-0000-0000-0000C70C0000}"/>
    <cellStyle name="Currency 5 3 2 3 8 2" xfId="7038" xr:uid="{00000000-0005-0000-0000-0000C80C0000}"/>
    <cellStyle name="Currency 5 3 2 3 8 2 2" xfId="15488" xr:uid="{BB787C75-A774-473F-A369-D4DEA57C41DF}"/>
    <cellStyle name="Currency 5 3 2 3 8 3" xfId="11270" xr:uid="{0D107C92-BD95-4CF6-B5F5-5B3F69E0343B}"/>
    <cellStyle name="Currency 5 3 2 3 9" xfId="4655" xr:uid="{00000000-0005-0000-0000-0000C90C0000}"/>
    <cellStyle name="Currency 5 3 2 3 9 2" xfId="13105" xr:uid="{5551DB88-CF25-4D29-B55A-0F032C07AF98}"/>
    <cellStyle name="Currency 5 3 2 4" xfId="736" xr:uid="{00000000-0005-0000-0000-0000CA0C0000}"/>
    <cellStyle name="Currency 5 3 2 4 2" xfId="2989" xr:uid="{00000000-0005-0000-0000-0000CB0C0000}"/>
    <cellStyle name="Currency 5 3 2 4 2 2" xfId="7211" xr:uid="{00000000-0005-0000-0000-0000CC0C0000}"/>
    <cellStyle name="Currency 5 3 2 4 2 2 2" xfId="15661" xr:uid="{494C32D8-2E61-4647-A8FA-D261211A5BA7}"/>
    <cellStyle name="Currency 5 3 2 4 2 3" xfId="11443" xr:uid="{40E8D585-6DC6-4964-9BA6-17A1BD9C20FF}"/>
    <cellStyle name="Currency 5 3 2 4 3" xfId="5066" xr:uid="{00000000-0005-0000-0000-0000CD0C0000}"/>
    <cellStyle name="Currency 5 3 2 4 3 2" xfId="13516" xr:uid="{19E88E34-A104-4102-A973-37AD26F757FB}"/>
    <cellStyle name="Currency 5 3 2 4 4" xfId="9298" xr:uid="{BC2126DB-C5AB-4DF8-90C3-14084F65BEAB}"/>
    <cellStyle name="Currency 5 3 2 5" xfId="1171" xr:uid="{00000000-0005-0000-0000-0000CE0C0000}"/>
    <cellStyle name="Currency 5 3 2 5 2" xfId="3402" xr:uid="{00000000-0005-0000-0000-0000CF0C0000}"/>
    <cellStyle name="Currency 5 3 2 5 2 2" xfId="7624" xr:uid="{00000000-0005-0000-0000-0000D00C0000}"/>
    <cellStyle name="Currency 5 3 2 5 2 2 2" xfId="16074" xr:uid="{0F681A50-340F-470D-AEA5-3C77E6D86A71}"/>
    <cellStyle name="Currency 5 3 2 5 2 3" xfId="11856" xr:uid="{A682933E-F4E2-4F9B-9892-3CB73A414161}"/>
    <cellStyle name="Currency 5 3 2 5 3" xfId="5479" xr:uid="{00000000-0005-0000-0000-0000D10C0000}"/>
    <cellStyle name="Currency 5 3 2 5 3 2" xfId="13929" xr:uid="{D85420D6-7CC7-459F-AAE1-2E105FF0F806}"/>
    <cellStyle name="Currency 5 3 2 5 4" xfId="9711" xr:uid="{218D8663-C116-4676-8E22-8BCD9464D7B7}"/>
    <cellStyle name="Currency 5 3 2 6" xfId="1585" xr:uid="{00000000-0005-0000-0000-0000D20C0000}"/>
    <cellStyle name="Currency 5 3 2 6 2" xfId="3815" xr:uid="{00000000-0005-0000-0000-0000D30C0000}"/>
    <cellStyle name="Currency 5 3 2 6 2 2" xfId="8037" xr:uid="{00000000-0005-0000-0000-0000D40C0000}"/>
    <cellStyle name="Currency 5 3 2 6 2 2 2" xfId="16487" xr:uid="{360B039D-0307-43A5-A703-D7F24A36201B}"/>
    <cellStyle name="Currency 5 3 2 6 2 3" xfId="12269" xr:uid="{669F3E85-5C48-44CE-8769-A5A46D334301}"/>
    <cellStyle name="Currency 5 3 2 6 3" xfId="5892" xr:uid="{00000000-0005-0000-0000-0000D50C0000}"/>
    <cellStyle name="Currency 5 3 2 6 3 2" xfId="14342" xr:uid="{D2C137D9-1AFE-45AA-B981-36CAC038780F}"/>
    <cellStyle name="Currency 5 3 2 6 4" xfId="10124" xr:uid="{12A045E0-0E12-4B72-BE40-9CE84BED01F8}"/>
    <cellStyle name="Currency 5 3 2 7" xfId="1999" xr:uid="{00000000-0005-0000-0000-0000D60C0000}"/>
    <cellStyle name="Currency 5 3 2 7 2" xfId="4228" xr:uid="{00000000-0005-0000-0000-0000D70C0000}"/>
    <cellStyle name="Currency 5 3 2 7 2 2" xfId="8450" xr:uid="{00000000-0005-0000-0000-0000D80C0000}"/>
    <cellStyle name="Currency 5 3 2 7 2 2 2" xfId="16900" xr:uid="{C5B0941D-C7F4-402A-8036-5FCDDF1A04D4}"/>
    <cellStyle name="Currency 5 3 2 7 2 3" xfId="12682" xr:uid="{63EA1A47-5977-4968-A562-DD7DBB797A40}"/>
    <cellStyle name="Currency 5 3 2 7 3" xfId="6305" xr:uid="{00000000-0005-0000-0000-0000D90C0000}"/>
    <cellStyle name="Currency 5 3 2 7 3 2" xfId="14755" xr:uid="{E4C84357-875E-402F-ADA4-B39C7924DF47}"/>
    <cellStyle name="Currency 5 3 2 7 4" xfId="10537" xr:uid="{693985C3-EDE9-4E7D-B4EF-6B3962515D83}"/>
    <cellStyle name="Currency 5 3 2 8" xfId="2434" xr:uid="{00000000-0005-0000-0000-0000DA0C0000}"/>
    <cellStyle name="Currency 5 3 2 8 2" xfId="6718" xr:uid="{00000000-0005-0000-0000-0000DB0C0000}"/>
    <cellStyle name="Currency 5 3 2 8 2 2" xfId="15168" xr:uid="{1EBACDED-AC74-4679-85F1-C3C68036CC58}"/>
    <cellStyle name="Currency 5 3 2 8 3" xfId="10950" xr:uid="{90DAAE2F-9DBD-409B-BCCA-D60FC06AD09A}"/>
    <cellStyle name="Currency 5 3 2 9" xfId="2731" xr:uid="{00000000-0005-0000-0000-0000DC0C0000}"/>
    <cellStyle name="Currency 5 3 3" xfId="214" xr:uid="{00000000-0005-0000-0000-0000DD0C0000}"/>
    <cellStyle name="Currency 5 3 3 10" xfId="4656" xr:uid="{00000000-0005-0000-0000-0000DE0C0000}"/>
    <cellStyle name="Currency 5 3 3 10 2" xfId="13106" xr:uid="{88D23DBD-7B0E-4701-92A0-E90C46ABA4B6}"/>
    <cellStyle name="Currency 5 3 3 11" xfId="8888" xr:uid="{A51B8831-4E57-4052-9A4C-8A3535F9F759}"/>
    <cellStyle name="Currency 5 3 3 2" xfId="215" xr:uid="{00000000-0005-0000-0000-0000DF0C0000}"/>
    <cellStyle name="Currency 5 3 3 2 10" xfId="8889" xr:uid="{BF1D85D4-BADF-459E-B85B-53B681F4C587}"/>
    <cellStyle name="Currency 5 3 3 2 2" xfId="741" xr:uid="{00000000-0005-0000-0000-0000E00C0000}"/>
    <cellStyle name="Currency 5 3 3 2 2 2" xfId="2994" xr:uid="{00000000-0005-0000-0000-0000E10C0000}"/>
    <cellStyle name="Currency 5 3 3 2 2 2 2" xfId="7216" xr:uid="{00000000-0005-0000-0000-0000E20C0000}"/>
    <cellStyle name="Currency 5 3 3 2 2 2 2 2" xfId="15666" xr:uid="{A2A3C99B-4C56-4345-893E-E8F8E39B5AE9}"/>
    <cellStyle name="Currency 5 3 3 2 2 2 3" xfId="11448" xr:uid="{42986FBA-5393-4650-9317-4DCB928FDAA1}"/>
    <cellStyle name="Currency 5 3 3 2 2 3" xfId="5071" xr:uid="{00000000-0005-0000-0000-0000E30C0000}"/>
    <cellStyle name="Currency 5 3 3 2 2 3 2" xfId="13521" xr:uid="{AD9F6273-CA5F-4E43-8E28-D17A51CDE5F4}"/>
    <cellStyle name="Currency 5 3 3 2 2 4" xfId="9303" xr:uid="{F1CB383E-C651-4EE1-98EC-9F652B9C9B71}"/>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2 2 2" xfId="16079" xr:uid="{F5EE3446-EAA0-4FA7-8524-D827693E2934}"/>
    <cellStyle name="Currency 5 3 3 2 3 2 3" xfId="11861" xr:uid="{FAA8AC7D-E4BC-42A3-9A64-FE12BF23F3C0}"/>
    <cellStyle name="Currency 5 3 3 2 3 3" xfId="5484" xr:uid="{00000000-0005-0000-0000-0000E70C0000}"/>
    <cellStyle name="Currency 5 3 3 2 3 3 2" xfId="13934" xr:uid="{4EA11479-A59A-4E57-8518-D49DAE133EE7}"/>
    <cellStyle name="Currency 5 3 3 2 3 4" xfId="9716" xr:uid="{E8A5A74B-406B-4277-8987-6BF0A88AA12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2 2 2" xfId="16492" xr:uid="{0D9B5C1E-7327-4427-B763-050531B68311}"/>
    <cellStyle name="Currency 5 3 3 2 4 2 3" xfId="12274" xr:uid="{F7FA0D11-7049-4735-B70C-8B823DB8C74B}"/>
    <cellStyle name="Currency 5 3 3 2 4 3" xfId="5897" xr:uid="{00000000-0005-0000-0000-0000EB0C0000}"/>
    <cellStyle name="Currency 5 3 3 2 4 3 2" xfId="14347" xr:uid="{A5E45554-6AB2-4C4E-9652-4BCFFCBCB0F2}"/>
    <cellStyle name="Currency 5 3 3 2 4 4" xfId="10129" xr:uid="{E48A54BB-E72D-45E3-8B47-934226F2A703}"/>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2 2 2" xfId="16905" xr:uid="{8A475690-8F26-4ED5-BE37-9069F4C714B7}"/>
    <cellStyle name="Currency 5 3 3 2 5 2 3" xfId="12687" xr:uid="{AE6A280B-54D8-4627-877B-35FE2FB9F5FE}"/>
    <cellStyle name="Currency 5 3 3 2 5 3" xfId="6310" xr:uid="{00000000-0005-0000-0000-0000EF0C0000}"/>
    <cellStyle name="Currency 5 3 3 2 5 3 2" xfId="14760" xr:uid="{354BF64E-9060-4D87-B36E-4BC3C6866815}"/>
    <cellStyle name="Currency 5 3 3 2 5 4" xfId="10542" xr:uid="{5C283A9B-6326-42B3-BF7A-12610AFD5ECC}"/>
    <cellStyle name="Currency 5 3 3 2 6" xfId="2439" xr:uid="{00000000-0005-0000-0000-0000F00C0000}"/>
    <cellStyle name="Currency 5 3 3 2 6 2" xfId="6723" xr:uid="{00000000-0005-0000-0000-0000F10C0000}"/>
    <cellStyle name="Currency 5 3 3 2 6 2 2" xfId="15173" xr:uid="{D2C379C6-6CEC-4A4E-BA53-17D237C9D050}"/>
    <cellStyle name="Currency 5 3 3 2 6 3" xfId="10955" xr:uid="{6BABB043-C1E7-4244-8B17-7E8B1B061468}"/>
    <cellStyle name="Currency 5 3 3 2 7" xfId="2736" xr:uid="{00000000-0005-0000-0000-0000F20C0000}"/>
    <cellStyle name="Currency 5 3 3 2 8" xfId="2817" xr:uid="{00000000-0005-0000-0000-0000F30C0000}"/>
    <cellStyle name="Currency 5 3 3 2 8 2" xfId="7040" xr:uid="{00000000-0005-0000-0000-0000F40C0000}"/>
    <cellStyle name="Currency 5 3 3 2 8 2 2" xfId="15490" xr:uid="{538C6C6E-C07E-4E98-9112-E79F2F2CE7A1}"/>
    <cellStyle name="Currency 5 3 3 2 8 3" xfId="11272" xr:uid="{78483CEB-F36E-45D4-B92F-6B8E84DAFA0F}"/>
    <cellStyle name="Currency 5 3 3 2 9" xfId="4657" xr:uid="{00000000-0005-0000-0000-0000F50C0000}"/>
    <cellStyle name="Currency 5 3 3 2 9 2" xfId="13107" xr:uid="{1946396B-89BD-41FD-B7AF-9D7BE7D079C6}"/>
    <cellStyle name="Currency 5 3 3 3" xfId="740" xr:uid="{00000000-0005-0000-0000-0000F60C0000}"/>
    <cellStyle name="Currency 5 3 3 3 2" xfId="2993" xr:uid="{00000000-0005-0000-0000-0000F70C0000}"/>
    <cellStyle name="Currency 5 3 3 3 2 2" xfId="7215" xr:uid="{00000000-0005-0000-0000-0000F80C0000}"/>
    <cellStyle name="Currency 5 3 3 3 2 2 2" xfId="15665" xr:uid="{2EF0417E-8048-4E47-AC2B-2BC19FC2D464}"/>
    <cellStyle name="Currency 5 3 3 3 2 3" xfId="11447" xr:uid="{64468A92-D9CF-4A89-97A4-AFAF393BABE9}"/>
    <cellStyle name="Currency 5 3 3 3 3" xfId="5070" xr:uid="{00000000-0005-0000-0000-0000F90C0000}"/>
    <cellStyle name="Currency 5 3 3 3 3 2" xfId="13520" xr:uid="{96C94E67-67C6-4C8D-A73E-704F5AEB3066}"/>
    <cellStyle name="Currency 5 3 3 3 4" xfId="9302" xr:uid="{0FEEE358-EACC-46CA-85EF-D00C886D2995}"/>
    <cellStyle name="Currency 5 3 3 4" xfId="1175" xr:uid="{00000000-0005-0000-0000-0000FA0C0000}"/>
    <cellStyle name="Currency 5 3 3 4 2" xfId="3406" xr:uid="{00000000-0005-0000-0000-0000FB0C0000}"/>
    <cellStyle name="Currency 5 3 3 4 2 2" xfId="7628" xr:uid="{00000000-0005-0000-0000-0000FC0C0000}"/>
    <cellStyle name="Currency 5 3 3 4 2 2 2" xfId="16078" xr:uid="{84CAFF7B-0405-442F-9F40-F33782400D0A}"/>
    <cellStyle name="Currency 5 3 3 4 2 3" xfId="11860" xr:uid="{B83A55F2-6C3F-4A64-BE23-1B75D9E43779}"/>
    <cellStyle name="Currency 5 3 3 4 3" xfId="5483" xr:uid="{00000000-0005-0000-0000-0000FD0C0000}"/>
    <cellStyle name="Currency 5 3 3 4 3 2" xfId="13933" xr:uid="{8B262369-42C3-46B8-BC6F-B7E4A762C547}"/>
    <cellStyle name="Currency 5 3 3 4 4" xfId="9715" xr:uid="{D34E76E5-2D49-4A6E-BFA3-F29BF04C5EFC}"/>
    <cellStyle name="Currency 5 3 3 5" xfId="1589" xr:uid="{00000000-0005-0000-0000-0000FE0C0000}"/>
    <cellStyle name="Currency 5 3 3 5 2" xfId="3819" xr:uid="{00000000-0005-0000-0000-0000FF0C0000}"/>
    <cellStyle name="Currency 5 3 3 5 2 2" xfId="8041" xr:uid="{00000000-0005-0000-0000-0000000D0000}"/>
    <cellStyle name="Currency 5 3 3 5 2 2 2" xfId="16491" xr:uid="{6F5FD2E1-FD7E-46F4-8029-871F0B302A09}"/>
    <cellStyle name="Currency 5 3 3 5 2 3" xfId="12273" xr:uid="{23AD2615-F032-4BED-827E-96B27C5BA493}"/>
    <cellStyle name="Currency 5 3 3 5 3" xfId="5896" xr:uid="{00000000-0005-0000-0000-0000010D0000}"/>
    <cellStyle name="Currency 5 3 3 5 3 2" xfId="14346" xr:uid="{D22AB45F-5626-4242-8B15-DA7206E912EB}"/>
    <cellStyle name="Currency 5 3 3 5 4" xfId="10128" xr:uid="{851D0C15-6CCA-4FF8-A5C2-64B1AFF6D6BF}"/>
    <cellStyle name="Currency 5 3 3 6" xfId="2003" xr:uid="{00000000-0005-0000-0000-0000020D0000}"/>
    <cellStyle name="Currency 5 3 3 6 2" xfId="4232" xr:uid="{00000000-0005-0000-0000-0000030D0000}"/>
    <cellStyle name="Currency 5 3 3 6 2 2" xfId="8454" xr:uid="{00000000-0005-0000-0000-0000040D0000}"/>
    <cellStyle name="Currency 5 3 3 6 2 2 2" xfId="16904" xr:uid="{7CA27EED-60F9-4BAA-B2DA-875FA7870FFD}"/>
    <cellStyle name="Currency 5 3 3 6 2 3" xfId="12686" xr:uid="{C85822D2-CE12-4300-A281-5C9E120BD180}"/>
    <cellStyle name="Currency 5 3 3 6 3" xfId="6309" xr:uid="{00000000-0005-0000-0000-0000050D0000}"/>
    <cellStyle name="Currency 5 3 3 6 3 2" xfId="14759" xr:uid="{70D4361D-4692-40B1-BC11-EB2B3829B0CF}"/>
    <cellStyle name="Currency 5 3 3 6 4" xfId="10541" xr:uid="{93302605-AB6B-490E-9735-E0A536EFC335}"/>
    <cellStyle name="Currency 5 3 3 7" xfId="2438" xr:uid="{00000000-0005-0000-0000-0000060D0000}"/>
    <cellStyle name="Currency 5 3 3 7 2" xfId="6722" xr:uid="{00000000-0005-0000-0000-0000070D0000}"/>
    <cellStyle name="Currency 5 3 3 7 2 2" xfId="15172" xr:uid="{F4FD2D6E-126A-4ABE-8A55-E48BB5BE847B}"/>
    <cellStyle name="Currency 5 3 3 7 3" xfId="10954" xr:uid="{A1F20B3A-2A05-4B53-B76C-6F5CD02D3E65}"/>
    <cellStyle name="Currency 5 3 3 8" xfId="2735" xr:uid="{00000000-0005-0000-0000-0000080D0000}"/>
    <cellStyle name="Currency 5 3 3 9" xfId="2816" xr:uid="{00000000-0005-0000-0000-0000090D0000}"/>
    <cellStyle name="Currency 5 3 3 9 2" xfId="7039" xr:uid="{00000000-0005-0000-0000-00000A0D0000}"/>
    <cellStyle name="Currency 5 3 3 9 2 2" xfId="15489" xr:uid="{D99F4AEB-EA40-4C6B-AC31-0FD81D905AF1}"/>
    <cellStyle name="Currency 5 3 3 9 3" xfId="11271" xr:uid="{21306DA2-B780-493C-A256-2139CC4AD3EB}"/>
    <cellStyle name="Currency 5 3 4" xfId="216" xr:uid="{00000000-0005-0000-0000-00000B0D0000}"/>
    <cellStyle name="Currency 5 3 4 10" xfId="8890" xr:uid="{4174C871-1128-469E-98AB-ED7298C2FEE5}"/>
    <cellStyle name="Currency 5 3 4 2" xfId="742" xr:uid="{00000000-0005-0000-0000-00000C0D0000}"/>
    <cellStyle name="Currency 5 3 4 2 2" xfId="2995" xr:uid="{00000000-0005-0000-0000-00000D0D0000}"/>
    <cellStyle name="Currency 5 3 4 2 2 2" xfId="7217" xr:uid="{00000000-0005-0000-0000-00000E0D0000}"/>
    <cellStyle name="Currency 5 3 4 2 2 2 2" xfId="15667" xr:uid="{E579FF7E-FF05-4E38-869D-194E58839818}"/>
    <cellStyle name="Currency 5 3 4 2 2 3" xfId="11449" xr:uid="{27462801-D20A-448D-A118-FE999A00FC2B}"/>
    <cellStyle name="Currency 5 3 4 2 3" xfId="5072" xr:uid="{00000000-0005-0000-0000-00000F0D0000}"/>
    <cellStyle name="Currency 5 3 4 2 3 2" xfId="13522" xr:uid="{9CC964D0-7583-4A60-8737-25503497A5DB}"/>
    <cellStyle name="Currency 5 3 4 2 4" xfId="9304" xr:uid="{69BE42F6-6B7D-4B09-AEED-7DC091973508}"/>
    <cellStyle name="Currency 5 3 4 3" xfId="1177" xr:uid="{00000000-0005-0000-0000-0000100D0000}"/>
    <cellStyle name="Currency 5 3 4 3 2" xfId="3408" xr:uid="{00000000-0005-0000-0000-0000110D0000}"/>
    <cellStyle name="Currency 5 3 4 3 2 2" xfId="7630" xr:uid="{00000000-0005-0000-0000-0000120D0000}"/>
    <cellStyle name="Currency 5 3 4 3 2 2 2" xfId="16080" xr:uid="{883C88ED-160B-4DD3-8F24-A5B4007BD7F2}"/>
    <cellStyle name="Currency 5 3 4 3 2 3" xfId="11862" xr:uid="{3A56DD17-0269-4529-B0D0-9DEC25FB49D1}"/>
    <cellStyle name="Currency 5 3 4 3 3" xfId="5485" xr:uid="{00000000-0005-0000-0000-0000130D0000}"/>
    <cellStyle name="Currency 5 3 4 3 3 2" xfId="13935" xr:uid="{047337E8-0359-44D3-97C8-0214203D3D86}"/>
    <cellStyle name="Currency 5 3 4 3 4" xfId="9717" xr:uid="{171ED2A7-51C4-4CD2-8A79-D8F1ACE6F7B5}"/>
    <cellStyle name="Currency 5 3 4 4" xfId="1591" xr:uid="{00000000-0005-0000-0000-0000140D0000}"/>
    <cellStyle name="Currency 5 3 4 4 2" xfId="3821" xr:uid="{00000000-0005-0000-0000-0000150D0000}"/>
    <cellStyle name="Currency 5 3 4 4 2 2" xfId="8043" xr:uid="{00000000-0005-0000-0000-0000160D0000}"/>
    <cellStyle name="Currency 5 3 4 4 2 2 2" xfId="16493" xr:uid="{1922E141-9CA5-4053-A329-758A14606025}"/>
    <cellStyle name="Currency 5 3 4 4 2 3" xfId="12275" xr:uid="{93177AF0-0E6C-4744-82E9-D55A382ECFDE}"/>
    <cellStyle name="Currency 5 3 4 4 3" xfId="5898" xr:uid="{00000000-0005-0000-0000-0000170D0000}"/>
    <cellStyle name="Currency 5 3 4 4 3 2" xfId="14348" xr:uid="{3C87EA8E-8DE7-4532-95C1-B833D93D3515}"/>
    <cellStyle name="Currency 5 3 4 4 4" xfId="10130" xr:uid="{0BDEB47C-5D1F-4A38-995E-BAA211C70AD1}"/>
    <cellStyle name="Currency 5 3 4 5" xfId="2005" xr:uid="{00000000-0005-0000-0000-0000180D0000}"/>
    <cellStyle name="Currency 5 3 4 5 2" xfId="4234" xr:uid="{00000000-0005-0000-0000-0000190D0000}"/>
    <cellStyle name="Currency 5 3 4 5 2 2" xfId="8456" xr:uid="{00000000-0005-0000-0000-00001A0D0000}"/>
    <cellStyle name="Currency 5 3 4 5 2 2 2" xfId="16906" xr:uid="{9587C66D-4077-4F73-B2B6-00FCC6288352}"/>
    <cellStyle name="Currency 5 3 4 5 2 3" xfId="12688" xr:uid="{60991803-684A-4504-BF7A-47934681727F}"/>
    <cellStyle name="Currency 5 3 4 5 3" xfId="6311" xr:uid="{00000000-0005-0000-0000-00001B0D0000}"/>
    <cellStyle name="Currency 5 3 4 5 3 2" xfId="14761" xr:uid="{BDDB5488-7191-44AA-AF9E-E3350732C3C5}"/>
    <cellStyle name="Currency 5 3 4 5 4" xfId="10543" xr:uid="{E5FDF306-F633-4C8C-99B4-D0F27E4F6F53}"/>
    <cellStyle name="Currency 5 3 4 6" xfId="2440" xr:uid="{00000000-0005-0000-0000-00001C0D0000}"/>
    <cellStyle name="Currency 5 3 4 6 2" xfId="6724" xr:uid="{00000000-0005-0000-0000-00001D0D0000}"/>
    <cellStyle name="Currency 5 3 4 6 2 2" xfId="15174" xr:uid="{BED43171-F4F4-40F3-9518-8E450A7B3F81}"/>
    <cellStyle name="Currency 5 3 4 6 3" xfId="10956" xr:uid="{0F057AE0-C349-4829-88FB-38F55133C2EC}"/>
    <cellStyle name="Currency 5 3 4 7" xfId="2737" xr:uid="{00000000-0005-0000-0000-00001E0D0000}"/>
    <cellStyle name="Currency 5 3 4 8" xfId="2818" xr:uid="{00000000-0005-0000-0000-00001F0D0000}"/>
    <cellStyle name="Currency 5 3 4 8 2" xfId="7041" xr:uid="{00000000-0005-0000-0000-0000200D0000}"/>
    <cellStyle name="Currency 5 3 4 8 2 2" xfId="15491" xr:uid="{365E551A-5159-44DB-AF7D-0E485F2592A3}"/>
    <cellStyle name="Currency 5 3 4 8 3" xfId="11273" xr:uid="{395403E8-B2E8-4735-A8D1-F890DF184211}"/>
    <cellStyle name="Currency 5 3 4 9" xfId="4658" xr:uid="{00000000-0005-0000-0000-0000210D0000}"/>
    <cellStyle name="Currency 5 3 4 9 2" xfId="13108" xr:uid="{1C7216B5-2FCB-448F-92FD-A99EF8CD0885}"/>
    <cellStyle name="Currency 5 3 5" xfId="217" xr:uid="{00000000-0005-0000-0000-0000220D0000}"/>
    <cellStyle name="Currency 5 3 5 10" xfId="8891" xr:uid="{E635EDBD-3789-45B7-AAF0-3EC0708206BC}"/>
    <cellStyle name="Currency 5 3 5 2" xfId="743" xr:uid="{00000000-0005-0000-0000-0000230D0000}"/>
    <cellStyle name="Currency 5 3 5 2 2" xfId="2996" xr:uid="{00000000-0005-0000-0000-0000240D0000}"/>
    <cellStyle name="Currency 5 3 5 2 2 2" xfId="7218" xr:uid="{00000000-0005-0000-0000-0000250D0000}"/>
    <cellStyle name="Currency 5 3 5 2 2 2 2" xfId="15668" xr:uid="{1BAA9049-2D01-47A8-8A7E-BD8998BDAE83}"/>
    <cellStyle name="Currency 5 3 5 2 2 3" xfId="11450" xr:uid="{12D04D56-082E-4D29-B2C4-3B5FA71F254C}"/>
    <cellStyle name="Currency 5 3 5 2 3" xfId="5073" xr:uid="{00000000-0005-0000-0000-0000260D0000}"/>
    <cellStyle name="Currency 5 3 5 2 3 2" xfId="13523" xr:uid="{CE1EA985-7D5F-41D6-83DF-7D617EB8ACB5}"/>
    <cellStyle name="Currency 5 3 5 2 4" xfId="9305" xr:uid="{D0134262-36B6-45AF-84EB-CBFF2132FF47}"/>
    <cellStyle name="Currency 5 3 5 3" xfId="1178" xr:uid="{00000000-0005-0000-0000-0000270D0000}"/>
    <cellStyle name="Currency 5 3 5 3 2" xfId="3409" xr:uid="{00000000-0005-0000-0000-0000280D0000}"/>
    <cellStyle name="Currency 5 3 5 3 2 2" xfId="7631" xr:uid="{00000000-0005-0000-0000-0000290D0000}"/>
    <cellStyle name="Currency 5 3 5 3 2 2 2" xfId="16081" xr:uid="{EDA873F3-EC67-402E-9F39-8CE793990941}"/>
    <cellStyle name="Currency 5 3 5 3 2 3" xfId="11863" xr:uid="{012EE340-BB3F-4913-A5A7-0A6F787D777C}"/>
    <cellStyle name="Currency 5 3 5 3 3" xfId="5486" xr:uid="{00000000-0005-0000-0000-00002A0D0000}"/>
    <cellStyle name="Currency 5 3 5 3 3 2" xfId="13936" xr:uid="{1865EAA2-B603-4AB1-AA25-40F798ED7B93}"/>
    <cellStyle name="Currency 5 3 5 3 4" xfId="9718" xr:uid="{9C895A6C-8380-453C-A5CA-56DC4F8E77C8}"/>
    <cellStyle name="Currency 5 3 5 4" xfId="1592" xr:uid="{00000000-0005-0000-0000-00002B0D0000}"/>
    <cellStyle name="Currency 5 3 5 4 2" xfId="3822" xr:uid="{00000000-0005-0000-0000-00002C0D0000}"/>
    <cellStyle name="Currency 5 3 5 4 2 2" xfId="8044" xr:uid="{00000000-0005-0000-0000-00002D0D0000}"/>
    <cellStyle name="Currency 5 3 5 4 2 2 2" xfId="16494" xr:uid="{4BF837F8-33EE-498C-82BE-DC3BA06E9DA7}"/>
    <cellStyle name="Currency 5 3 5 4 2 3" xfId="12276" xr:uid="{3B26907E-274F-4D75-88D4-D69E27FB7428}"/>
    <cellStyle name="Currency 5 3 5 4 3" xfId="5899" xr:uid="{00000000-0005-0000-0000-00002E0D0000}"/>
    <cellStyle name="Currency 5 3 5 4 3 2" xfId="14349" xr:uid="{1C1067F6-0EA3-4E12-8213-35F43B8F57C2}"/>
    <cellStyle name="Currency 5 3 5 4 4" xfId="10131" xr:uid="{7A423953-C2D3-414C-AD1D-ABCC6966568E}"/>
    <cellStyle name="Currency 5 3 5 5" xfId="2006" xr:uid="{00000000-0005-0000-0000-00002F0D0000}"/>
    <cellStyle name="Currency 5 3 5 5 2" xfId="4235" xr:uid="{00000000-0005-0000-0000-0000300D0000}"/>
    <cellStyle name="Currency 5 3 5 5 2 2" xfId="8457" xr:uid="{00000000-0005-0000-0000-0000310D0000}"/>
    <cellStyle name="Currency 5 3 5 5 2 2 2" xfId="16907" xr:uid="{894B2E9B-EF6A-4C96-90D1-B0E0A0EC46E7}"/>
    <cellStyle name="Currency 5 3 5 5 2 3" xfId="12689" xr:uid="{64884CD6-425D-4BE1-88DB-11B660B8BD99}"/>
    <cellStyle name="Currency 5 3 5 5 3" xfId="6312" xr:uid="{00000000-0005-0000-0000-0000320D0000}"/>
    <cellStyle name="Currency 5 3 5 5 3 2" xfId="14762" xr:uid="{DF566D2D-F31D-42FB-886F-B21BC9A48FDD}"/>
    <cellStyle name="Currency 5 3 5 5 4" xfId="10544" xr:uid="{0BFDD830-03C6-4B85-B2A8-1ABD86128F2F}"/>
    <cellStyle name="Currency 5 3 5 6" xfId="2441" xr:uid="{00000000-0005-0000-0000-0000330D0000}"/>
    <cellStyle name="Currency 5 3 5 6 2" xfId="6725" xr:uid="{00000000-0005-0000-0000-0000340D0000}"/>
    <cellStyle name="Currency 5 3 5 6 2 2" xfId="15175" xr:uid="{53928308-FBBF-46F9-B662-11C47CBC890F}"/>
    <cellStyle name="Currency 5 3 5 6 3" xfId="10957" xr:uid="{A5420020-72B1-4B32-AA6E-8109B591A9EE}"/>
    <cellStyle name="Currency 5 3 5 7" xfId="2738" xr:uid="{00000000-0005-0000-0000-0000350D0000}"/>
    <cellStyle name="Currency 5 3 5 8" xfId="2819" xr:uid="{00000000-0005-0000-0000-0000360D0000}"/>
    <cellStyle name="Currency 5 3 5 8 2" xfId="7042" xr:uid="{00000000-0005-0000-0000-0000370D0000}"/>
    <cellStyle name="Currency 5 3 5 8 2 2" xfId="15492" xr:uid="{E9120C79-2693-4C82-A69E-30E8D738BEAE}"/>
    <cellStyle name="Currency 5 3 5 8 3" xfId="11274" xr:uid="{099AE0AC-AAA4-408B-B4B4-48FCCD93397B}"/>
    <cellStyle name="Currency 5 3 5 9" xfId="4659" xr:uid="{00000000-0005-0000-0000-0000380D0000}"/>
    <cellStyle name="Currency 5 3 5 9 2" xfId="13109" xr:uid="{5ADB29CF-3451-44E5-85E8-81820425BE6B}"/>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10 2" xfId="13110" xr:uid="{FFE00336-4F64-497C-BD1D-EF4687299CA3}"/>
    <cellStyle name="Currency 5 5 11" xfId="8892" xr:uid="{B084888C-15CB-4932-8A96-2820E5A414A5}"/>
    <cellStyle name="Currency 5 5 2" xfId="220" xr:uid="{00000000-0005-0000-0000-00003D0D0000}"/>
    <cellStyle name="Currency 5 5 2 10" xfId="8893" xr:uid="{79581DE3-476D-42CD-8055-A7FE89FFB6DA}"/>
    <cellStyle name="Currency 5 5 2 2" xfId="746" xr:uid="{00000000-0005-0000-0000-00003E0D0000}"/>
    <cellStyle name="Currency 5 5 2 2 2" xfId="2998" xr:uid="{00000000-0005-0000-0000-00003F0D0000}"/>
    <cellStyle name="Currency 5 5 2 2 2 2" xfId="7220" xr:uid="{00000000-0005-0000-0000-0000400D0000}"/>
    <cellStyle name="Currency 5 5 2 2 2 2 2" xfId="15670" xr:uid="{6EB3E5C7-9619-4D41-AF54-E7E2267AD53F}"/>
    <cellStyle name="Currency 5 5 2 2 2 3" xfId="11452" xr:uid="{2EEDC7AA-D033-431E-A7EA-981B7FDFE948}"/>
    <cellStyle name="Currency 5 5 2 2 3" xfId="5075" xr:uid="{00000000-0005-0000-0000-0000410D0000}"/>
    <cellStyle name="Currency 5 5 2 2 3 2" xfId="13525" xr:uid="{15D56D9C-6B49-449B-B04A-20AFFC729E83}"/>
    <cellStyle name="Currency 5 5 2 2 4" xfId="9307" xr:uid="{665D659F-BA6C-4373-966D-BDA05CC28A12}"/>
    <cellStyle name="Currency 5 5 2 3" xfId="1180" xr:uid="{00000000-0005-0000-0000-0000420D0000}"/>
    <cellStyle name="Currency 5 5 2 3 2" xfId="3411" xr:uid="{00000000-0005-0000-0000-0000430D0000}"/>
    <cellStyle name="Currency 5 5 2 3 2 2" xfId="7633" xr:uid="{00000000-0005-0000-0000-0000440D0000}"/>
    <cellStyle name="Currency 5 5 2 3 2 2 2" xfId="16083" xr:uid="{145F157F-67BA-43C3-B4E3-5133D6C33FAF}"/>
    <cellStyle name="Currency 5 5 2 3 2 3" xfId="11865" xr:uid="{D3FFCD34-69B2-4822-8E72-D9FB72D185DE}"/>
    <cellStyle name="Currency 5 5 2 3 3" xfId="5488" xr:uid="{00000000-0005-0000-0000-0000450D0000}"/>
    <cellStyle name="Currency 5 5 2 3 3 2" xfId="13938" xr:uid="{181E2339-0E73-4673-853C-4C0288C71C75}"/>
    <cellStyle name="Currency 5 5 2 3 4" xfId="9720" xr:uid="{02A4922D-8057-4E9D-BBE2-68868548704F}"/>
    <cellStyle name="Currency 5 5 2 4" xfId="1594" xr:uid="{00000000-0005-0000-0000-0000460D0000}"/>
    <cellStyle name="Currency 5 5 2 4 2" xfId="3824" xr:uid="{00000000-0005-0000-0000-0000470D0000}"/>
    <cellStyle name="Currency 5 5 2 4 2 2" xfId="8046" xr:uid="{00000000-0005-0000-0000-0000480D0000}"/>
    <cellStyle name="Currency 5 5 2 4 2 2 2" xfId="16496" xr:uid="{8CFD7CA9-6B4A-49DC-B2ED-F14186BACEF7}"/>
    <cellStyle name="Currency 5 5 2 4 2 3" xfId="12278" xr:uid="{BC79CC9C-7FF1-4DD4-AF1B-4E77B67E209D}"/>
    <cellStyle name="Currency 5 5 2 4 3" xfId="5901" xr:uid="{00000000-0005-0000-0000-0000490D0000}"/>
    <cellStyle name="Currency 5 5 2 4 3 2" xfId="14351" xr:uid="{A7927583-B2D4-4582-8FB8-AC0FA415FF4A}"/>
    <cellStyle name="Currency 5 5 2 4 4" xfId="10133" xr:uid="{FFEFF9C8-C092-4768-B252-CDE12D123E4F}"/>
    <cellStyle name="Currency 5 5 2 5" xfId="2008" xr:uid="{00000000-0005-0000-0000-00004A0D0000}"/>
    <cellStyle name="Currency 5 5 2 5 2" xfId="4237" xr:uid="{00000000-0005-0000-0000-00004B0D0000}"/>
    <cellStyle name="Currency 5 5 2 5 2 2" xfId="8459" xr:uid="{00000000-0005-0000-0000-00004C0D0000}"/>
    <cellStyle name="Currency 5 5 2 5 2 2 2" xfId="16909" xr:uid="{2E9BC411-9E70-4574-B1A0-43D1C443A6A7}"/>
    <cellStyle name="Currency 5 5 2 5 2 3" xfId="12691" xr:uid="{8A9CC64D-7BA1-4614-85B5-0FA62811F11E}"/>
    <cellStyle name="Currency 5 5 2 5 3" xfId="6314" xr:uid="{00000000-0005-0000-0000-00004D0D0000}"/>
    <cellStyle name="Currency 5 5 2 5 3 2" xfId="14764" xr:uid="{E72CAADB-A4FD-4C30-8C9D-703FA33D5D41}"/>
    <cellStyle name="Currency 5 5 2 5 4" xfId="10546" xr:uid="{9ECC3DE9-3310-4F59-B830-FC7DA5B00BD1}"/>
    <cellStyle name="Currency 5 5 2 6" xfId="2443" xr:uid="{00000000-0005-0000-0000-00004E0D0000}"/>
    <cellStyle name="Currency 5 5 2 6 2" xfId="6727" xr:uid="{00000000-0005-0000-0000-00004F0D0000}"/>
    <cellStyle name="Currency 5 5 2 6 2 2" xfId="15177" xr:uid="{896B222D-6784-4B9F-920A-D35B387D70D6}"/>
    <cellStyle name="Currency 5 5 2 6 3" xfId="10959" xr:uid="{BA165F47-DB18-4B53-A6E9-5546710633BC}"/>
    <cellStyle name="Currency 5 5 2 7" xfId="2740" xr:uid="{00000000-0005-0000-0000-0000500D0000}"/>
    <cellStyle name="Currency 5 5 2 8" xfId="2821" xr:uid="{00000000-0005-0000-0000-0000510D0000}"/>
    <cellStyle name="Currency 5 5 2 8 2" xfId="7044" xr:uid="{00000000-0005-0000-0000-0000520D0000}"/>
    <cellStyle name="Currency 5 5 2 8 2 2" xfId="15494" xr:uid="{98756F28-EE83-4164-8EA2-CBC6B43A0204}"/>
    <cellStyle name="Currency 5 5 2 8 3" xfId="11276" xr:uid="{32F2A0AC-3300-4FBC-A4B7-A69F3BC6380D}"/>
    <cellStyle name="Currency 5 5 2 9" xfId="4661" xr:uid="{00000000-0005-0000-0000-0000530D0000}"/>
    <cellStyle name="Currency 5 5 2 9 2" xfId="13111" xr:uid="{A086F3CE-9D81-49CC-B33B-9803504AA371}"/>
    <cellStyle name="Currency 5 5 3" xfId="745" xr:uid="{00000000-0005-0000-0000-0000540D0000}"/>
    <cellStyle name="Currency 5 5 3 2" xfId="2997" xr:uid="{00000000-0005-0000-0000-0000550D0000}"/>
    <cellStyle name="Currency 5 5 3 2 2" xfId="7219" xr:uid="{00000000-0005-0000-0000-0000560D0000}"/>
    <cellStyle name="Currency 5 5 3 2 2 2" xfId="15669" xr:uid="{98160723-6DE2-4779-9FE9-5366BF34F529}"/>
    <cellStyle name="Currency 5 5 3 2 3" xfId="11451" xr:uid="{16B5B044-8285-4525-93D7-71101CCB4EE8}"/>
    <cellStyle name="Currency 5 5 3 3" xfId="5074" xr:uid="{00000000-0005-0000-0000-0000570D0000}"/>
    <cellStyle name="Currency 5 5 3 3 2" xfId="13524" xr:uid="{9BB361E8-0221-4E06-9EF8-8E5461341640}"/>
    <cellStyle name="Currency 5 5 3 4" xfId="9306" xr:uid="{71E18084-5ADB-4635-B917-A621BD51C5B3}"/>
    <cellStyle name="Currency 5 5 4" xfId="1179" xr:uid="{00000000-0005-0000-0000-0000580D0000}"/>
    <cellStyle name="Currency 5 5 4 2" xfId="3410" xr:uid="{00000000-0005-0000-0000-0000590D0000}"/>
    <cellStyle name="Currency 5 5 4 2 2" xfId="7632" xr:uid="{00000000-0005-0000-0000-00005A0D0000}"/>
    <cellStyle name="Currency 5 5 4 2 2 2" xfId="16082" xr:uid="{6239DD7C-B21C-4176-9E19-E6C5248B74FA}"/>
    <cellStyle name="Currency 5 5 4 2 3" xfId="11864" xr:uid="{24B2925D-D614-4E09-B3CF-2E299BADEF57}"/>
    <cellStyle name="Currency 5 5 4 3" xfId="5487" xr:uid="{00000000-0005-0000-0000-00005B0D0000}"/>
    <cellStyle name="Currency 5 5 4 3 2" xfId="13937" xr:uid="{2A04155A-40A6-4EBE-888E-8078AF99C95E}"/>
    <cellStyle name="Currency 5 5 4 4" xfId="9719" xr:uid="{0D26C950-C986-45BA-84D3-84DF80A0141F}"/>
    <cellStyle name="Currency 5 5 5" xfId="1593" xr:uid="{00000000-0005-0000-0000-00005C0D0000}"/>
    <cellStyle name="Currency 5 5 5 2" xfId="3823" xr:uid="{00000000-0005-0000-0000-00005D0D0000}"/>
    <cellStyle name="Currency 5 5 5 2 2" xfId="8045" xr:uid="{00000000-0005-0000-0000-00005E0D0000}"/>
    <cellStyle name="Currency 5 5 5 2 2 2" xfId="16495" xr:uid="{42912F79-95AF-4FE1-A314-AC733125D29F}"/>
    <cellStyle name="Currency 5 5 5 2 3" xfId="12277" xr:uid="{26CA23A1-5E39-4F06-83AC-A4598AE235B2}"/>
    <cellStyle name="Currency 5 5 5 3" xfId="5900" xr:uid="{00000000-0005-0000-0000-00005F0D0000}"/>
    <cellStyle name="Currency 5 5 5 3 2" xfId="14350" xr:uid="{8388EE8A-9E55-4DC8-816A-68199F62B7F9}"/>
    <cellStyle name="Currency 5 5 5 4" xfId="10132" xr:uid="{9B6A47DE-0BCC-48DB-9556-188BBFEA67A3}"/>
    <cellStyle name="Currency 5 5 6" xfId="2007" xr:uid="{00000000-0005-0000-0000-0000600D0000}"/>
    <cellStyle name="Currency 5 5 6 2" xfId="4236" xr:uid="{00000000-0005-0000-0000-0000610D0000}"/>
    <cellStyle name="Currency 5 5 6 2 2" xfId="8458" xr:uid="{00000000-0005-0000-0000-0000620D0000}"/>
    <cellStyle name="Currency 5 5 6 2 2 2" xfId="16908" xr:uid="{77217DE7-489F-4A38-9C73-70FD95BDE955}"/>
    <cellStyle name="Currency 5 5 6 2 3" xfId="12690" xr:uid="{E35846FD-7B31-4CB4-B0F3-B9E4181D184B}"/>
    <cellStyle name="Currency 5 5 6 3" xfId="6313" xr:uid="{00000000-0005-0000-0000-0000630D0000}"/>
    <cellStyle name="Currency 5 5 6 3 2" xfId="14763" xr:uid="{D763309E-2BBB-4B26-A677-4C7C72AC179A}"/>
    <cellStyle name="Currency 5 5 6 4" xfId="10545" xr:uid="{4BAEB933-0D8A-4557-8617-5C884CE3E0BB}"/>
    <cellStyle name="Currency 5 5 7" xfId="2442" xr:uid="{00000000-0005-0000-0000-0000640D0000}"/>
    <cellStyle name="Currency 5 5 7 2" xfId="6726" xr:uid="{00000000-0005-0000-0000-0000650D0000}"/>
    <cellStyle name="Currency 5 5 7 2 2" xfId="15176" xr:uid="{A2C4A8E3-E996-415C-9C03-7E7CEFCD8D3E}"/>
    <cellStyle name="Currency 5 5 7 3" xfId="10958" xr:uid="{79413695-51C1-4E06-952C-6F182C0F20E8}"/>
    <cellStyle name="Currency 5 5 8" xfId="2739" xr:uid="{00000000-0005-0000-0000-0000660D0000}"/>
    <cellStyle name="Currency 5 5 9" xfId="2820" xr:uid="{00000000-0005-0000-0000-0000670D0000}"/>
    <cellStyle name="Currency 5 5 9 2" xfId="7043" xr:uid="{00000000-0005-0000-0000-0000680D0000}"/>
    <cellStyle name="Currency 5 5 9 2 2" xfId="15493" xr:uid="{EC7497C4-F543-4CE0-820C-A244B065DC3A}"/>
    <cellStyle name="Currency 5 5 9 3" xfId="11275" xr:uid="{A57F3226-79CF-453F-BA94-AD18A99E46AF}"/>
    <cellStyle name="Currency 5 6" xfId="221" xr:uid="{00000000-0005-0000-0000-0000690D0000}"/>
    <cellStyle name="Currency 5 6 10" xfId="8894" xr:uid="{9C09AD2C-0BF6-4FF1-B5DF-065BC87C2F5C}"/>
    <cellStyle name="Currency 5 6 2" xfId="747" xr:uid="{00000000-0005-0000-0000-00006A0D0000}"/>
    <cellStyle name="Currency 5 6 2 2" xfId="2999" xr:uid="{00000000-0005-0000-0000-00006B0D0000}"/>
    <cellStyle name="Currency 5 6 2 2 2" xfId="7221" xr:uid="{00000000-0005-0000-0000-00006C0D0000}"/>
    <cellStyle name="Currency 5 6 2 2 2 2" xfId="15671" xr:uid="{96A6D7B0-246F-4078-B45C-8EB5629EBA5A}"/>
    <cellStyle name="Currency 5 6 2 2 3" xfId="11453" xr:uid="{EFB26FBD-49D6-4DC5-959E-05FF1345447B}"/>
    <cellStyle name="Currency 5 6 2 3" xfId="5076" xr:uid="{00000000-0005-0000-0000-00006D0D0000}"/>
    <cellStyle name="Currency 5 6 2 3 2" xfId="13526" xr:uid="{D0F108A7-D854-48C0-86A5-F3C5E1D3560F}"/>
    <cellStyle name="Currency 5 6 2 4" xfId="9308" xr:uid="{511CE3E7-111C-4FDF-971C-63D1913F438C}"/>
    <cellStyle name="Currency 5 6 3" xfId="1181" xr:uid="{00000000-0005-0000-0000-00006E0D0000}"/>
    <cellStyle name="Currency 5 6 3 2" xfId="3412" xr:uid="{00000000-0005-0000-0000-00006F0D0000}"/>
    <cellStyle name="Currency 5 6 3 2 2" xfId="7634" xr:uid="{00000000-0005-0000-0000-0000700D0000}"/>
    <cellStyle name="Currency 5 6 3 2 2 2" xfId="16084" xr:uid="{1D33D6C1-C745-4F80-922A-59DB197087C3}"/>
    <cellStyle name="Currency 5 6 3 2 3" xfId="11866" xr:uid="{315DBE7D-8659-4A12-83A9-ECB0AE1E270C}"/>
    <cellStyle name="Currency 5 6 3 3" xfId="5489" xr:uid="{00000000-0005-0000-0000-0000710D0000}"/>
    <cellStyle name="Currency 5 6 3 3 2" xfId="13939" xr:uid="{4300002B-6B0D-4C13-89D2-2E6FB79D8DFC}"/>
    <cellStyle name="Currency 5 6 3 4" xfId="9721" xr:uid="{4AFEB697-2244-4EBC-BA73-19C1AC6A3243}"/>
    <cellStyle name="Currency 5 6 4" xfId="1595" xr:uid="{00000000-0005-0000-0000-0000720D0000}"/>
    <cellStyle name="Currency 5 6 4 2" xfId="3825" xr:uid="{00000000-0005-0000-0000-0000730D0000}"/>
    <cellStyle name="Currency 5 6 4 2 2" xfId="8047" xr:uid="{00000000-0005-0000-0000-0000740D0000}"/>
    <cellStyle name="Currency 5 6 4 2 2 2" xfId="16497" xr:uid="{BBAB53F7-B263-4E0B-95BC-5A68EC971292}"/>
    <cellStyle name="Currency 5 6 4 2 3" xfId="12279" xr:uid="{B9177266-B1A6-4681-9997-32A8D7EEF633}"/>
    <cellStyle name="Currency 5 6 4 3" xfId="5902" xr:uid="{00000000-0005-0000-0000-0000750D0000}"/>
    <cellStyle name="Currency 5 6 4 3 2" xfId="14352" xr:uid="{7728D9B3-30BB-411E-9096-15F891436992}"/>
    <cellStyle name="Currency 5 6 4 4" xfId="10134" xr:uid="{1DE88F9F-7EC7-4B8A-B0E8-3F3A6202EEA5}"/>
    <cellStyle name="Currency 5 6 5" xfId="2009" xr:uid="{00000000-0005-0000-0000-0000760D0000}"/>
    <cellStyle name="Currency 5 6 5 2" xfId="4238" xr:uid="{00000000-0005-0000-0000-0000770D0000}"/>
    <cellStyle name="Currency 5 6 5 2 2" xfId="8460" xr:uid="{00000000-0005-0000-0000-0000780D0000}"/>
    <cellStyle name="Currency 5 6 5 2 2 2" xfId="16910" xr:uid="{9341A318-6DC9-413A-B161-76C8405CF940}"/>
    <cellStyle name="Currency 5 6 5 2 3" xfId="12692" xr:uid="{1A921F19-FF3E-4C64-89F5-A921A8B7748B}"/>
    <cellStyle name="Currency 5 6 5 3" xfId="6315" xr:uid="{00000000-0005-0000-0000-0000790D0000}"/>
    <cellStyle name="Currency 5 6 5 3 2" xfId="14765" xr:uid="{6DBA3EF8-4273-45CE-851B-C163610F787F}"/>
    <cellStyle name="Currency 5 6 5 4" xfId="10547" xr:uid="{1A726CFC-8A2D-40F1-B403-DF4C4C18EF9C}"/>
    <cellStyle name="Currency 5 6 6" xfId="2444" xr:uid="{00000000-0005-0000-0000-00007A0D0000}"/>
    <cellStyle name="Currency 5 6 6 2" xfId="6728" xr:uid="{00000000-0005-0000-0000-00007B0D0000}"/>
    <cellStyle name="Currency 5 6 6 2 2" xfId="15178" xr:uid="{DC2D251E-0A63-4356-AAF0-3F124FBE8D91}"/>
    <cellStyle name="Currency 5 6 6 3" xfId="10960" xr:uid="{B1423C42-2DA2-4303-A400-DABED517FF97}"/>
    <cellStyle name="Currency 5 6 7" xfId="2741" xr:uid="{00000000-0005-0000-0000-00007C0D0000}"/>
    <cellStyle name="Currency 5 6 8" xfId="2822" xr:uid="{00000000-0005-0000-0000-00007D0D0000}"/>
    <cellStyle name="Currency 5 6 8 2" xfId="7045" xr:uid="{00000000-0005-0000-0000-00007E0D0000}"/>
    <cellStyle name="Currency 5 6 8 2 2" xfId="15495" xr:uid="{4732EF07-BE3C-456E-8FC7-134A12EAB60C}"/>
    <cellStyle name="Currency 5 6 8 3" xfId="11277" xr:uid="{3F29225B-10CE-4441-AFFF-8DDDDB568829}"/>
    <cellStyle name="Currency 5 6 9" xfId="4662" xr:uid="{00000000-0005-0000-0000-00007F0D0000}"/>
    <cellStyle name="Currency 5 6 9 2" xfId="13112" xr:uid="{CC0E9643-13CB-4592-9A81-5DA84E0B864C}"/>
    <cellStyle name="Currency 5 7" xfId="222" xr:uid="{00000000-0005-0000-0000-0000800D0000}"/>
    <cellStyle name="Currency 5 7 10" xfId="8895" xr:uid="{3E127CFA-5032-4CF1-8BEE-2850C625DCF4}"/>
    <cellStyle name="Currency 5 7 2" xfId="748" xr:uid="{00000000-0005-0000-0000-0000810D0000}"/>
    <cellStyle name="Currency 5 7 2 2" xfId="3000" xr:uid="{00000000-0005-0000-0000-0000820D0000}"/>
    <cellStyle name="Currency 5 7 2 2 2" xfId="7222" xr:uid="{00000000-0005-0000-0000-0000830D0000}"/>
    <cellStyle name="Currency 5 7 2 2 2 2" xfId="15672" xr:uid="{F24DFA29-C1D9-4D1E-A875-0E5D778BC131}"/>
    <cellStyle name="Currency 5 7 2 2 3" xfId="11454" xr:uid="{31991D2E-E353-44B3-813A-0F0A0417C5A1}"/>
    <cellStyle name="Currency 5 7 2 3" xfId="5077" xr:uid="{00000000-0005-0000-0000-0000840D0000}"/>
    <cellStyle name="Currency 5 7 2 3 2" xfId="13527" xr:uid="{0C9D310B-2AE6-4DA7-B097-F568CF9F0F71}"/>
    <cellStyle name="Currency 5 7 2 4" xfId="9309" xr:uid="{7636BB87-5483-42D9-A364-F0A989836AD0}"/>
    <cellStyle name="Currency 5 7 3" xfId="1182" xr:uid="{00000000-0005-0000-0000-0000850D0000}"/>
    <cellStyle name="Currency 5 7 3 2" xfId="3413" xr:uid="{00000000-0005-0000-0000-0000860D0000}"/>
    <cellStyle name="Currency 5 7 3 2 2" xfId="7635" xr:uid="{00000000-0005-0000-0000-0000870D0000}"/>
    <cellStyle name="Currency 5 7 3 2 2 2" xfId="16085" xr:uid="{4DC9E304-E166-4E27-BE17-C2879AA824D7}"/>
    <cellStyle name="Currency 5 7 3 2 3" xfId="11867" xr:uid="{8B8DE42E-7873-4D69-8937-BF5E48246439}"/>
    <cellStyle name="Currency 5 7 3 3" xfId="5490" xr:uid="{00000000-0005-0000-0000-0000880D0000}"/>
    <cellStyle name="Currency 5 7 3 3 2" xfId="13940" xr:uid="{35C55722-CDE6-437E-BAC6-1E871EA9C9AD}"/>
    <cellStyle name="Currency 5 7 3 4" xfId="9722" xr:uid="{C3AC0EAC-E181-46CC-9F48-63597478CA1B}"/>
    <cellStyle name="Currency 5 7 4" xfId="1596" xr:uid="{00000000-0005-0000-0000-0000890D0000}"/>
    <cellStyle name="Currency 5 7 4 2" xfId="3826" xr:uid="{00000000-0005-0000-0000-00008A0D0000}"/>
    <cellStyle name="Currency 5 7 4 2 2" xfId="8048" xr:uid="{00000000-0005-0000-0000-00008B0D0000}"/>
    <cellStyle name="Currency 5 7 4 2 2 2" xfId="16498" xr:uid="{63D12359-4D22-4A87-A120-104C63F2838A}"/>
    <cellStyle name="Currency 5 7 4 2 3" xfId="12280" xr:uid="{20E6C007-260D-4434-BFA3-02877DB14431}"/>
    <cellStyle name="Currency 5 7 4 3" xfId="5903" xr:uid="{00000000-0005-0000-0000-00008C0D0000}"/>
    <cellStyle name="Currency 5 7 4 3 2" xfId="14353" xr:uid="{99C6786E-58AB-43C1-95D2-35EB41B111CC}"/>
    <cellStyle name="Currency 5 7 4 4" xfId="10135" xr:uid="{DF7CA31A-B388-4408-8565-8210FFB58F65}"/>
    <cellStyle name="Currency 5 7 5" xfId="2010" xr:uid="{00000000-0005-0000-0000-00008D0D0000}"/>
    <cellStyle name="Currency 5 7 5 2" xfId="4239" xr:uid="{00000000-0005-0000-0000-00008E0D0000}"/>
    <cellStyle name="Currency 5 7 5 2 2" xfId="8461" xr:uid="{00000000-0005-0000-0000-00008F0D0000}"/>
    <cellStyle name="Currency 5 7 5 2 2 2" xfId="16911" xr:uid="{570CECFF-9282-4AAA-8D54-A1D9F182C884}"/>
    <cellStyle name="Currency 5 7 5 2 3" xfId="12693" xr:uid="{83409B2A-60C7-4AC7-8551-93CC899B9B74}"/>
    <cellStyle name="Currency 5 7 5 3" xfId="6316" xr:uid="{00000000-0005-0000-0000-0000900D0000}"/>
    <cellStyle name="Currency 5 7 5 3 2" xfId="14766" xr:uid="{4E05F0F7-760C-4C04-A941-7B78BF5432BE}"/>
    <cellStyle name="Currency 5 7 5 4" xfId="10548" xr:uid="{2DCA7572-3930-4D85-916A-82F10A604479}"/>
    <cellStyle name="Currency 5 7 6" xfId="2445" xr:uid="{00000000-0005-0000-0000-0000910D0000}"/>
    <cellStyle name="Currency 5 7 6 2" xfId="6729" xr:uid="{00000000-0005-0000-0000-0000920D0000}"/>
    <cellStyle name="Currency 5 7 6 2 2" xfId="15179" xr:uid="{F352D382-0C96-4A6D-BEB1-1B9D2F776464}"/>
    <cellStyle name="Currency 5 7 6 3" xfId="10961" xr:uid="{07E56A1C-15CB-48F2-AED5-0244271B065F}"/>
    <cellStyle name="Currency 5 7 7" xfId="2742" xr:uid="{00000000-0005-0000-0000-0000930D0000}"/>
    <cellStyle name="Currency 5 7 8" xfId="2823" xr:uid="{00000000-0005-0000-0000-0000940D0000}"/>
    <cellStyle name="Currency 5 7 8 2" xfId="7046" xr:uid="{00000000-0005-0000-0000-0000950D0000}"/>
    <cellStyle name="Currency 5 7 8 2 2" xfId="15496" xr:uid="{DF3B09B5-1B6E-4D09-8989-BAD9CC1CF36E}"/>
    <cellStyle name="Currency 5 7 8 3" xfId="11278" xr:uid="{C783FA54-5FD6-464B-A46E-C6786CFD3630}"/>
    <cellStyle name="Currency 5 7 9" xfId="4663" xr:uid="{00000000-0005-0000-0000-0000960D0000}"/>
    <cellStyle name="Currency 5 7 9 2" xfId="13113" xr:uid="{6C76C3C5-FA32-4C7D-8948-BE464685E861}"/>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0 2 2" xfId="15180" xr:uid="{4757EEB9-63CB-4415-912A-7CD703786155}"/>
    <cellStyle name="Normal 12 10 3" xfId="10962" xr:uid="{A75B1813-6B5F-4EC6-9F54-90AF27B2295F}"/>
    <cellStyle name="Normal 12 11" xfId="4664" xr:uid="{00000000-0005-0000-0000-0000CC0D0000}"/>
    <cellStyle name="Normal 12 11 2" xfId="13114" xr:uid="{DBC27FD2-4311-4D00-A2A7-27882435A8E0}"/>
    <cellStyle name="Normal 12 12" xfId="8896" xr:uid="{F6ABF228-2AA4-45BB-9F3C-5DA3EB028E95}"/>
    <cellStyle name="Normal 12 2" xfId="260" xr:uid="{00000000-0005-0000-0000-0000CD0D0000}"/>
    <cellStyle name="Normal 12 2 10" xfId="8897" xr:uid="{BD522192-60B9-4DB1-8580-E858A7B2425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2 2 2" xfId="15676" xr:uid="{C323105F-2D85-4E57-A6AE-2FC99BE62DD1}"/>
    <cellStyle name="Normal 12 2 2 2 2 2 3" xfId="11458" xr:uid="{C709EA7B-BCB4-4D24-9E94-5F77A8DAB1CF}"/>
    <cellStyle name="Normal 12 2 2 2 2 3" xfId="5081" xr:uid="{00000000-0005-0000-0000-0000D30D0000}"/>
    <cellStyle name="Normal 12 2 2 2 2 3 2" xfId="13531" xr:uid="{6D720DF1-4A36-4194-B48C-9390832433B2}"/>
    <cellStyle name="Normal 12 2 2 2 2 4" xfId="9313" xr:uid="{88B18386-0019-4E58-BD5B-7C474C329792}"/>
    <cellStyle name="Normal 12 2 2 2 3" xfId="1186" xr:uid="{00000000-0005-0000-0000-0000D40D0000}"/>
    <cellStyle name="Normal 12 2 2 2 3 2" xfId="3417" xr:uid="{00000000-0005-0000-0000-0000D50D0000}"/>
    <cellStyle name="Normal 12 2 2 2 3 2 2" xfId="7639" xr:uid="{00000000-0005-0000-0000-0000D60D0000}"/>
    <cellStyle name="Normal 12 2 2 2 3 2 2 2" xfId="16089" xr:uid="{BF2F09CE-6747-4111-9271-FE7DAB7FB3EE}"/>
    <cellStyle name="Normal 12 2 2 2 3 2 3" xfId="11871" xr:uid="{6CAEA0EC-16F8-4C14-BA67-C6B6BF94550C}"/>
    <cellStyle name="Normal 12 2 2 2 3 3" xfId="5494" xr:uid="{00000000-0005-0000-0000-0000D70D0000}"/>
    <cellStyle name="Normal 12 2 2 2 3 3 2" xfId="13944" xr:uid="{B68699B6-6E15-4533-BAB2-D0B5CDC7C63A}"/>
    <cellStyle name="Normal 12 2 2 2 3 4" xfId="9726" xr:uid="{25A879D8-8109-4024-8488-DF4C08FE287F}"/>
    <cellStyle name="Normal 12 2 2 2 4" xfId="1600" xr:uid="{00000000-0005-0000-0000-0000D80D0000}"/>
    <cellStyle name="Normal 12 2 2 2 4 2" xfId="3830" xr:uid="{00000000-0005-0000-0000-0000D90D0000}"/>
    <cellStyle name="Normal 12 2 2 2 4 2 2" xfId="8052" xr:uid="{00000000-0005-0000-0000-0000DA0D0000}"/>
    <cellStyle name="Normal 12 2 2 2 4 2 2 2" xfId="16502" xr:uid="{A2BEF009-74C1-421E-B31D-CBF301EA7982}"/>
    <cellStyle name="Normal 12 2 2 2 4 2 3" xfId="12284" xr:uid="{5153CDAB-EF42-4493-909B-5FD35121BEB4}"/>
    <cellStyle name="Normal 12 2 2 2 4 3" xfId="5907" xr:uid="{00000000-0005-0000-0000-0000DB0D0000}"/>
    <cellStyle name="Normal 12 2 2 2 4 3 2" xfId="14357" xr:uid="{84FEF49E-FE5A-412B-8BCA-2BC7B3748E59}"/>
    <cellStyle name="Normal 12 2 2 2 4 4" xfId="10139" xr:uid="{07CDE439-11C2-4AEE-8797-71A378AB15F9}"/>
    <cellStyle name="Normal 12 2 2 2 5" xfId="2014" xr:uid="{00000000-0005-0000-0000-0000DC0D0000}"/>
    <cellStyle name="Normal 12 2 2 2 5 2" xfId="4243" xr:uid="{00000000-0005-0000-0000-0000DD0D0000}"/>
    <cellStyle name="Normal 12 2 2 2 5 2 2" xfId="8465" xr:uid="{00000000-0005-0000-0000-0000DE0D0000}"/>
    <cellStyle name="Normal 12 2 2 2 5 2 2 2" xfId="16915" xr:uid="{7C132509-0FAA-4AA7-94A0-596EAFF7A18D}"/>
    <cellStyle name="Normal 12 2 2 2 5 2 3" xfId="12697" xr:uid="{07A9A34C-89CA-4B6E-8FA0-4A6BF3024DA1}"/>
    <cellStyle name="Normal 12 2 2 2 5 3" xfId="6320" xr:uid="{00000000-0005-0000-0000-0000DF0D0000}"/>
    <cellStyle name="Normal 12 2 2 2 5 3 2" xfId="14770" xr:uid="{D9C88569-C711-4A53-B192-64CA02DD866A}"/>
    <cellStyle name="Normal 12 2 2 2 5 4" xfId="10552" xr:uid="{CB9178DB-0E5A-4D14-B22F-CF1D849D9D91}"/>
    <cellStyle name="Normal 12 2 2 2 6" xfId="2450" xr:uid="{00000000-0005-0000-0000-0000E00D0000}"/>
    <cellStyle name="Normal 12 2 2 2 6 2" xfId="6733" xr:uid="{00000000-0005-0000-0000-0000E10D0000}"/>
    <cellStyle name="Normal 12 2 2 2 6 2 2" xfId="15183" xr:uid="{08C681F1-1ED9-437B-AAB6-9FE2E4E78F4F}"/>
    <cellStyle name="Normal 12 2 2 2 6 3" xfId="10965" xr:uid="{62277C50-EFC2-40DC-92C8-A782D513709B}"/>
    <cellStyle name="Normal 12 2 2 2 7" xfId="4667" xr:uid="{00000000-0005-0000-0000-0000E20D0000}"/>
    <cellStyle name="Normal 12 2 2 2 7 2" xfId="13117" xr:uid="{4859B700-7FEA-4981-8ECF-998E0842001E}"/>
    <cellStyle name="Normal 12 2 2 2 8" xfId="8899" xr:uid="{5D38146F-D6B7-4A3C-90AF-DA9D40D0BCE8}"/>
    <cellStyle name="Normal 12 2 2 3" xfId="762" xr:uid="{00000000-0005-0000-0000-0000E30D0000}"/>
    <cellStyle name="Normal 12 2 2 3 2" xfId="3003" xr:uid="{00000000-0005-0000-0000-0000E40D0000}"/>
    <cellStyle name="Normal 12 2 2 3 2 2" xfId="7225" xr:uid="{00000000-0005-0000-0000-0000E50D0000}"/>
    <cellStyle name="Normal 12 2 2 3 2 2 2" xfId="15675" xr:uid="{6F7F1492-F7A6-454C-BCD8-8FD86CB7815E}"/>
    <cellStyle name="Normal 12 2 2 3 2 3" xfId="11457" xr:uid="{5278F464-7775-4F62-81D7-1DEC5DE56E94}"/>
    <cellStyle name="Normal 12 2 2 3 3" xfId="5080" xr:uid="{00000000-0005-0000-0000-0000E60D0000}"/>
    <cellStyle name="Normal 12 2 2 3 3 2" xfId="13530" xr:uid="{B2C56FEB-D29B-4457-B71B-B4DC9020738C}"/>
    <cellStyle name="Normal 12 2 2 3 4" xfId="9312" xr:uid="{17846830-3CD8-4DE5-933C-A5D6E533C1EA}"/>
    <cellStyle name="Normal 12 2 2 4" xfId="1185" xr:uid="{00000000-0005-0000-0000-0000E70D0000}"/>
    <cellStyle name="Normal 12 2 2 4 2" xfId="3416" xr:uid="{00000000-0005-0000-0000-0000E80D0000}"/>
    <cellStyle name="Normal 12 2 2 4 2 2" xfId="7638" xr:uid="{00000000-0005-0000-0000-0000E90D0000}"/>
    <cellStyle name="Normal 12 2 2 4 2 2 2" xfId="16088" xr:uid="{9F1F8410-3716-49C2-A753-3267CCEF6312}"/>
    <cellStyle name="Normal 12 2 2 4 2 3" xfId="11870" xr:uid="{68B41343-EC4C-4851-A77E-0DF1C77B6A09}"/>
    <cellStyle name="Normal 12 2 2 4 3" xfId="5493" xr:uid="{00000000-0005-0000-0000-0000EA0D0000}"/>
    <cellStyle name="Normal 12 2 2 4 3 2" xfId="13943" xr:uid="{F5F1B6EF-92B9-4243-A20A-5C0DC1EC1148}"/>
    <cellStyle name="Normal 12 2 2 4 4" xfId="9725" xr:uid="{2C23B14E-9921-4631-A18B-92F7149870C1}"/>
    <cellStyle name="Normal 12 2 2 5" xfId="1599" xr:uid="{00000000-0005-0000-0000-0000EB0D0000}"/>
    <cellStyle name="Normal 12 2 2 5 2" xfId="3829" xr:uid="{00000000-0005-0000-0000-0000EC0D0000}"/>
    <cellStyle name="Normal 12 2 2 5 2 2" xfId="8051" xr:uid="{00000000-0005-0000-0000-0000ED0D0000}"/>
    <cellStyle name="Normal 12 2 2 5 2 2 2" xfId="16501" xr:uid="{E36F7662-9388-4EED-90CB-89EC1AD31141}"/>
    <cellStyle name="Normal 12 2 2 5 2 3" xfId="12283" xr:uid="{953D783B-05C5-4EDE-AFB4-E8C0A5600058}"/>
    <cellStyle name="Normal 12 2 2 5 3" xfId="5906" xr:uid="{00000000-0005-0000-0000-0000EE0D0000}"/>
    <cellStyle name="Normal 12 2 2 5 3 2" xfId="14356" xr:uid="{AED2659A-2750-444D-8F01-5374FEAA85CF}"/>
    <cellStyle name="Normal 12 2 2 5 4" xfId="10138" xr:uid="{6A9FD24A-A31D-42F6-8BB9-1E164BC1AFDE}"/>
    <cellStyle name="Normal 12 2 2 6" xfId="2013" xr:uid="{00000000-0005-0000-0000-0000EF0D0000}"/>
    <cellStyle name="Normal 12 2 2 6 2" xfId="4242" xr:uid="{00000000-0005-0000-0000-0000F00D0000}"/>
    <cellStyle name="Normal 12 2 2 6 2 2" xfId="8464" xr:uid="{00000000-0005-0000-0000-0000F10D0000}"/>
    <cellStyle name="Normal 12 2 2 6 2 2 2" xfId="16914" xr:uid="{B802CF95-BF1D-4087-B68A-1D97928C698A}"/>
    <cellStyle name="Normal 12 2 2 6 2 3" xfId="12696" xr:uid="{9ADE500E-36F0-4034-A653-131A1C00E9DE}"/>
    <cellStyle name="Normal 12 2 2 6 3" xfId="6319" xr:uid="{00000000-0005-0000-0000-0000F20D0000}"/>
    <cellStyle name="Normal 12 2 2 6 3 2" xfId="14769" xr:uid="{159ADF69-FCF6-46CC-82CB-56BD70516D37}"/>
    <cellStyle name="Normal 12 2 2 6 4" xfId="10551" xr:uid="{4C98999E-5551-4B9D-BC16-0026B4B442ED}"/>
    <cellStyle name="Normal 12 2 2 7" xfId="2449" xr:uid="{00000000-0005-0000-0000-0000F30D0000}"/>
    <cellStyle name="Normal 12 2 2 7 2" xfId="6732" xr:uid="{00000000-0005-0000-0000-0000F40D0000}"/>
    <cellStyle name="Normal 12 2 2 7 2 2" xfId="15182" xr:uid="{A03A098E-2EAE-494E-9738-37F62ED00CA1}"/>
    <cellStyle name="Normal 12 2 2 7 3" xfId="10964" xr:uid="{B34CC205-C2CD-443C-9619-C1E478B72945}"/>
    <cellStyle name="Normal 12 2 2 8" xfId="4666" xr:uid="{00000000-0005-0000-0000-0000F50D0000}"/>
    <cellStyle name="Normal 12 2 2 8 2" xfId="13116" xr:uid="{63DB5D0A-ECB1-42B2-B4B8-318DABD2ABF8}"/>
    <cellStyle name="Normal 12 2 2 9" xfId="8898" xr:uid="{0A7EACCF-55D7-4036-ADBF-A946A6FAB455}"/>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2 2 2" xfId="15677" xr:uid="{62B3F1A3-4D90-4EB4-A78B-7C78E1ADFC1B}"/>
    <cellStyle name="Normal 12 2 3 2 2 3" xfId="11459" xr:uid="{4536375B-BD51-4B3E-8DC4-4510EF758C44}"/>
    <cellStyle name="Normal 12 2 3 2 3" xfId="5082" xr:uid="{00000000-0005-0000-0000-0000FA0D0000}"/>
    <cellStyle name="Normal 12 2 3 2 3 2" xfId="13532" xr:uid="{AFAA5734-39B9-4CB9-B647-1A749FBC841D}"/>
    <cellStyle name="Normal 12 2 3 2 4" xfId="9314" xr:uid="{231C07EF-8C59-4D63-85BD-C5EEBD54B1B7}"/>
    <cellStyle name="Normal 12 2 3 3" xfId="1187" xr:uid="{00000000-0005-0000-0000-0000FB0D0000}"/>
    <cellStyle name="Normal 12 2 3 3 2" xfId="3418" xr:uid="{00000000-0005-0000-0000-0000FC0D0000}"/>
    <cellStyle name="Normal 12 2 3 3 2 2" xfId="7640" xr:uid="{00000000-0005-0000-0000-0000FD0D0000}"/>
    <cellStyle name="Normal 12 2 3 3 2 2 2" xfId="16090" xr:uid="{8579832A-70C2-4560-8888-B630B39305C3}"/>
    <cellStyle name="Normal 12 2 3 3 2 3" xfId="11872" xr:uid="{78DB0283-8B89-4FC4-BF5F-0EAD7DBCFAD7}"/>
    <cellStyle name="Normal 12 2 3 3 3" xfId="5495" xr:uid="{00000000-0005-0000-0000-0000FE0D0000}"/>
    <cellStyle name="Normal 12 2 3 3 3 2" xfId="13945" xr:uid="{F3368374-5B9C-402D-A0D1-5FDD11DCAA06}"/>
    <cellStyle name="Normal 12 2 3 3 4" xfId="9727" xr:uid="{56DD73C3-1AA0-47FA-81A1-8DD8F50A63E4}"/>
    <cellStyle name="Normal 12 2 3 4" xfId="1601" xr:uid="{00000000-0005-0000-0000-0000FF0D0000}"/>
    <cellStyle name="Normal 12 2 3 4 2" xfId="3831" xr:uid="{00000000-0005-0000-0000-0000000E0000}"/>
    <cellStyle name="Normal 12 2 3 4 2 2" xfId="8053" xr:uid="{00000000-0005-0000-0000-0000010E0000}"/>
    <cellStyle name="Normal 12 2 3 4 2 2 2" xfId="16503" xr:uid="{7E28B2AE-0C33-4F2A-AA2C-97E36809FC2E}"/>
    <cellStyle name="Normal 12 2 3 4 2 3" xfId="12285" xr:uid="{1F448996-68CB-4AEB-BF79-118FC2168735}"/>
    <cellStyle name="Normal 12 2 3 4 3" xfId="5908" xr:uid="{00000000-0005-0000-0000-0000020E0000}"/>
    <cellStyle name="Normal 12 2 3 4 3 2" xfId="14358" xr:uid="{346123C9-B459-42BF-B569-4C6754200167}"/>
    <cellStyle name="Normal 12 2 3 4 4" xfId="10140" xr:uid="{8D1A855C-493E-46D5-B698-285D59A68784}"/>
    <cellStyle name="Normal 12 2 3 5" xfId="2015" xr:uid="{00000000-0005-0000-0000-0000030E0000}"/>
    <cellStyle name="Normal 12 2 3 5 2" xfId="4244" xr:uid="{00000000-0005-0000-0000-0000040E0000}"/>
    <cellStyle name="Normal 12 2 3 5 2 2" xfId="8466" xr:uid="{00000000-0005-0000-0000-0000050E0000}"/>
    <cellStyle name="Normal 12 2 3 5 2 2 2" xfId="16916" xr:uid="{F3EEC659-3AA9-409D-A51E-377C7B2D3A10}"/>
    <cellStyle name="Normal 12 2 3 5 2 3" xfId="12698" xr:uid="{7159E15D-1237-4137-AAB6-8893B45175FC}"/>
    <cellStyle name="Normal 12 2 3 5 3" xfId="6321" xr:uid="{00000000-0005-0000-0000-0000060E0000}"/>
    <cellStyle name="Normal 12 2 3 5 3 2" xfId="14771" xr:uid="{C48DD109-39F1-4A5D-80ED-B4D59E631CA5}"/>
    <cellStyle name="Normal 12 2 3 5 4" xfId="10553" xr:uid="{3C629873-7B4F-44EB-A123-6AEB09D50B86}"/>
    <cellStyle name="Normal 12 2 3 6" xfId="2451" xr:uid="{00000000-0005-0000-0000-0000070E0000}"/>
    <cellStyle name="Normal 12 2 3 6 2" xfId="6734" xr:uid="{00000000-0005-0000-0000-0000080E0000}"/>
    <cellStyle name="Normal 12 2 3 6 2 2" xfId="15184" xr:uid="{AF03ABD9-3AA2-4826-87EC-548311E64016}"/>
    <cellStyle name="Normal 12 2 3 6 3" xfId="10966" xr:uid="{E0D4C2C0-E5B6-4AC9-A22E-B110DFF70F44}"/>
    <cellStyle name="Normal 12 2 3 7" xfId="4668" xr:uid="{00000000-0005-0000-0000-0000090E0000}"/>
    <cellStyle name="Normal 12 2 3 7 2" xfId="13118" xr:uid="{99F152DE-42E3-43D5-BCE4-00842EAF6967}"/>
    <cellStyle name="Normal 12 2 3 8" xfId="8900" xr:uid="{C764F1BC-618A-46C3-8CC3-2E8A480D95F5}"/>
    <cellStyle name="Normal 12 2 4" xfId="761" xr:uid="{00000000-0005-0000-0000-00000A0E0000}"/>
    <cellStyle name="Normal 12 2 4 2" xfId="3002" xr:uid="{00000000-0005-0000-0000-00000B0E0000}"/>
    <cellStyle name="Normal 12 2 4 2 2" xfId="7224" xr:uid="{00000000-0005-0000-0000-00000C0E0000}"/>
    <cellStyle name="Normal 12 2 4 2 2 2" xfId="15674" xr:uid="{98ED58D8-FEF5-4633-A66B-0916BD40FBA9}"/>
    <cellStyle name="Normal 12 2 4 2 3" xfId="11456" xr:uid="{1937B79A-FD3D-4CB2-B03A-74D5D745F0B8}"/>
    <cellStyle name="Normal 12 2 4 3" xfId="5079" xr:uid="{00000000-0005-0000-0000-00000D0E0000}"/>
    <cellStyle name="Normal 12 2 4 3 2" xfId="13529" xr:uid="{94B9F7CB-C1F8-4BEF-9289-E0B5AD4E1E4C}"/>
    <cellStyle name="Normal 12 2 4 4" xfId="9311" xr:uid="{FAA22684-A1FC-4ED6-B040-B97BD7111B7C}"/>
    <cellStyle name="Normal 12 2 5" xfId="1184" xr:uid="{00000000-0005-0000-0000-00000E0E0000}"/>
    <cellStyle name="Normal 12 2 5 2" xfId="3415" xr:uid="{00000000-0005-0000-0000-00000F0E0000}"/>
    <cellStyle name="Normal 12 2 5 2 2" xfId="7637" xr:uid="{00000000-0005-0000-0000-0000100E0000}"/>
    <cellStyle name="Normal 12 2 5 2 2 2" xfId="16087" xr:uid="{1BFF4062-431D-404C-8FB1-54BCC9EF026C}"/>
    <cellStyle name="Normal 12 2 5 2 3" xfId="11869" xr:uid="{F6EC56B8-9D2F-4C2E-AE8D-A1151D51EB9C}"/>
    <cellStyle name="Normal 12 2 5 3" xfId="5492" xr:uid="{00000000-0005-0000-0000-0000110E0000}"/>
    <cellStyle name="Normal 12 2 5 3 2" xfId="13942" xr:uid="{33C3D928-1A39-4CE0-8566-6A6037528BBC}"/>
    <cellStyle name="Normal 12 2 5 4" xfId="9724" xr:uid="{3E56B265-EA21-43B3-ADB0-1E29EEA887E6}"/>
    <cellStyle name="Normal 12 2 6" xfId="1598" xr:uid="{00000000-0005-0000-0000-0000120E0000}"/>
    <cellStyle name="Normal 12 2 6 2" xfId="3828" xr:uid="{00000000-0005-0000-0000-0000130E0000}"/>
    <cellStyle name="Normal 12 2 6 2 2" xfId="8050" xr:uid="{00000000-0005-0000-0000-0000140E0000}"/>
    <cellStyle name="Normal 12 2 6 2 2 2" xfId="16500" xr:uid="{6853A883-7259-4344-8703-3B43325D6923}"/>
    <cellStyle name="Normal 12 2 6 2 3" xfId="12282" xr:uid="{DB450669-A044-41D6-B2D0-42B570C52E66}"/>
    <cellStyle name="Normal 12 2 6 3" xfId="5905" xr:uid="{00000000-0005-0000-0000-0000150E0000}"/>
    <cellStyle name="Normal 12 2 6 3 2" xfId="14355" xr:uid="{EB373EF5-4077-4933-9E67-43B8C994BFA3}"/>
    <cellStyle name="Normal 12 2 6 4" xfId="10137" xr:uid="{8977E148-E184-4FA6-AEB4-168D684BA4F8}"/>
    <cellStyle name="Normal 12 2 7" xfId="2012" xr:uid="{00000000-0005-0000-0000-0000160E0000}"/>
    <cellStyle name="Normal 12 2 7 2" xfId="4241" xr:uid="{00000000-0005-0000-0000-0000170E0000}"/>
    <cellStyle name="Normal 12 2 7 2 2" xfId="8463" xr:uid="{00000000-0005-0000-0000-0000180E0000}"/>
    <cellStyle name="Normal 12 2 7 2 2 2" xfId="16913" xr:uid="{424AE79C-A2CE-43D0-BF98-8CC7D650DB82}"/>
    <cellStyle name="Normal 12 2 7 2 3" xfId="12695" xr:uid="{64E9E800-A9E1-4A42-ABBD-B40ED0C523A2}"/>
    <cellStyle name="Normal 12 2 7 3" xfId="6318" xr:uid="{00000000-0005-0000-0000-0000190E0000}"/>
    <cellStyle name="Normal 12 2 7 3 2" xfId="14768" xr:uid="{6B418A61-920B-442B-B228-A640611963B7}"/>
    <cellStyle name="Normal 12 2 7 4" xfId="10550" xr:uid="{51D093A1-9891-4A74-86C7-010F97071926}"/>
    <cellStyle name="Normal 12 2 8" xfId="2448" xr:uid="{00000000-0005-0000-0000-00001A0E0000}"/>
    <cellStyle name="Normal 12 2 8 2" xfId="6731" xr:uid="{00000000-0005-0000-0000-00001B0E0000}"/>
    <cellStyle name="Normal 12 2 8 2 2" xfId="15181" xr:uid="{DBD7B4AA-2ECE-4E99-90C3-737ECBF8D83A}"/>
    <cellStyle name="Normal 12 2 8 3" xfId="10963" xr:uid="{9A1A5A31-49A8-43C0-B444-CDE5DE187C9C}"/>
    <cellStyle name="Normal 12 2 9" xfId="4665" xr:uid="{00000000-0005-0000-0000-00001C0E0000}"/>
    <cellStyle name="Normal 12 2 9 2" xfId="13115" xr:uid="{15A4823C-F2C1-47F9-A8D4-55C67008DF69}"/>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2 2 2" xfId="15679" xr:uid="{7E58CB0E-E756-4A5D-AF7C-E4B9EBEF306C}"/>
    <cellStyle name="Normal 12 3 2 2 2 3" xfId="11461" xr:uid="{B73B10EA-5413-49C9-AD0D-82CE4182937F}"/>
    <cellStyle name="Normal 12 3 2 2 3" xfId="5084" xr:uid="{00000000-0005-0000-0000-0000220E0000}"/>
    <cellStyle name="Normal 12 3 2 2 3 2" xfId="13534" xr:uid="{527E5DA6-1D74-4DF9-BA48-3C39383702E0}"/>
    <cellStyle name="Normal 12 3 2 2 4" xfId="9316" xr:uid="{AA5D7311-BE83-4F59-8533-6852223BD048}"/>
    <cellStyle name="Normal 12 3 2 3" xfId="1189" xr:uid="{00000000-0005-0000-0000-0000230E0000}"/>
    <cellStyle name="Normal 12 3 2 3 2" xfId="3420" xr:uid="{00000000-0005-0000-0000-0000240E0000}"/>
    <cellStyle name="Normal 12 3 2 3 2 2" xfId="7642" xr:uid="{00000000-0005-0000-0000-0000250E0000}"/>
    <cellStyle name="Normal 12 3 2 3 2 2 2" xfId="16092" xr:uid="{18BAAB35-960B-428D-A669-E719EAEDD90C}"/>
    <cellStyle name="Normal 12 3 2 3 2 3" xfId="11874" xr:uid="{B9DA79E9-C5FF-4439-B968-CAA9A734ED07}"/>
    <cellStyle name="Normal 12 3 2 3 3" xfId="5497" xr:uid="{00000000-0005-0000-0000-0000260E0000}"/>
    <cellStyle name="Normal 12 3 2 3 3 2" xfId="13947" xr:uid="{929A020D-C0BD-4CE1-BF4B-AABA96F62792}"/>
    <cellStyle name="Normal 12 3 2 3 4" xfId="9729" xr:uid="{895D2C01-3CF7-4C9F-B342-2D177AD42B44}"/>
    <cellStyle name="Normal 12 3 2 4" xfId="1603" xr:uid="{00000000-0005-0000-0000-0000270E0000}"/>
    <cellStyle name="Normal 12 3 2 4 2" xfId="3833" xr:uid="{00000000-0005-0000-0000-0000280E0000}"/>
    <cellStyle name="Normal 12 3 2 4 2 2" xfId="8055" xr:uid="{00000000-0005-0000-0000-0000290E0000}"/>
    <cellStyle name="Normal 12 3 2 4 2 2 2" xfId="16505" xr:uid="{240FB06E-46A9-423F-B49B-DC7D793E356F}"/>
    <cellStyle name="Normal 12 3 2 4 2 3" xfId="12287" xr:uid="{4D788DB8-B73E-4C2C-AA48-772185BEC030}"/>
    <cellStyle name="Normal 12 3 2 4 3" xfId="5910" xr:uid="{00000000-0005-0000-0000-00002A0E0000}"/>
    <cellStyle name="Normal 12 3 2 4 3 2" xfId="14360" xr:uid="{EEBDF462-BBFF-49B7-942C-B3126BE1F53D}"/>
    <cellStyle name="Normal 12 3 2 4 4" xfId="10142" xr:uid="{DC66DB1A-0355-4816-A054-4ADADCDFDC95}"/>
    <cellStyle name="Normal 12 3 2 5" xfId="2017" xr:uid="{00000000-0005-0000-0000-00002B0E0000}"/>
    <cellStyle name="Normal 12 3 2 5 2" xfId="4246" xr:uid="{00000000-0005-0000-0000-00002C0E0000}"/>
    <cellStyle name="Normal 12 3 2 5 2 2" xfId="8468" xr:uid="{00000000-0005-0000-0000-00002D0E0000}"/>
    <cellStyle name="Normal 12 3 2 5 2 2 2" xfId="16918" xr:uid="{D5C49005-7930-4E1C-9A82-4E066F857A66}"/>
    <cellStyle name="Normal 12 3 2 5 2 3" xfId="12700" xr:uid="{482E0961-5915-43E5-8C85-2BE8A0E67955}"/>
    <cellStyle name="Normal 12 3 2 5 3" xfId="6323" xr:uid="{00000000-0005-0000-0000-00002E0E0000}"/>
    <cellStyle name="Normal 12 3 2 5 3 2" xfId="14773" xr:uid="{C44D331D-E297-486F-927A-F2C23F907AA4}"/>
    <cellStyle name="Normal 12 3 2 5 4" xfId="10555" xr:uid="{0BF43374-500A-4EE5-8DE5-604588E6FA0E}"/>
    <cellStyle name="Normal 12 3 2 6" xfId="2453" xr:uid="{00000000-0005-0000-0000-00002F0E0000}"/>
    <cellStyle name="Normal 12 3 2 6 2" xfId="6736" xr:uid="{00000000-0005-0000-0000-0000300E0000}"/>
    <cellStyle name="Normal 12 3 2 6 2 2" xfId="15186" xr:uid="{098E6C54-6AA7-4E51-BA3F-0083AEDFF5B5}"/>
    <cellStyle name="Normal 12 3 2 6 3" xfId="10968" xr:uid="{66915386-7CAB-4639-9E6D-249C76D5B583}"/>
    <cellStyle name="Normal 12 3 2 7" xfId="4670" xr:uid="{00000000-0005-0000-0000-0000310E0000}"/>
    <cellStyle name="Normal 12 3 2 7 2" xfId="13120" xr:uid="{80DC3E3A-8AC7-4EF2-9961-890A20304AF0}"/>
    <cellStyle name="Normal 12 3 2 8" xfId="8902" xr:uid="{B33A86C4-3667-4462-AC10-8991569794EA}"/>
    <cellStyle name="Normal 12 3 3" xfId="765" xr:uid="{00000000-0005-0000-0000-0000320E0000}"/>
    <cellStyle name="Normal 12 3 3 2" xfId="3006" xr:uid="{00000000-0005-0000-0000-0000330E0000}"/>
    <cellStyle name="Normal 12 3 3 2 2" xfId="7228" xr:uid="{00000000-0005-0000-0000-0000340E0000}"/>
    <cellStyle name="Normal 12 3 3 2 2 2" xfId="15678" xr:uid="{503E9BE3-8A0C-4600-9367-60DFEFF8E10C}"/>
    <cellStyle name="Normal 12 3 3 2 3" xfId="11460" xr:uid="{BF709C51-1635-43AC-B2E1-A740EA4442EE}"/>
    <cellStyle name="Normal 12 3 3 3" xfId="5083" xr:uid="{00000000-0005-0000-0000-0000350E0000}"/>
    <cellStyle name="Normal 12 3 3 3 2" xfId="13533" xr:uid="{BB73439C-C2D3-4D60-AB82-1A76E70D80D6}"/>
    <cellStyle name="Normal 12 3 3 4" xfId="9315" xr:uid="{21495307-6361-4368-ADE0-16F932EC15C1}"/>
    <cellStyle name="Normal 12 3 4" xfId="1188" xr:uid="{00000000-0005-0000-0000-0000360E0000}"/>
    <cellStyle name="Normal 12 3 4 2" xfId="3419" xr:uid="{00000000-0005-0000-0000-0000370E0000}"/>
    <cellStyle name="Normal 12 3 4 2 2" xfId="7641" xr:uid="{00000000-0005-0000-0000-0000380E0000}"/>
    <cellStyle name="Normal 12 3 4 2 2 2" xfId="16091" xr:uid="{9F3D22D1-1742-42A9-81F0-7E8B0A701586}"/>
    <cellStyle name="Normal 12 3 4 2 3" xfId="11873" xr:uid="{8FDFC25D-18B5-4A9F-963A-0D3CA7C970F0}"/>
    <cellStyle name="Normal 12 3 4 3" xfId="5496" xr:uid="{00000000-0005-0000-0000-0000390E0000}"/>
    <cellStyle name="Normal 12 3 4 3 2" xfId="13946" xr:uid="{405DBCC6-5217-4572-9369-7C41277DE129}"/>
    <cellStyle name="Normal 12 3 4 4" xfId="9728" xr:uid="{73B83857-9247-43A6-90CD-499B99BAE110}"/>
    <cellStyle name="Normal 12 3 5" xfId="1602" xr:uid="{00000000-0005-0000-0000-00003A0E0000}"/>
    <cellStyle name="Normal 12 3 5 2" xfId="3832" xr:uid="{00000000-0005-0000-0000-00003B0E0000}"/>
    <cellStyle name="Normal 12 3 5 2 2" xfId="8054" xr:uid="{00000000-0005-0000-0000-00003C0E0000}"/>
    <cellStyle name="Normal 12 3 5 2 2 2" xfId="16504" xr:uid="{E0B5F2E1-C558-49A8-A91C-E9C5EF05290F}"/>
    <cellStyle name="Normal 12 3 5 2 3" xfId="12286" xr:uid="{305BFB2C-4F29-4736-B25D-4DFF5E6BFEF1}"/>
    <cellStyle name="Normal 12 3 5 3" xfId="5909" xr:uid="{00000000-0005-0000-0000-00003D0E0000}"/>
    <cellStyle name="Normal 12 3 5 3 2" xfId="14359" xr:uid="{65466B2B-B0E8-4796-B12E-ED35FBA1B279}"/>
    <cellStyle name="Normal 12 3 5 4" xfId="10141" xr:uid="{2AAD651B-6E6D-45F6-9265-C240313D712B}"/>
    <cellStyle name="Normal 12 3 6" xfId="2016" xr:uid="{00000000-0005-0000-0000-00003E0E0000}"/>
    <cellStyle name="Normal 12 3 6 2" xfId="4245" xr:uid="{00000000-0005-0000-0000-00003F0E0000}"/>
    <cellStyle name="Normal 12 3 6 2 2" xfId="8467" xr:uid="{00000000-0005-0000-0000-0000400E0000}"/>
    <cellStyle name="Normal 12 3 6 2 2 2" xfId="16917" xr:uid="{DF65E25D-5CC1-4F73-8FD3-3BCA7A3B445E}"/>
    <cellStyle name="Normal 12 3 6 2 3" xfId="12699" xr:uid="{5D0EB4A6-2ADA-44AC-A235-E6BDD80522FD}"/>
    <cellStyle name="Normal 12 3 6 3" xfId="6322" xr:uid="{00000000-0005-0000-0000-0000410E0000}"/>
    <cellStyle name="Normal 12 3 6 3 2" xfId="14772" xr:uid="{773CFD97-B4CF-413F-BAC1-416D277A8500}"/>
    <cellStyle name="Normal 12 3 6 4" xfId="10554" xr:uid="{87E16F42-F0D8-4BA5-8EA9-C3F1AD0FD4FA}"/>
    <cellStyle name="Normal 12 3 7" xfId="2452" xr:uid="{00000000-0005-0000-0000-0000420E0000}"/>
    <cellStyle name="Normal 12 3 7 2" xfId="6735" xr:uid="{00000000-0005-0000-0000-0000430E0000}"/>
    <cellStyle name="Normal 12 3 7 2 2" xfId="15185" xr:uid="{BFF7F22E-9076-4571-8850-3B12EE497E07}"/>
    <cellStyle name="Normal 12 3 7 3" xfId="10967" xr:uid="{B1800BB5-C34A-483F-B69B-C98EA601A00A}"/>
    <cellStyle name="Normal 12 3 8" xfId="4669" xr:uid="{00000000-0005-0000-0000-0000440E0000}"/>
    <cellStyle name="Normal 12 3 8 2" xfId="13119" xr:uid="{3C153102-087B-475C-947E-2CF55DFFA31C}"/>
    <cellStyle name="Normal 12 3 9" xfId="8901" xr:uid="{EA1E4C37-255F-4A1D-8EA4-ADC148BE85D8}"/>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2 2 2" xfId="15680" xr:uid="{97F2CF9D-78FA-4EFF-AC52-164F0BA39107}"/>
    <cellStyle name="Normal 12 4 2 2 3" xfId="11462" xr:uid="{9C8F5629-94BC-4EDA-8405-FE212FDD506E}"/>
    <cellStyle name="Normal 12 4 2 3" xfId="5085" xr:uid="{00000000-0005-0000-0000-0000490E0000}"/>
    <cellStyle name="Normal 12 4 2 3 2" xfId="13535" xr:uid="{D3DCE99A-5C65-4035-9B25-4BE5576AB028}"/>
    <cellStyle name="Normal 12 4 2 4" xfId="9317" xr:uid="{CA0D28B7-C7F1-44C1-AA1F-BDADFC74C152}"/>
    <cellStyle name="Normal 12 4 3" xfId="1190" xr:uid="{00000000-0005-0000-0000-00004A0E0000}"/>
    <cellStyle name="Normal 12 4 3 2" xfId="3421" xr:uid="{00000000-0005-0000-0000-00004B0E0000}"/>
    <cellStyle name="Normal 12 4 3 2 2" xfId="7643" xr:uid="{00000000-0005-0000-0000-00004C0E0000}"/>
    <cellStyle name="Normal 12 4 3 2 2 2" xfId="16093" xr:uid="{6A2C7A44-652F-431F-AF43-E82F80BA9D9B}"/>
    <cellStyle name="Normal 12 4 3 2 3" xfId="11875" xr:uid="{9581E36C-3661-4674-A0DA-151EEE2F64F7}"/>
    <cellStyle name="Normal 12 4 3 3" xfId="5498" xr:uid="{00000000-0005-0000-0000-00004D0E0000}"/>
    <cellStyle name="Normal 12 4 3 3 2" xfId="13948" xr:uid="{7712C380-44E6-49FC-961F-65D53B3909EF}"/>
    <cellStyle name="Normal 12 4 3 4" xfId="9730" xr:uid="{2084C7CF-3106-4FE8-95DA-3E51B4D72CDC}"/>
    <cellStyle name="Normal 12 4 4" xfId="1604" xr:uid="{00000000-0005-0000-0000-00004E0E0000}"/>
    <cellStyle name="Normal 12 4 4 2" xfId="3834" xr:uid="{00000000-0005-0000-0000-00004F0E0000}"/>
    <cellStyle name="Normal 12 4 4 2 2" xfId="8056" xr:uid="{00000000-0005-0000-0000-0000500E0000}"/>
    <cellStyle name="Normal 12 4 4 2 2 2" xfId="16506" xr:uid="{8600700C-4FB4-4A5C-9AF0-61DA6FA4DD7B}"/>
    <cellStyle name="Normal 12 4 4 2 3" xfId="12288" xr:uid="{C5E99F3F-8274-4B8F-AFEB-41C5DF35D73C}"/>
    <cellStyle name="Normal 12 4 4 3" xfId="5911" xr:uid="{00000000-0005-0000-0000-0000510E0000}"/>
    <cellStyle name="Normal 12 4 4 3 2" xfId="14361" xr:uid="{C8322250-9B37-45CB-982C-E0959EE9E7F6}"/>
    <cellStyle name="Normal 12 4 4 4" xfId="10143" xr:uid="{CD866414-15D2-4097-8347-BE37EA172A9C}"/>
    <cellStyle name="Normal 12 4 5" xfId="2018" xr:uid="{00000000-0005-0000-0000-0000520E0000}"/>
    <cellStyle name="Normal 12 4 5 2" xfId="4247" xr:uid="{00000000-0005-0000-0000-0000530E0000}"/>
    <cellStyle name="Normal 12 4 5 2 2" xfId="8469" xr:uid="{00000000-0005-0000-0000-0000540E0000}"/>
    <cellStyle name="Normal 12 4 5 2 2 2" xfId="16919" xr:uid="{24231F19-FB33-4D4B-8AE5-68C62973C44E}"/>
    <cellStyle name="Normal 12 4 5 2 3" xfId="12701" xr:uid="{2E5797B7-173D-4729-AE40-902E04948731}"/>
    <cellStyle name="Normal 12 4 5 3" xfId="6324" xr:uid="{00000000-0005-0000-0000-0000550E0000}"/>
    <cellStyle name="Normal 12 4 5 3 2" xfId="14774" xr:uid="{E875B31F-1C0F-4622-AE64-7696AD915783}"/>
    <cellStyle name="Normal 12 4 5 4" xfId="10556" xr:uid="{DF5E804A-503E-44A3-BD5F-544D1E5092A1}"/>
    <cellStyle name="Normal 12 4 6" xfId="2454" xr:uid="{00000000-0005-0000-0000-0000560E0000}"/>
    <cellStyle name="Normal 12 4 6 2" xfId="6737" xr:uid="{00000000-0005-0000-0000-0000570E0000}"/>
    <cellStyle name="Normal 12 4 6 2 2" xfId="15187" xr:uid="{C89032F3-168B-471A-9363-CCE98ABB5E4B}"/>
    <cellStyle name="Normal 12 4 6 3" xfId="10969" xr:uid="{F2F64F89-9481-4ED1-9320-C56D2997143B}"/>
    <cellStyle name="Normal 12 4 7" xfId="4671" xr:uid="{00000000-0005-0000-0000-0000580E0000}"/>
    <cellStyle name="Normal 12 4 7 2" xfId="13121" xr:uid="{2EEF733E-9FF1-4ECE-B067-89485BC321E7}"/>
    <cellStyle name="Normal 12 4 8" xfId="8903" xr:uid="{325BA607-26E0-452B-964D-9811CBBD7FAA}"/>
    <cellStyle name="Normal 12 5" xfId="267" xr:uid="{00000000-0005-0000-0000-0000590E0000}"/>
    <cellStyle name="Normal 12 6" xfId="760" xr:uid="{00000000-0005-0000-0000-00005A0E0000}"/>
    <cellStyle name="Normal 12 6 2" xfId="3001" xr:uid="{00000000-0005-0000-0000-00005B0E0000}"/>
    <cellStyle name="Normal 12 6 2 2" xfId="7223" xr:uid="{00000000-0005-0000-0000-00005C0E0000}"/>
    <cellStyle name="Normal 12 6 2 2 2" xfId="15673" xr:uid="{F27CE1D6-3544-4188-9316-E3E29598103C}"/>
    <cellStyle name="Normal 12 6 2 3" xfId="11455" xr:uid="{80C38D96-CE55-4FF6-83F1-D699D9A65A08}"/>
    <cellStyle name="Normal 12 6 3" xfId="5078" xr:uid="{00000000-0005-0000-0000-00005D0E0000}"/>
    <cellStyle name="Normal 12 6 3 2" xfId="13528" xr:uid="{0ED85539-DD7D-40C1-9F8E-94D8015AE4BE}"/>
    <cellStyle name="Normal 12 6 4" xfId="9310" xr:uid="{B928F8DE-142E-4EEF-AE9C-8F64EA871CAC}"/>
    <cellStyle name="Normal 12 7" xfId="1183" xr:uid="{00000000-0005-0000-0000-00005E0E0000}"/>
    <cellStyle name="Normal 12 7 2" xfId="3414" xr:uid="{00000000-0005-0000-0000-00005F0E0000}"/>
    <cellStyle name="Normal 12 7 2 2" xfId="7636" xr:uid="{00000000-0005-0000-0000-0000600E0000}"/>
    <cellStyle name="Normal 12 7 2 2 2" xfId="16086" xr:uid="{823BF6F2-D972-4C4B-80F1-BF798B752452}"/>
    <cellStyle name="Normal 12 7 2 3" xfId="11868" xr:uid="{E3815141-0E2A-4465-A2E9-7CE67D4DCBD4}"/>
    <cellStyle name="Normal 12 7 3" xfId="5491" xr:uid="{00000000-0005-0000-0000-0000610E0000}"/>
    <cellStyle name="Normal 12 7 3 2" xfId="13941" xr:uid="{FE6CF657-1DE2-49AC-B887-B0A29B783C2A}"/>
    <cellStyle name="Normal 12 7 4" xfId="9723" xr:uid="{DA28971A-5005-4C72-AA37-C93CC1CB01CF}"/>
    <cellStyle name="Normal 12 8" xfId="1597" xr:uid="{00000000-0005-0000-0000-0000620E0000}"/>
    <cellStyle name="Normal 12 8 2" xfId="3827" xr:uid="{00000000-0005-0000-0000-0000630E0000}"/>
    <cellStyle name="Normal 12 8 2 2" xfId="8049" xr:uid="{00000000-0005-0000-0000-0000640E0000}"/>
    <cellStyle name="Normal 12 8 2 2 2" xfId="16499" xr:uid="{5C83D4BD-24C1-43DC-AE25-D6E659BF80D2}"/>
    <cellStyle name="Normal 12 8 2 3" xfId="12281" xr:uid="{5696BF48-81CA-4024-96E9-70D232485102}"/>
    <cellStyle name="Normal 12 8 3" xfId="5904" xr:uid="{00000000-0005-0000-0000-0000650E0000}"/>
    <cellStyle name="Normal 12 8 3 2" xfId="14354" xr:uid="{298F0803-5928-43B3-B10E-15C8F6F422D0}"/>
    <cellStyle name="Normal 12 8 4" xfId="10136" xr:uid="{AB536548-DC42-4E24-84BB-48D0CBF2DE78}"/>
    <cellStyle name="Normal 12 9" xfId="2011" xr:uid="{00000000-0005-0000-0000-0000660E0000}"/>
    <cellStyle name="Normal 12 9 2" xfId="4240" xr:uid="{00000000-0005-0000-0000-0000670E0000}"/>
    <cellStyle name="Normal 12 9 2 2" xfId="8462" xr:uid="{00000000-0005-0000-0000-0000680E0000}"/>
    <cellStyle name="Normal 12 9 2 2 2" xfId="16912" xr:uid="{5ECF482A-E5D6-4280-B737-6CA35BBC44E6}"/>
    <cellStyle name="Normal 12 9 2 3" xfId="12694" xr:uid="{793CB305-B559-4D60-81D1-9EEBE078F14E}"/>
    <cellStyle name="Normal 12 9 3" xfId="6317" xr:uid="{00000000-0005-0000-0000-0000690E0000}"/>
    <cellStyle name="Normal 12 9 3 2" xfId="14767" xr:uid="{9120E5C6-B0FE-4054-A687-BDC6AB26BCED}"/>
    <cellStyle name="Normal 12 9 4" xfId="10549" xr:uid="{28A43AB4-7BDF-4C2F-8188-ED3D96A34775}"/>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2 2 2" xfId="15681" xr:uid="{3BDFE6D4-B669-4F78-AA17-63885F0DDDA1}"/>
    <cellStyle name="Normal 14 2 2 3" xfId="11463" xr:uid="{176F3CD5-2EB6-4BC8-A3C0-923B725B89AC}"/>
    <cellStyle name="Normal 14 2 3" xfId="5086" xr:uid="{00000000-0005-0000-0000-0000700E0000}"/>
    <cellStyle name="Normal 14 2 3 2" xfId="13536" xr:uid="{CC2615EE-298E-4EBF-87A2-FAE88056F3D5}"/>
    <cellStyle name="Normal 14 2 4" xfId="9318" xr:uid="{4E6289DD-8C76-4D6B-B74C-1A9BA30494F9}"/>
    <cellStyle name="Normal 14 3" xfId="1191" xr:uid="{00000000-0005-0000-0000-0000710E0000}"/>
    <cellStyle name="Normal 14 3 2" xfId="3422" xr:uid="{00000000-0005-0000-0000-0000720E0000}"/>
    <cellStyle name="Normal 14 3 2 2" xfId="7644" xr:uid="{00000000-0005-0000-0000-0000730E0000}"/>
    <cellStyle name="Normal 14 3 2 2 2" xfId="16094" xr:uid="{B7B20422-67BC-4707-87E6-1C1EAA1B1870}"/>
    <cellStyle name="Normal 14 3 2 3" xfId="11876" xr:uid="{12314659-149B-4841-B399-4A12E76EFFD6}"/>
    <cellStyle name="Normal 14 3 3" xfId="5499" xr:uid="{00000000-0005-0000-0000-0000740E0000}"/>
    <cellStyle name="Normal 14 3 3 2" xfId="13949" xr:uid="{0805ADDA-3487-4771-9987-2BB2DF710C75}"/>
    <cellStyle name="Normal 14 3 4" xfId="9731" xr:uid="{FD763F9A-66AC-4B43-BDE8-3D467B46125B}"/>
    <cellStyle name="Normal 14 4" xfId="1605" xr:uid="{00000000-0005-0000-0000-0000750E0000}"/>
    <cellStyle name="Normal 14 4 2" xfId="3835" xr:uid="{00000000-0005-0000-0000-0000760E0000}"/>
    <cellStyle name="Normal 14 4 2 2" xfId="8057" xr:uid="{00000000-0005-0000-0000-0000770E0000}"/>
    <cellStyle name="Normal 14 4 2 2 2" xfId="16507" xr:uid="{6D368F66-2BB5-4B3F-AC67-2B9B26AC3125}"/>
    <cellStyle name="Normal 14 4 2 3" xfId="12289" xr:uid="{6BB72912-B3B3-4A02-B10D-A9AFDF7515C4}"/>
    <cellStyle name="Normal 14 4 3" xfId="5912" xr:uid="{00000000-0005-0000-0000-0000780E0000}"/>
    <cellStyle name="Normal 14 4 3 2" xfId="14362" xr:uid="{A0B4DB5B-386F-4566-871E-746B3C5EC3CC}"/>
    <cellStyle name="Normal 14 4 4" xfId="10144" xr:uid="{D6F565E0-5A49-42F9-A8A7-00BD57EE9265}"/>
    <cellStyle name="Normal 14 5" xfId="2019" xr:uid="{00000000-0005-0000-0000-0000790E0000}"/>
    <cellStyle name="Normal 14 5 2" xfId="4248" xr:uid="{00000000-0005-0000-0000-00007A0E0000}"/>
    <cellStyle name="Normal 14 5 2 2" xfId="8470" xr:uid="{00000000-0005-0000-0000-00007B0E0000}"/>
    <cellStyle name="Normal 14 5 2 2 2" xfId="16920" xr:uid="{CE6E40D5-870E-49AB-BBF2-E76D92E127B4}"/>
    <cellStyle name="Normal 14 5 2 3" xfId="12702" xr:uid="{20B66B84-BFA1-4300-80C0-8B0C1070E693}"/>
    <cellStyle name="Normal 14 5 3" xfId="6325" xr:uid="{00000000-0005-0000-0000-00007C0E0000}"/>
    <cellStyle name="Normal 14 5 3 2" xfId="14775" xr:uid="{83567CBB-5AC4-4EC4-A1DC-68B43CC69221}"/>
    <cellStyle name="Normal 14 5 4" xfId="10557" xr:uid="{2193AB0A-C8C0-4147-BBE2-80A955732506}"/>
    <cellStyle name="Normal 14 6" xfId="2455" xr:uid="{00000000-0005-0000-0000-00007D0E0000}"/>
    <cellStyle name="Normal 14 6 2" xfId="6738" xr:uid="{00000000-0005-0000-0000-00007E0E0000}"/>
    <cellStyle name="Normal 14 6 2 2" xfId="15188" xr:uid="{537EE129-AD2C-4B2E-98BF-8A29432D25CD}"/>
    <cellStyle name="Normal 14 6 3" xfId="10970" xr:uid="{A2108488-D5AC-4348-A5CF-7ECEB26D149A}"/>
    <cellStyle name="Normal 14 7" xfId="4672" xr:uid="{00000000-0005-0000-0000-00007F0E0000}"/>
    <cellStyle name="Normal 14 7 2" xfId="13122" xr:uid="{78D5E4F7-D2E1-419A-930D-D06C66654358}"/>
    <cellStyle name="Normal 14 8" xfId="8904" xr:uid="{C763A4F5-ED88-4C23-BD7A-2F314B1A0ADE}"/>
    <cellStyle name="Normal 15" xfId="4496" xr:uid="{00000000-0005-0000-0000-0000800E0000}"/>
    <cellStyle name="Normal 15 2" xfId="12948" xr:uid="{5EE10992-3167-4DB0-A3FF-152CBCC1401B}"/>
    <cellStyle name="Normal 16" xfId="4500" xr:uid="{00000000-0005-0000-0000-0000810E0000}"/>
    <cellStyle name="Normal 16 2" xfId="8715" xr:uid="{00000000-0005-0000-0000-0000820E0000}"/>
    <cellStyle name="Normal 16 2 2" xfId="17165" xr:uid="{E128D2D8-C610-4DB8-B688-5CCBBA886F45}"/>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6 3 2 2 3" xfId="17174" xr:uid="{3D73C443-E38F-46DB-AFC1-EB867D625AB2}"/>
    <cellStyle name="Normal 16 3 2 3" xfId="17171" xr:uid="{FE986125-B3F9-40C2-9BC4-102368439ED6}"/>
    <cellStyle name="Normal 16 3 3" xfId="17168" xr:uid="{8176D8FE-A66E-4612-B39C-94EE8C0C7F35}"/>
    <cellStyle name="Normal 16 4" xfId="12951" xr:uid="{3A30B78F-640F-4BFD-A5E4-AC30FC322839}"/>
    <cellStyle name="Normal 17" xfId="8728" xr:uid="{3FF0972C-833B-4475-99D8-1A6907499E71}"/>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2 2 2" xfId="16921" xr:uid="{57D3EA12-05E9-4455-8084-9BD3B2F9C31E}"/>
    <cellStyle name="Normal 2 4 2 10 2 3" xfId="12703" xr:uid="{139C9CD6-CAF7-4520-92AF-73EBD5445C3A}"/>
    <cellStyle name="Normal 2 4 2 10 3" xfId="6326" xr:uid="{00000000-0005-0000-0000-0000910E0000}"/>
    <cellStyle name="Normal 2 4 2 10 3 2" xfId="14776" xr:uid="{BDB6825A-F4A2-43CD-BCA2-2E9088136008}"/>
    <cellStyle name="Normal 2 4 2 10 4" xfId="10558" xr:uid="{351691F6-3B40-4D6F-9121-AA1D2F5FF509}"/>
    <cellStyle name="Normal 2 4 2 11" xfId="2456" xr:uid="{00000000-0005-0000-0000-0000920E0000}"/>
    <cellStyle name="Normal 2 4 2 11 2" xfId="6739" xr:uid="{00000000-0005-0000-0000-0000930E0000}"/>
    <cellStyle name="Normal 2 4 2 11 2 2" xfId="15189" xr:uid="{648AE45A-CC8B-4B10-84B0-1D3A914B6E08}"/>
    <cellStyle name="Normal 2 4 2 11 3" xfId="10971" xr:uid="{EA985E3F-D71F-444D-826D-C1027500953F}"/>
    <cellStyle name="Normal 2 4 2 12" xfId="4673" xr:uid="{00000000-0005-0000-0000-0000940E0000}"/>
    <cellStyle name="Normal 2 4 2 12 2" xfId="13123" xr:uid="{9C620358-2649-436E-8D71-2480921319FA}"/>
    <cellStyle name="Normal 2 4 2 13" xfId="8905" xr:uid="{42B1DF54-25AC-4D44-AA44-4EF5D9490617}"/>
    <cellStyle name="Normal 2 4 2 2" xfId="280" xr:uid="{00000000-0005-0000-0000-0000950E0000}"/>
    <cellStyle name="Normal 2 4 2 3" xfId="281" xr:uid="{00000000-0005-0000-0000-0000960E0000}"/>
    <cellStyle name="Normal 2 4 2 3 10" xfId="4674" xr:uid="{00000000-0005-0000-0000-0000970E0000}"/>
    <cellStyle name="Normal 2 4 2 3 10 2" xfId="13124" xr:uid="{0B1E4D1A-C566-41C1-949A-AEAA29F6554D}"/>
    <cellStyle name="Normal 2 4 2 3 11" xfId="8906" xr:uid="{E7D26D53-0FA1-40C2-8C86-BE9DB7353E60}"/>
    <cellStyle name="Normal 2 4 2 3 2" xfId="282" xr:uid="{00000000-0005-0000-0000-0000980E0000}"/>
    <cellStyle name="Normal 2 4 2 3 2 10" xfId="8907" xr:uid="{B273DC6D-B1D8-4FBE-82DC-560246513C4D}"/>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2 2 2" xfId="15686" xr:uid="{31EAC283-FA29-4EA5-892B-42E7138A587C}"/>
    <cellStyle name="Normal 2 4 2 3 2 2 2 2 2 3" xfId="11468" xr:uid="{BA093979-8101-4D93-B1B0-F81C6B4FE271}"/>
    <cellStyle name="Normal 2 4 2 3 2 2 2 2 3" xfId="5091" xr:uid="{00000000-0005-0000-0000-00009E0E0000}"/>
    <cellStyle name="Normal 2 4 2 3 2 2 2 2 3 2" xfId="13541" xr:uid="{C37D733F-DC8B-4E23-9091-8E4FB126D788}"/>
    <cellStyle name="Normal 2 4 2 3 2 2 2 2 4" xfId="9323" xr:uid="{EA484868-4CB4-4D5E-9605-EF7A13D65547}"/>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2 2 2" xfId="16099" xr:uid="{2826B698-036B-430D-9F4B-E822D074CB6F}"/>
    <cellStyle name="Normal 2 4 2 3 2 2 2 3 2 3" xfId="11881" xr:uid="{B6F30585-FED5-4FF4-A7C9-560D7FE55722}"/>
    <cellStyle name="Normal 2 4 2 3 2 2 2 3 3" xfId="5504" xr:uid="{00000000-0005-0000-0000-0000A20E0000}"/>
    <cellStyle name="Normal 2 4 2 3 2 2 2 3 3 2" xfId="13954" xr:uid="{6556CBBB-F009-4FF4-8D3E-8A26B0EE1E99}"/>
    <cellStyle name="Normal 2 4 2 3 2 2 2 3 4" xfId="9736" xr:uid="{9BA938FD-2DE7-4D21-9FC2-5DA9E59E9228}"/>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2 2 2" xfId="16512" xr:uid="{B3651E98-0423-45D5-810C-98ED98754CB3}"/>
    <cellStyle name="Normal 2 4 2 3 2 2 2 4 2 3" xfId="12294" xr:uid="{02F10BAB-4DBD-4184-AB02-05DA6CA7C703}"/>
    <cellStyle name="Normal 2 4 2 3 2 2 2 4 3" xfId="5917" xr:uid="{00000000-0005-0000-0000-0000A60E0000}"/>
    <cellStyle name="Normal 2 4 2 3 2 2 2 4 3 2" xfId="14367" xr:uid="{E5FBAD62-1A9A-4488-854C-6CB6C5C6EDC9}"/>
    <cellStyle name="Normal 2 4 2 3 2 2 2 4 4" xfId="10149" xr:uid="{89DC3A06-D5E7-45D4-A067-BA6BD85373C2}"/>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2 2 2" xfId="16925" xr:uid="{919C6F08-8165-4F36-AB2B-CA77C7350409}"/>
    <cellStyle name="Normal 2 4 2 3 2 2 2 5 2 3" xfId="12707" xr:uid="{4199A91F-45FC-44FF-B1B1-538D4D7D8F91}"/>
    <cellStyle name="Normal 2 4 2 3 2 2 2 5 3" xfId="6330" xr:uid="{00000000-0005-0000-0000-0000AA0E0000}"/>
    <cellStyle name="Normal 2 4 2 3 2 2 2 5 3 2" xfId="14780" xr:uid="{FC87E06A-5A8F-4D3C-B733-4FA4CD8899D4}"/>
    <cellStyle name="Normal 2 4 2 3 2 2 2 5 4" xfId="10562" xr:uid="{B02A6BD9-F7BB-4934-A8D5-51E396C9476F}"/>
    <cellStyle name="Normal 2 4 2 3 2 2 2 6" xfId="2460" xr:uid="{00000000-0005-0000-0000-0000AB0E0000}"/>
    <cellStyle name="Normal 2 4 2 3 2 2 2 6 2" xfId="6743" xr:uid="{00000000-0005-0000-0000-0000AC0E0000}"/>
    <cellStyle name="Normal 2 4 2 3 2 2 2 6 2 2" xfId="15193" xr:uid="{8779E537-A045-49E9-8421-686FCC1A855C}"/>
    <cellStyle name="Normal 2 4 2 3 2 2 2 6 3" xfId="10975" xr:uid="{59BC6F66-007F-44FB-AEB2-D574518DCA75}"/>
    <cellStyle name="Normal 2 4 2 3 2 2 2 7" xfId="4677" xr:uid="{00000000-0005-0000-0000-0000AD0E0000}"/>
    <cellStyle name="Normal 2 4 2 3 2 2 2 7 2" xfId="13127" xr:uid="{BD6E1247-8D71-4E68-86D0-DD8C40954599}"/>
    <cellStyle name="Normal 2 4 2 3 2 2 2 8" xfId="8909" xr:uid="{94438909-BA81-489E-9225-4C20B7F59D8D}"/>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2 2 2" xfId="15685" xr:uid="{DE8BDA68-00CE-49C7-8BF2-C73010095E8B}"/>
    <cellStyle name="Normal 2 4 2 3 2 2 3 2 3" xfId="11467" xr:uid="{6FE8F11A-AD42-48E6-8CF2-F5DCD8BECF74}"/>
    <cellStyle name="Normal 2 4 2 3 2 2 3 3" xfId="5090" xr:uid="{00000000-0005-0000-0000-0000B10E0000}"/>
    <cellStyle name="Normal 2 4 2 3 2 2 3 3 2" xfId="13540" xr:uid="{65367B7E-2A91-4D62-BDB7-32E7AE62C6E2}"/>
    <cellStyle name="Normal 2 4 2 3 2 2 3 4" xfId="9322" xr:uid="{72F980E0-5E5F-49F7-BEC9-BFC9352D8B98}"/>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2 2 2" xfId="16098" xr:uid="{67D53E72-0B8F-421E-85CF-933E0C081E1B}"/>
    <cellStyle name="Normal 2 4 2 3 2 2 4 2 3" xfId="11880" xr:uid="{1F57F400-DCD5-4851-BCC3-447553473678}"/>
    <cellStyle name="Normal 2 4 2 3 2 2 4 3" xfId="5503" xr:uid="{00000000-0005-0000-0000-0000B50E0000}"/>
    <cellStyle name="Normal 2 4 2 3 2 2 4 3 2" xfId="13953" xr:uid="{495B3EFA-3F93-464F-9D0D-171A60C0A6DC}"/>
    <cellStyle name="Normal 2 4 2 3 2 2 4 4" xfId="9735" xr:uid="{64EFC8CC-F92B-4967-8F43-9061F185F21F}"/>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2 2 2" xfId="16511" xr:uid="{E864BBD7-73A9-4433-B1DA-BBAEB2319BE3}"/>
    <cellStyle name="Normal 2 4 2 3 2 2 5 2 3" xfId="12293" xr:uid="{751824D8-04D9-4D0A-848F-598C636FE520}"/>
    <cellStyle name="Normal 2 4 2 3 2 2 5 3" xfId="5916" xr:uid="{00000000-0005-0000-0000-0000B90E0000}"/>
    <cellStyle name="Normal 2 4 2 3 2 2 5 3 2" xfId="14366" xr:uid="{291964A1-2DA6-4343-B45F-AA3CE48AE320}"/>
    <cellStyle name="Normal 2 4 2 3 2 2 5 4" xfId="10148" xr:uid="{A001659E-3310-429C-B09A-921403F19516}"/>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2 2 2" xfId="16924" xr:uid="{089F5FB6-F033-444C-803B-84276C8CEDB3}"/>
    <cellStyle name="Normal 2 4 2 3 2 2 6 2 3" xfId="12706" xr:uid="{05831A63-DB9B-4218-BE3F-5F8FD1B64FFF}"/>
    <cellStyle name="Normal 2 4 2 3 2 2 6 3" xfId="6329" xr:uid="{00000000-0005-0000-0000-0000BD0E0000}"/>
    <cellStyle name="Normal 2 4 2 3 2 2 6 3 2" xfId="14779" xr:uid="{28DD72A5-EFBD-4AB3-9C49-6046206F5195}"/>
    <cellStyle name="Normal 2 4 2 3 2 2 6 4" xfId="10561" xr:uid="{EA9B9AF3-CBB4-4F25-AA9F-9D4A598A775A}"/>
    <cellStyle name="Normal 2 4 2 3 2 2 7" xfId="2459" xr:uid="{00000000-0005-0000-0000-0000BE0E0000}"/>
    <cellStyle name="Normal 2 4 2 3 2 2 7 2" xfId="6742" xr:uid="{00000000-0005-0000-0000-0000BF0E0000}"/>
    <cellStyle name="Normal 2 4 2 3 2 2 7 2 2" xfId="15192" xr:uid="{5D4099F3-5D06-485C-8844-C21FFE0D08E6}"/>
    <cellStyle name="Normal 2 4 2 3 2 2 7 3" xfId="10974" xr:uid="{7E7029D3-59DA-4809-8B30-41AC0F54487E}"/>
    <cellStyle name="Normal 2 4 2 3 2 2 8" xfId="4676" xr:uid="{00000000-0005-0000-0000-0000C00E0000}"/>
    <cellStyle name="Normal 2 4 2 3 2 2 8 2" xfId="13126" xr:uid="{0FC23667-7FE9-4636-A2F2-E652968FF2F4}"/>
    <cellStyle name="Normal 2 4 2 3 2 2 9" xfId="8908" xr:uid="{CB7CF318-1E20-407C-963D-F9FA5422FCC6}"/>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2 2 2" xfId="15687" xr:uid="{667E2205-81E2-4456-96E6-2BC2491A6FDE}"/>
    <cellStyle name="Normal 2 4 2 3 2 3 2 2 3" xfId="11469" xr:uid="{6C4A1E07-93A4-4BD1-A6EE-326F35501A11}"/>
    <cellStyle name="Normal 2 4 2 3 2 3 2 3" xfId="5092" xr:uid="{00000000-0005-0000-0000-0000C50E0000}"/>
    <cellStyle name="Normal 2 4 2 3 2 3 2 3 2" xfId="13542" xr:uid="{F747A7D1-36D7-42C5-88B0-CD8F09C74A55}"/>
    <cellStyle name="Normal 2 4 2 3 2 3 2 4" xfId="9324" xr:uid="{6F07CEAB-C30C-4614-A432-7E8F08702A44}"/>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2 2 2" xfId="16100" xr:uid="{1A14764D-01F6-4CA5-A117-527471F47768}"/>
    <cellStyle name="Normal 2 4 2 3 2 3 3 2 3" xfId="11882" xr:uid="{265AFA18-2911-4330-B59B-30A4BDE46227}"/>
    <cellStyle name="Normal 2 4 2 3 2 3 3 3" xfId="5505" xr:uid="{00000000-0005-0000-0000-0000C90E0000}"/>
    <cellStyle name="Normal 2 4 2 3 2 3 3 3 2" xfId="13955" xr:uid="{EAABE7CE-5284-48F8-9C48-A86624705175}"/>
    <cellStyle name="Normal 2 4 2 3 2 3 3 4" xfId="9737" xr:uid="{E8F32E55-8C73-4B4F-9A47-A42948B26F6F}"/>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2 2 2" xfId="16513" xr:uid="{93B4048C-DC56-4047-A92A-A69E729B677A}"/>
    <cellStyle name="Normal 2 4 2 3 2 3 4 2 3" xfId="12295" xr:uid="{A36F2AE2-98E2-4582-B5E8-16BE5AEDFC99}"/>
    <cellStyle name="Normal 2 4 2 3 2 3 4 3" xfId="5918" xr:uid="{00000000-0005-0000-0000-0000CD0E0000}"/>
    <cellStyle name="Normal 2 4 2 3 2 3 4 3 2" xfId="14368" xr:uid="{96D6C41E-A009-4858-A78E-3B0ADDDF505F}"/>
    <cellStyle name="Normal 2 4 2 3 2 3 4 4" xfId="10150" xr:uid="{EBAD37FF-ABDB-4DEC-B61B-ABC3C80A6302}"/>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2 2 2" xfId="16926" xr:uid="{8BAA0DB9-79A7-4478-9ED6-2F74BACC83BC}"/>
    <cellStyle name="Normal 2 4 2 3 2 3 5 2 3" xfId="12708" xr:uid="{4F2F44EF-7E7F-4332-882A-002EA25C1B94}"/>
    <cellStyle name="Normal 2 4 2 3 2 3 5 3" xfId="6331" xr:uid="{00000000-0005-0000-0000-0000D10E0000}"/>
    <cellStyle name="Normal 2 4 2 3 2 3 5 3 2" xfId="14781" xr:uid="{68EB4AB5-4BD1-4DE7-AD9A-254282D51824}"/>
    <cellStyle name="Normal 2 4 2 3 2 3 5 4" xfId="10563" xr:uid="{87612050-6755-41AB-82B6-B1C2DA4525FA}"/>
    <cellStyle name="Normal 2 4 2 3 2 3 6" xfId="2461" xr:uid="{00000000-0005-0000-0000-0000D20E0000}"/>
    <cellStyle name="Normal 2 4 2 3 2 3 6 2" xfId="6744" xr:uid="{00000000-0005-0000-0000-0000D30E0000}"/>
    <cellStyle name="Normal 2 4 2 3 2 3 6 2 2" xfId="15194" xr:uid="{C9487D2B-15A0-4B82-8AE8-67E0CB2AB9E3}"/>
    <cellStyle name="Normal 2 4 2 3 2 3 6 3" xfId="10976" xr:uid="{174D5BCB-EB19-472A-9158-7C2B16303B5A}"/>
    <cellStyle name="Normal 2 4 2 3 2 3 7" xfId="4678" xr:uid="{00000000-0005-0000-0000-0000D40E0000}"/>
    <cellStyle name="Normal 2 4 2 3 2 3 7 2" xfId="13128" xr:uid="{4D756119-64F0-4EF7-84D1-4B1A1455BEBF}"/>
    <cellStyle name="Normal 2 4 2 3 2 3 8" xfId="8910" xr:uid="{74976ABD-1239-49FD-9D0B-EEBED0C295FC}"/>
    <cellStyle name="Normal 2 4 2 3 2 4" xfId="773" xr:uid="{00000000-0005-0000-0000-0000D50E0000}"/>
    <cellStyle name="Normal 2 4 2 3 2 4 2" xfId="3012" xr:uid="{00000000-0005-0000-0000-0000D60E0000}"/>
    <cellStyle name="Normal 2 4 2 3 2 4 2 2" xfId="7234" xr:uid="{00000000-0005-0000-0000-0000D70E0000}"/>
    <cellStyle name="Normal 2 4 2 3 2 4 2 2 2" xfId="15684" xr:uid="{E81D0E8C-15F8-4023-B198-FC7255A47B52}"/>
    <cellStyle name="Normal 2 4 2 3 2 4 2 3" xfId="11466" xr:uid="{8D9F19E3-1982-4D80-9DF5-BFA2544D4B40}"/>
    <cellStyle name="Normal 2 4 2 3 2 4 3" xfId="5089" xr:uid="{00000000-0005-0000-0000-0000D80E0000}"/>
    <cellStyle name="Normal 2 4 2 3 2 4 3 2" xfId="13539" xr:uid="{F0BE92B0-31AB-4E7A-85BD-0D36A3E592C1}"/>
    <cellStyle name="Normal 2 4 2 3 2 4 4" xfId="9321" xr:uid="{FFE5A6E7-9D23-475A-B5B0-D960AA39224E}"/>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2 2 2" xfId="16097" xr:uid="{CC3E9F7A-4B67-4290-AD97-35145F7096F0}"/>
    <cellStyle name="Normal 2 4 2 3 2 5 2 3" xfId="11879" xr:uid="{F635414C-DB28-4FC5-834C-0BA5D50584D0}"/>
    <cellStyle name="Normal 2 4 2 3 2 5 3" xfId="5502" xr:uid="{00000000-0005-0000-0000-0000DC0E0000}"/>
    <cellStyle name="Normal 2 4 2 3 2 5 3 2" xfId="13952" xr:uid="{AFEE015D-1468-4F55-B8C9-1F653A6B2C0E}"/>
    <cellStyle name="Normal 2 4 2 3 2 5 4" xfId="9734" xr:uid="{D81C7C05-1BF5-4619-9621-30C970552DEF}"/>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2 2 2" xfId="16510" xr:uid="{43187F4C-F79C-4A1E-850B-5F22BE776DB5}"/>
    <cellStyle name="Normal 2 4 2 3 2 6 2 3" xfId="12292" xr:uid="{606BDDEF-8F28-4D09-A208-9C2BCB1E7476}"/>
    <cellStyle name="Normal 2 4 2 3 2 6 3" xfId="5915" xr:uid="{00000000-0005-0000-0000-0000E00E0000}"/>
    <cellStyle name="Normal 2 4 2 3 2 6 3 2" xfId="14365" xr:uid="{483DC94B-E4D5-484C-9BF5-AC5A6E7EB345}"/>
    <cellStyle name="Normal 2 4 2 3 2 6 4" xfId="10147" xr:uid="{95851ECA-A3E7-49FF-B1B7-84F9BC162FDE}"/>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2 2 2" xfId="16923" xr:uid="{FC69BFA1-46DF-4037-8E61-E8D38CD91902}"/>
    <cellStyle name="Normal 2 4 2 3 2 7 2 3" xfId="12705" xr:uid="{5F9E35F9-6B72-41AF-9AC9-05BEC5C7DE34}"/>
    <cellStyle name="Normal 2 4 2 3 2 7 3" xfId="6328" xr:uid="{00000000-0005-0000-0000-0000E40E0000}"/>
    <cellStyle name="Normal 2 4 2 3 2 7 3 2" xfId="14778" xr:uid="{F2030671-F6CD-4CA5-83A7-013A7870A5FB}"/>
    <cellStyle name="Normal 2 4 2 3 2 7 4" xfId="10560" xr:uid="{1A3AD5B3-09CF-4BB8-B312-3F83441825B1}"/>
    <cellStyle name="Normal 2 4 2 3 2 8" xfId="2458" xr:uid="{00000000-0005-0000-0000-0000E50E0000}"/>
    <cellStyle name="Normal 2 4 2 3 2 8 2" xfId="6741" xr:uid="{00000000-0005-0000-0000-0000E60E0000}"/>
    <cellStyle name="Normal 2 4 2 3 2 8 2 2" xfId="15191" xr:uid="{C7BEFECC-304D-4D53-8F32-6A4CAD2F257A}"/>
    <cellStyle name="Normal 2 4 2 3 2 8 3" xfId="10973" xr:uid="{B6BFF5A0-0DDE-43B8-B43C-C85AB6C3F7CA}"/>
    <cellStyle name="Normal 2 4 2 3 2 9" xfId="4675" xr:uid="{00000000-0005-0000-0000-0000E70E0000}"/>
    <cellStyle name="Normal 2 4 2 3 2 9 2" xfId="13125" xr:uid="{1570E019-9C3F-494B-9CDB-F6F7D9C65B03}"/>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2 2 2" xfId="15689" xr:uid="{1F965FEB-31CD-4742-A1DA-535EBDDB91BB}"/>
    <cellStyle name="Normal 2 4 2 3 3 2 2 2 3" xfId="11471" xr:uid="{7F174FBC-C643-462C-8B63-E43E54F1FB54}"/>
    <cellStyle name="Normal 2 4 2 3 3 2 2 3" xfId="5094" xr:uid="{00000000-0005-0000-0000-0000ED0E0000}"/>
    <cellStyle name="Normal 2 4 2 3 3 2 2 3 2" xfId="13544" xr:uid="{7BB42103-400D-47D3-AD1F-5FE1C5767F6F}"/>
    <cellStyle name="Normal 2 4 2 3 3 2 2 4" xfId="9326" xr:uid="{AD0972AE-0B48-4C60-ACF2-EB087F897328}"/>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2 2 2" xfId="16102" xr:uid="{01DE2F2C-5EA9-4D0F-831B-123932DA1CA7}"/>
    <cellStyle name="Normal 2 4 2 3 3 2 3 2 3" xfId="11884" xr:uid="{43D7A195-E4E7-4291-8F89-45EF68290FEE}"/>
    <cellStyle name="Normal 2 4 2 3 3 2 3 3" xfId="5507" xr:uid="{00000000-0005-0000-0000-0000F10E0000}"/>
    <cellStyle name="Normal 2 4 2 3 3 2 3 3 2" xfId="13957" xr:uid="{7A1838BA-493B-42FB-8924-B1B7703BBBB9}"/>
    <cellStyle name="Normal 2 4 2 3 3 2 3 4" xfId="9739" xr:uid="{258D721E-3FEA-449F-8E53-044825E42C52}"/>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2 2 2" xfId="16515" xr:uid="{CE0CDF51-CF88-41DB-A9F7-3B6D1AF43A9C}"/>
    <cellStyle name="Normal 2 4 2 3 3 2 4 2 3" xfId="12297" xr:uid="{D3DAAAE1-2033-4B5A-985A-865276D324AF}"/>
    <cellStyle name="Normal 2 4 2 3 3 2 4 3" xfId="5920" xr:uid="{00000000-0005-0000-0000-0000F50E0000}"/>
    <cellStyle name="Normal 2 4 2 3 3 2 4 3 2" xfId="14370" xr:uid="{969AA073-6810-4885-8A57-D44D5EDE0DAB}"/>
    <cellStyle name="Normal 2 4 2 3 3 2 4 4" xfId="10152" xr:uid="{55DC3F81-8301-4031-94AE-F1AE5B64B6A2}"/>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2 2 2" xfId="16928" xr:uid="{080630BB-EAAC-4871-B9B2-D81B812D0EFC}"/>
    <cellStyle name="Normal 2 4 2 3 3 2 5 2 3" xfId="12710" xr:uid="{E6D4977A-453C-45A0-9602-3F1A866EBABA}"/>
    <cellStyle name="Normal 2 4 2 3 3 2 5 3" xfId="6333" xr:uid="{00000000-0005-0000-0000-0000F90E0000}"/>
    <cellStyle name="Normal 2 4 2 3 3 2 5 3 2" xfId="14783" xr:uid="{995D3E7A-5FBE-46E2-A160-729FAD739428}"/>
    <cellStyle name="Normal 2 4 2 3 3 2 5 4" xfId="10565" xr:uid="{428ECCBC-7CAA-4C91-8535-19A303357A53}"/>
    <cellStyle name="Normal 2 4 2 3 3 2 6" xfId="2463" xr:uid="{00000000-0005-0000-0000-0000FA0E0000}"/>
    <cellStyle name="Normal 2 4 2 3 3 2 6 2" xfId="6746" xr:uid="{00000000-0005-0000-0000-0000FB0E0000}"/>
    <cellStyle name="Normal 2 4 2 3 3 2 6 2 2" xfId="15196" xr:uid="{D979EFFB-2322-4B5C-B523-D2F1830E6927}"/>
    <cellStyle name="Normal 2 4 2 3 3 2 6 3" xfId="10978" xr:uid="{59235972-4048-47FC-8829-42F132A43490}"/>
    <cellStyle name="Normal 2 4 2 3 3 2 7" xfId="4680" xr:uid="{00000000-0005-0000-0000-0000FC0E0000}"/>
    <cellStyle name="Normal 2 4 2 3 3 2 7 2" xfId="13130" xr:uid="{80877C05-6A15-4AEE-907F-65A991CBEFD3}"/>
    <cellStyle name="Normal 2 4 2 3 3 2 8" xfId="8912" xr:uid="{95286683-5518-4514-96AA-3CA455BE9049}"/>
    <cellStyle name="Normal 2 4 2 3 3 3" xfId="777" xr:uid="{00000000-0005-0000-0000-0000FD0E0000}"/>
    <cellStyle name="Normal 2 4 2 3 3 3 2" xfId="3016" xr:uid="{00000000-0005-0000-0000-0000FE0E0000}"/>
    <cellStyle name="Normal 2 4 2 3 3 3 2 2" xfId="7238" xr:uid="{00000000-0005-0000-0000-0000FF0E0000}"/>
    <cellStyle name="Normal 2 4 2 3 3 3 2 2 2" xfId="15688" xr:uid="{38E72B3C-D3C2-464B-8AA2-4A61C0C8BE47}"/>
    <cellStyle name="Normal 2 4 2 3 3 3 2 3" xfId="11470" xr:uid="{11E6C4A7-32F3-4E6E-B774-B956FF048959}"/>
    <cellStyle name="Normal 2 4 2 3 3 3 3" xfId="5093" xr:uid="{00000000-0005-0000-0000-0000000F0000}"/>
    <cellStyle name="Normal 2 4 2 3 3 3 3 2" xfId="13543" xr:uid="{B2B84DCD-7BA0-4CBE-AB7C-3D9AE8220658}"/>
    <cellStyle name="Normal 2 4 2 3 3 3 4" xfId="9325" xr:uid="{8610E0AB-B9CE-4DB8-8760-BBF02BF1A9EC}"/>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2 2 2" xfId="16101" xr:uid="{05AF9413-5A6B-4453-99FB-737BCA8114F0}"/>
    <cellStyle name="Normal 2 4 2 3 3 4 2 3" xfId="11883" xr:uid="{B77F6B05-C4B8-481B-8F09-49CB63AEB89F}"/>
    <cellStyle name="Normal 2 4 2 3 3 4 3" xfId="5506" xr:uid="{00000000-0005-0000-0000-0000040F0000}"/>
    <cellStyle name="Normal 2 4 2 3 3 4 3 2" xfId="13956" xr:uid="{69A5EE60-F15D-4A7C-A293-11C6A0A84D26}"/>
    <cellStyle name="Normal 2 4 2 3 3 4 4" xfId="9738" xr:uid="{0E50BC2C-BF7E-467F-8022-6BF564F2FD9B}"/>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2 2 2" xfId="16514" xr:uid="{F81D0007-4FE4-40E1-A74C-9C4FFFAA0420}"/>
    <cellStyle name="Normal 2 4 2 3 3 5 2 3" xfId="12296" xr:uid="{7C8C7C1A-7AC4-4F5F-B78B-D96A56397E0F}"/>
    <cellStyle name="Normal 2 4 2 3 3 5 3" xfId="5919" xr:uid="{00000000-0005-0000-0000-0000080F0000}"/>
    <cellStyle name="Normal 2 4 2 3 3 5 3 2" xfId="14369" xr:uid="{9CDFC6CD-7E3C-4B47-A2EB-396F8E2E8D64}"/>
    <cellStyle name="Normal 2 4 2 3 3 5 4" xfId="10151" xr:uid="{C715AA69-FC86-4887-BC94-936CF4EFA679}"/>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2 2 2" xfId="16927" xr:uid="{6E984BD5-3203-4998-ACE4-24B38B89781F}"/>
    <cellStyle name="Normal 2 4 2 3 3 6 2 3" xfId="12709" xr:uid="{F77D0CE3-AE75-4DD1-8C4F-EF2F7B35FE87}"/>
    <cellStyle name="Normal 2 4 2 3 3 6 3" xfId="6332" xr:uid="{00000000-0005-0000-0000-00000C0F0000}"/>
    <cellStyle name="Normal 2 4 2 3 3 6 3 2" xfId="14782" xr:uid="{7F6FA417-BFB0-4E47-8CE8-C7863A3665AC}"/>
    <cellStyle name="Normal 2 4 2 3 3 6 4" xfId="10564" xr:uid="{B66D2E03-4B88-4CE1-9F87-CCBBE5D04161}"/>
    <cellStyle name="Normal 2 4 2 3 3 7" xfId="2462" xr:uid="{00000000-0005-0000-0000-00000D0F0000}"/>
    <cellStyle name="Normal 2 4 2 3 3 7 2" xfId="6745" xr:uid="{00000000-0005-0000-0000-00000E0F0000}"/>
    <cellStyle name="Normal 2 4 2 3 3 7 2 2" xfId="15195" xr:uid="{DD5AC9DC-61F8-4478-99A9-D1E1B741B60F}"/>
    <cellStyle name="Normal 2 4 2 3 3 7 3" xfId="10977" xr:uid="{F8B58CED-5E82-4C88-8A7B-0EC76825BF0E}"/>
    <cellStyle name="Normal 2 4 2 3 3 8" xfId="4679" xr:uid="{00000000-0005-0000-0000-00000F0F0000}"/>
    <cellStyle name="Normal 2 4 2 3 3 8 2" xfId="13129" xr:uid="{5FF3AE6B-E22F-4B4F-B8B3-0E1BAF06E0EF}"/>
    <cellStyle name="Normal 2 4 2 3 3 9" xfId="8911" xr:uid="{C2580891-02E9-4291-9315-C14F5767D75E}"/>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2 2 2" xfId="15690" xr:uid="{EFB0D247-7DF1-4923-BFB3-7AD6D1EE0404}"/>
    <cellStyle name="Normal 2 4 2 3 4 2 2 3" xfId="11472" xr:uid="{2E6E74DE-05F8-4B2F-81BC-FA8A3C9C49CF}"/>
    <cellStyle name="Normal 2 4 2 3 4 2 3" xfId="5095" xr:uid="{00000000-0005-0000-0000-0000140F0000}"/>
    <cellStyle name="Normal 2 4 2 3 4 2 3 2" xfId="13545" xr:uid="{9CF5355D-7DF4-4CE9-9F8E-AD629E4057CE}"/>
    <cellStyle name="Normal 2 4 2 3 4 2 4" xfId="9327" xr:uid="{9594BD4F-8ED7-4393-974E-D82D66DE6ADF}"/>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2 2 2" xfId="16103" xr:uid="{1DFD6E7E-FDA8-4CA3-9E92-DC38136AD33C}"/>
    <cellStyle name="Normal 2 4 2 3 4 3 2 3" xfId="11885" xr:uid="{EF50FE83-76F8-4BDE-8CB1-80D47881EBE5}"/>
    <cellStyle name="Normal 2 4 2 3 4 3 3" xfId="5508" xr:uid="{00000000-0005-0000-0000-0000180F0000}"/>
    <cellStyle name="Normal 2 4 2 3 4 3 3 2" xfId="13958" xr:uid="{7292BEE6-8C5E-4C45-8208-D97EDFA5995D}"/>
    <cellStyle name="Normal 2 4 2 3 4 3 4" xfId="9740" xr:uid="{A140ED0D-11D1-411E-8A2D-B5AF47B68232}"/>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2 2 2" xfId="16516" xr:uid="{A1F5C67B-D572-4246-9FD5-BE7BA6811174}"/>
    <cellStyle name="Normal 2 4 2 3 4 4 2 3" xfId="12298" xr:uid="{35B2B476-6310-4E4E-A92E-140EEEE211AA}"/>
    <cellStyle name="Normal 2 4 2 3 4 4 3" xfId="5921" xr:uid="{00000000-0005-0000-0000-00001C0F0000}"/>
    <cellStyle name="Normal 2 4 2 3 4 4 3 2" xfId="14371" xr:uid="{07730226-CABB-42FC-8A4F-33E44E283B2B}"/>
    <cellStyle name="Normal 2 4 2 3 4 4 4" xfId="10153" xr:uid="{A00471A6-62C3-48C0-9EA5-85E705F942C5}"/>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2 2 2" xfId="16929" xr:uid="{D0F47CDB-CA70-4DA9-B14B-678C01EFE7BF}"/>
    <cellStyle name="Normal 2 4 2 3 4 5 2 3" xfId="12711" xr:uid="{4FAC354A-B1F7-4D4B-9899-F6F8923615FE}"/>
    <cellStyle name="Normal 2 4 2 3 4 5 3" xfId="6334" xr:uid="{00000000-0005-0000-0000-0000200F0000}"/>
    <cellStyle name="Normal 2 4 2 3 4 5 3 2" xfId="14784" xr:uid="{7667DEBC-0C8F-4E72-B304-02D51F79A99E}"/>
    <cellStyle name="Normal 2 4 2 3 4 5 4" xfId="10566" xr:uid="{5728DC3A-764E-439F-AB8E-EB562204C82C}"/>
    <cellStyle name="Normal 2 4 2 3 4 6" xfId="2464" xr:uid="{00000000-0005-0000-0000-0000210F0000}"/>
    <cellStyle name="Normal 2 4 2 3 4 6 2" xfId="6747" xr:uid="{00000000-0005-0000-0000-0000220F0000}"/>
    <cellStyle name="Normal 2 4 2 3 4 6 2 2" xfId="15197" xr:uid="{1E74C6D5-138B-4270-AF24-6E522EC7C998}"/>
    <cellStyle name="Normal 2 4 2 3 4 6 3" xfId="10979" xr:uid="{5345E110-D4B5-40D3-8D34-25A707C5093C}"/>
    <cellStyle name="Normal 2 4 2 3 4 7" xfId="4681" xr:uid="{00000000-0005-0000-0000-0000230F0000}"/>
    <cellStyle name="Normal 2 4 2 3 4 7 2" xfId="13131" xr:uid="{C00F5AAF-0AAF-494A-967F-BBFBB8F17386}"/>
    <cellStyle name="Normal 2 4 2 3 4 8" xfId="8913" xr:uid="{DA9431E5-271A-4E7C-AB17-45E1D7548296}"/>
    <cellStyle name="Normal 2 4 2 3 5" xfId="772" xr:uid="{00000000-0005-0000-0000-0000240F0000}"/>
    <cellStyle name="Normal 2 4 2 3 5 2" xfId="3011" xr:uid="{00000000-0005-0000-0000-0000250F0000}"/>
    <cellStyle name="Normal 2 4 2 3 5 2 2" xfId="7233" xr:uid="{00000000-0005-0000-0000-0000260F0000}"/>
    <cellStyle name="Normal 2 4 2 3 5 2 2 2" xfId="15683" xr:uid="{0B0DD1E0-6727-428E-ADFB-1604C2819B0C}"/>
    <cellStyle name="Normal 2 4 2 3 5 2 3" xfId="11465" xr:uid="{32A734F8-DD75-43F3-8662-6E84CF5D1C09}"/>
    <cellStyle name="Normal 2 4 2 3 5 3" xfId="5088" xr:uid="{00000000-0005-0000-0000-0000270F0000}"/>
    <cellStyle name="Normal 2 4 2 3 5 3 2" xfId="13538" xr:uid="{CB730A2D-0C1D-4C56-AAB5-0D120A32F0D1}"/>
    <cellStyle name="Normal 2 4 2 3 5 4" xfId="9320" xr:uid="{6C30AD70-6A9F-4A36-841B-4ABDB2612B84}"/>
    <cellStyle name="Normal 2 4 2 3 6" xfId="1194" xr:uid="{00000000-0005-0000-0000-0000280F0000}"/>
    <cellStyle name="Normal 2 4 2 3 6 2" xfId="3424" xr:uid="{00000000-0005-0000-0000-0000290F0000}"/>
    <cellStyle name="Normal 2 4 2 3 6 2 2" xfId="7646" xr:uid="{00000000-0005-0000-0000-00002A0F0000}"/>
    <cellStyle name="Normal 2 4 2 3 6 2 2 2" xfId="16096" xr:uid="{2EC18BD9-D49D-4690-8DBB-EF7F7F854C73}"/>
    <cellStyle name="Normal 2 4 2 3 6 2 3" xfId="11878" xr:uid="{E3D8B436-4774-48B7-AC4C-B66B3FD343F5}"/>
    <cellStyle name="Normal 2 4 2 3 6 3" xfId="5501" xr:uid="{00000000-0005-0000-0000-00002B0F0000}"/>
    <cellStyle name="Normal 2 4 2 3 6 3 2" xfId="13951" xr:uid="{F9007EAC-C5BC-4974-94F0-2D8FC2D89DBA}"/>
    <cellStyle name="Normal 2 4 2 3 6 4" xfId="9733" xr:uid="{DB1F6510-2D94-4ADC-8720-7B7163CD12BD}"/>
    <cellStyle name="Normal 2 4 2 3 7" xfId="1607" xr:uid="{00000000-0005-0000-0000-00002C0F0000}"/>
    <cellStyle name="Normal 2 4 2 3 7 2" xfId="3837" xr:uid="{00000000-0005-0000-0000-00002D0F0000}"/>
    <cellStyle name="Normal 2 4 2 3 7 2 2" xfId="8059" xr:uid="{00000000-0005-0000-0000-00002E0F0000}"/>
    <cellStyle name="Normal 2 4 2 3 7 2 2 2" xfId="16509" xr:uid="{58C5B1CD-5F2F-4508-AB94-21DA27878AC9}"/>
    <cellStyle name="Normal 2 4 2 3 7 2 3" xfId="12291" xr:uid="{E634C750-26F3-4998-BE3C-084BF9BA20FB}"/>
    <cellStyle name="Normal 2 4 2 3 7 3" xfId="5914" xr:uid="{00000000-0005-0000-0000-00002F0F0000}"/>
    <cellStyle name="Normal 2 4 2 3 7 3 2" xfId="14364" xr:uid="{0888FE5B-C565-44EC-A986-4C5A634C183E}"/>
    <cellStyle name="Normal 2 4 2 3 7 4" xfId="10146" xr:uid="{FB7C1159-1C09-4DC7-A2A9-F28E04971C5C}"/>
    <cellStyle name="Normal 2 4 2 3 8" xfId="2021" xr:uid="{00000000-0005-0000-0000-0000300F0000}"/>
    <cellStyle name="Normal 2 4 2 3 8 2" xfId="4250" xr:uid="{00000000-0005-0000-0000-0000310F0000}"/>
    <cellStyle name="Normal 2 4 2 3 8 2 2" xfId="8472" xr:uid="{00000000-0005-0000-0000-0000320F0000}"/>
    <cellStyle name="Normal 2 4 2 3 8 2 2 2" xfId="16922" xr:uid="{9BB76A73-D037-4FBF-A2DE-8CA67104BA85}"/>
    <cellStyle name="Normal 2 4 2 3 8 2 3" xfId="12704" xr:uid="{19408BF8-00A4-4085-BFB6-DD7FC596DD4D}"/>
    <cellStyle name="Normal 2 4 2 3 8 3" xfId="6327" xr:uid="{00000000-0005-0000-0000-0000330F0000}"/>
    <cellStyle name="Normal 2 4 2 3 8 3 2" xfId="14777" xr:uid="{51446578-4C6C-4466-A083-D0ECDCD44717}"/>
    <cellStyle name="Normal 2 4 2 3 8 4" xfId="10559" xr:uid="{9E377627-4566-45F9-9C8F-8B3E1C5AC7A6}"/>
    <cellStyle name="Normal 2 4 2 3 9" xfId="2457" xr:uid="{00000000-0005-0000-0000-0000340F0000}"/>
    <cellStyle name="Normal 2 4 2 3 9 2" xfId="6740" xr:uid="{00000000-0005-0000-0000-0000350F0000}"/>
    <cellStyle name="Normal 2 4 2 3 9 2 2" xfId="15190" xr:uid="{91743ACE-D896-438F-A755-BC4AD7F4B354}"/>
    <cellStyle name="Normal 2 4 2 3 9 3" xfId="10972" xr:uid="{5CF6F983-06A9-4D45-B663-43BE47547BA7}"/>
    <cellStyle name="Normal 2 4 2 4" xfId="289" xr:uid="{00000000-0005-0000-0000-0000360F0000}"/>
    <cellStyle name="Normal 2 4 2 4 10" xfId="8914" xr:uid="{CC237476-586D-4226-B680-62F61806C284}"/>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2 2 2" xfId="15693" xr:uid="{FE837EB0-7515-4A27-93D0-B6B5C8E7B874}"/>
    <cellStyle name="Normal 2 4 2 4 2 2 2 2 3" xfId="11475" xr:uid="{19C5A677-72C0-438F-8256-3CEB0C66D542}"/>
    <cellStyle name="Normal 2 4 2 4 2 2 2 3" xfId="5098" xr:uid="{00000000-0005-0000-0000-00003C0F0000}"/>
    <cellStyle name="Normal 2 4 2 4 2 2 2 3 2" xfId="13548" xr:uid="{96BDEC77-1B39-4349-8899-D1C8E92E076D}"/>
    <cellStyle name="Normal 2 4 2 4 2 2 2 4" xfId="9330" xr:uid="{AFF53A96-FEF4-4B44-980C-3130448CBCC5}"/>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2 2 2" xfId="16106" xr:uid="{D5A8F20C-7151-46BB-A874-6214A807EECF}"/>
    <cellStyle name="Normal 2 4 2 4 2 2 3 2 3" xfId="11888" xr:uid="{AC9E7D71-2F52-4767-805F-62DEECD8DA3E}"/>
    <cellStyle name="Normal 2 4 2 4 2 2 3 3" xfId="5511" xr:uid="{00000000-0005-0000-0000-0000400F0000}"/>
    <cellStyle name="Normal 2 4 2 4 2 2 3 3 2" xfId="13961" xr:uid="{D8A39190-1999-4A13-9A12-67A11DFDA64D}"/>
    <cellStyle name="Normal 2 4 2 4 2 2 3 4" xfId="9743" xr:uid="{351B204F-BEB9-476C-A00E-ED85ACDFE05A}"/>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2 2 2" xfId="16519" xr:uid="{F433BCF3-EFD6-4AE1-81C3-8EFA71C32E17}"/>
    <cellStyle name="Normal 2 4 2 4 2 2 4 2 3" xfId="12301" xr:uid="{8F08CADE-B927-4BEB-B9F0-A4C43377473B}"/>
    <cellStyle name="Normal 2 4 2 4 2 2 4 3" xfId="5924" xr:uid="{00000000-0005-0000-0000-0000440F0000}"/>
    <cellStyle name="Normal 2 4 2 4 2 2 4 3 2" xfId="14374" xr:uid="{8433AA1F-87EF-47E5-B880-AD14EF855026}"/>
    <cellStyle name="Normal 2 4 2 4 2 2 4 4" xfId="10156" xr:uid="{EAC146B5-7204-4421-AA27-DFF49D50987E}"/>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2 2 2" xfId="16932" xr:uid="{AB5FED0D-66EC-4E29-9246-F6CAF7B9767D}"/>
    <cellStyle name="Normal 2 4 2 4 2 2 5 2 3" xfId="12714" xr:uid="{F4439998-8FA7-4C0D-8706-563F8CFF0C65}"/>
    <cellStyle name="Normal 2 4 2 4 2 2 5 3" xfId="6337" xr:uid="{00000000-0005-0000-0000-0000480F0000}"/>
    <cellStyle name="Normal 2 4 2 4 2 2 5 3 2" xfId="14787" xr:uid="{DF58FD4C-EF91-437E-A5E1-88E3DBB2B105}"/>
    <cellStyle name="Normal 2 4 2 4 2 2 5 4" xfId="10569" xr:uid="{4C7FCC3A-20F7-460A-81BB-101FC425E313}"/>
    <cellStyle name="Normal 2 4 2 4 2 2 6" xfId="2467" xr:uid="{00000000-0005-0000-0000-0000490F0000}"/>
    <cellStyle name="Normal 2 4 2 4 2 2 6 2" xfId="6750" xr:uid="{00000000-0005-0000-0000-00004A0F0000}"/>
    <cellStyle name="Normal 2 4 2 4 2 2 6 2 2" xfId="15200" xr:uid="{C0AE8BCC-B4B9-4D7F-A63E-19DE84A2B608}"/>
    <cellStyle name="Normal 2 4 2 4 2 2 6 3" xfId="10982" xr:uid="{5C276D42-B39D-4E30-891F-C973969254EE}"/>
    <cellStyle name="Normal 2 4 2 4 2 2 7" xfId="4684" xr:uid="{00000000-0005-0000-0000-00004B0F0000}"/>
    <cellStyle name="Normal 2 4 2 4 2 2 7 2" xfId="13134" xr:uid="{55AF5817-AF6A-455B-8D48-113CD84CA584}"/>
    <cellStyle name="Normal 2 4 2 4 2 2 8" xfId="8916" xr:uid="{DB255B15-855D-47EE-AD63-2C424DB0BFDE}"/>
    <cellStyle name="Normal 2 4 2 4 2 3" xfId="781" xr:uid="{00000000-0005-0000-0000-00004C0F0000}"/>
    <cellStyle name="Normal 2 4 2 4 2 3 2" xfId="3020" xr:uid="{00000000-0005-0000-0000-00004D0F0000}"/>
    <cellStyle name="Normal 2 4 2 4 2 3 2 2" xfId="7242" xr:uid="{00000000-0005-0000-0000-00004E0F0000}"/>
    <cellStyle name="Normal 2 4 2 4 2 3 2 2 2" xfId="15692" xr:uid="{6F9BF42B-DEE8-495D-9327-7931618DCD93}"/>
    <cellStyle name="Normal 2 4 2 4 2 3 2 3" xfId="11474" xr:uid="{47E679A2-B47E-4F42-B536-012713375554}"/>
    <cellStyle name="Normal 2 4 2 4 2 3 3" xfId="5097" xr:uid="{00000000-0005-0000-0000-00004F0F0000}"/>
    <cellStyle name="Normal 2 4 2 4 2 3 3 2" xfId="13547" xr:uid="{161BB09D-E81E-4A98-8C0D-B4437EAB92A0}"/>
    <cellStyle name="Normal 2 4 2 4 2 3 4" xfId="9329" xr:uid="{343F810F-E716-4838-98F3-92B57EF251A5}"/>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2 2 2" xfId="16105" xr:uid="{578B1DAA-FD1D-4AD7-8CFE-BCE21BBD6029}"/>
    <cellStyle name="Normal 2 4 2 4 2 4 2 3" xfId="11887" xr:uid="{2461E3C5-FDBA-449B-8CEE-04E692BFB288}"/>
    <cellStyle name="Normal 2 4 2 4 2 4 3" xfId="5510" xr:uid="{00000000-0005-0000-0000-0000530F0000}"/>
    <cellStyle name="Normal 2 4 2 4 2 4 3 2" xfId="13960" xr:uid="{7C788337-2828-4F85-9BC9-F5A7A711860E}"/>
    <cellStyle name="Normal 2 4 2 4 2 4 4" xfId="9742" xr:uid="{0DD49498-E0F1-4B42-A48C-CBFE3E7C83C3}"/>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2 2 2" xfId="16518" xr:uid="{01E7784F-8F01-4206-8ACA-45885AA0298D}"/>
    <cellStyle name="Normal 2 4 2 4 2 5 2 3" xfId="12300" xr:uid="{A1F95E20-A1D8-4C47-901A-8D79DFB336E2}"/>
    <cellStyle name="Normal 2 4 2 4 2 5 3" xfId="5923" xr:uid="{00000000-0005-0000-0000-0000570F0000}"/>
    <cellStyle name="Normal 2 4 2 4 2 5 3 2" xfId="14373" xr:uid="{25E91ECE-6A5B-4396-92DD-C360A6FE37C0}"/>
    <cellStyle name="Normal 2 4 2 4 2 5 4" xfId="10155" xr:uid="{A7374390-B3F5-44DC-BB42-D675969B52ED}"/>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2 2 2" xfId="16931" xr:uid="{655E0EF5-329B-4703-9293-E5DA5A1D6073}"/>
    <cellStyle name="Normal 2 4 2 4 2 6 2 3" xfId="12713" xr:uid="{525F6C86-CDF6-4D75-8718-E9E86536A94C}"/>
    <cellStyle name="Normal 2 4 2 4 2 6 3" xfId="6336" xr:uid="{00000000-0005-0000-0000-00005B0F0000}"/>
    <cellStyle name="Normal 2 4 2 4 2 6 3 2" xfId="14786" xr:uid="{223E75BA-1783-4D23-AD28-43753A01D847}"/>
    <cellStyle name="Normal 2 4 2 4 2 6 4" xfId="10568" xr:uid="{0BBFFC0F-0FC6-48DB-AC0D-08B9450E3AB8}"/>
    <cellStyle name="Normal 2 4 2 4 2 7" xfId="2466" xr:uid="{00000000-0005-0000-0000-00005C0F0000}"/>
    <cellStyle name="Normal 2 4 2 4 2 7 2" xfId="6749" xr:uid="{00000000-0005-0000-0000-00005D0F0000}"/>
    <cellStyle name="Normal 2 4 2 4 2 7 2 2" xfId="15199" xr:uid="{85072FB4-1EBB-44E8-B18D-86AC7BB40E6B}"/>
    <cellStyle name="Normal 2 4 2 4 2 7 3" xfId="10981" xr:uid="{A1F01E77-8CED-4556-AF2A-B722B66340EE}"/>
    <cellStyle name="Normal 2 4 2 4 2 8" xfId="4683" xr:uid="{00000000-0005-0000-0000-00005E0F0000}"/>
    <cellStyle name="Normal 2 4 2 4 2 8 2" xfId="13133" xr:uid="{9F9F9DA0-78FE-49AA-9D87-E599F7E9AF1A}"/>
    <cellStyle name="Normal 2 4 2 4 2 9" xfId="8915" xr:uid="{8FFB6ED9-8AFD-4924-A58D-86D2002B8BD3}"/>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2 2 2" xfId="15694" xr:uid="{FFCB1BD7-559E-4D6D-976B-DFA4891A03F1}"/>
    <cellStyle name="Normal 2 4 2 4 3 2 2 3" xfId="11476" xr:uid="{489FE8B9-A954-4DCE-9174-3AC929A344A9}"/>
    <cellStyle name="Normal 2 4 2 4 3 2 3" xfId="5099" xr:uid="{00000000-0005-0000-0000-0000630F0000}"/>
    <cellStyle name="Normal 2 4 2 4 3 2 3 2" xfId="13549" xr:uid="{F1D398A5-B29A-44EE-A563-114D32D45E7D}"/>
    <cellStyle name="Normal 2 4 2 4 3 2 4" xfId="9331" xr:uid="{C57FD7FF-09BD-4160-89F9-27FED0EC7E80}"/>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2 2 2" xfId="16107" xr:uid="{34EE1834-0C9B-444D-8A53-B5A6E31C7AD3}"/>
    <cellStyle name="Normal 2 4 2 4 3 3 2 3" xfId="11889" xr:uid="{66B73D08-E147-4DD7-9C2D-F03A80771C9B}"/>
    <cellStyle name="Normal 2 4 2 4 3 3 3" xfId="5512" xr:uid="{00000000-0005-0000-0000-0000670F0000}"/>
    <cellStyle name="Normal 2 4 2 4 3 3 3 2" xfId="13962" xr:uid="{53B885C4-AB90-4EE8-86FF-27A749AE2308}"/>
    <cellStyle name="Normal 2 4 2 4 3 3 4" xfId="9744" xr:uid="{4A4698B5-2564-49E5-BDFF-2B0BD694AAAE}"/>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2 2 2" xfId="16520" xr:uid="{B08AEC5C-BC2A-47D7-B5EA-29A4F57BF39E}"/>
    <cellStyle name="Normal 2 4 2 4 3 4 2 3" xfId="12302" xr:uid="{2EBB5798-FAF3-48D1-BA93-EC1E6412AAAF}"/>
    <cellStyle name="Normal 2 4 2 4 3 4 3" xfId="5925" xr:uid="{00000000-0005-0000-0000-00006B0F0000}"/>
    <cellStyle name="Normal 2 4 2 4 3 4 3 2" xfId="14375" xr:uid="{A13E940C-8A47-421A-836F-70D82798D02F}"/>
    <cellStyle name="Normal 2 4 2 4 3 4 4" xfId="10157" xr:uid="{19C7FFA2-5EF3-4737-8E29-3FF536F713F4}"/>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2 2 2" xfId="16933" xr:uid="{A7DAEA9D-0458-4C5E-BEBB-414AC2878B44}"/>
    <cellStyle name="Normal 2 4 2 4 3 5 2 3" xfId="12715" xr:uid="{4CC837B7-6BEF-45A4-A058-64046C7A94C4}"/>
    <cellStyle name="Normal 2 4 2 4 3 5 3" xfId="6338" xr:uid="{00000000-0005-0000-0000-00006F0F0000}"/>
    <cellStyle name="Normal 2 4 2 4 3 5 3 2" xfId="14788" xr:uid="{FAF7E4B8-62EE-4903-A93D-7B9D5705CCC5}"/>
    <cellStyle name="Normal 2 4 2 4 3 5 4" xfId="10570" xr:uid="{1B5E0F0E-30FA-4246-8550-FABCF1351F06}"/>
    <cellStyle name="Normal 2 4 2 4 3 6" xfId="2468" xr:uid="{00000000-0005-0000-0000-0000700F0000}"/>
    <cellStyle name="Normal 2 4 2 4 3 6 2" xfId="6751" xr:uid="{00000000-0005-0000-0000-0000710F0000}"/>
    <cellStyle name="Normal 2 4 2 4 3 6 2 2" xfId="15201" xr:uid="{B24355E3-E495-4068-A02D-83CB93F447E3}"/>
    <cellStyle name="Normal 2 4 2 4 3 6 3" xfId="10983" xr:uid="{F55C45A2-3751-4CFE-AB8B-ABE09D2A9C67}"/>
    <cellStyle name="Normal 2 4 2 4 3 7" xfId="4685" xr:uid="{00000000-0005-0000-0000-0000720F0000}"/>
    <cellStyle name="Normal 2 4 2 4 3 7 2" xfId="13135" xr:uid="{57611B0B-3445-47D7-B5F5-DD3D25DAF46C}"/>
    <cellStyle name="Normal 2 4 2 4 3 8" xfId="8917" xr:uid="{B5211A15-1743-4CC0-8952-A94E5F89A14A}"/>
    <cellStyle name="Normal 2 4 2 4 4" xfId="780" xr:uid="{00000000-0005-0000-0000-0000730F0000}"/>
    <cellStyle name="Normal 2 4 2 4 4 2" xfId="3019" xr:uid="{00000000-0005-0000-0000-0000740F0000}"/>
    <cellStyle name="Normal 2 4 2 4 4 2 2" xfId="7241" xr:uid="{00000000-0005-0000-0000-0000750F0000}"/>
    <cellStyle name="Normal 2 4 2 4 4 2 2 2" xfId="15691" xr:uid="{59E830B1-FE75-4669-86EB-250DC7BA1728}"/>
    <cellStyle name="Normal 2 4 2 4 4 2 3" xfId="11473" xr:uid="{DAAD1C8F-DDD4-470B-827B-F999660B34D9}"/>
    <cellStyle name="Normal 2 4 2 4 4 3" xfId="5096" xr:uid="{00000000-0005-0000-0000-0000760F0000}"/>
    <cellStyle name="Normal 2 4 2 4 4 3 2" xfId="13546" xr:uid="{FA32B338-0CF9-4489-9942-039A49F82260}"/>
    <cellStyle name="Normal 2 4 2 4 4 4" xfId="9328" xr:uid="{D51EC23C-7D2E-4002-BD2C-0A53F5149F63}"/>
    <cellStyle name="Normal 2 4 2 4 5" xfId="1202" xr:uid="{00000000-0005-0000-0000-0000770F0000}"/>
    <cellStyle name="Normal 2 4 2 4 5 2" xfId="3432" xr:uid="{00000000-0005-0000-0000-0000780F0000}"/>
    <cellStyle name="Normal 2 4 2 4 5 2 2" xfId="7654" xr:uid="{00000000-0005-0000-0000-0000790F0000}"/>
    <cellStyle name="Normal 2 4 2 4 5 2 2 2" xfId="16104" xr:uid="{82F8AA44-5A78-41A4-9FE6-00C4884CCE2D}"/>
    <cellStyle name="Normal 2 4 2 4 5 2 3" xfId="11886" xr:uid="{AE296130-AED4-4AEF-8A17-C86CC8FD3B2A}"/>
    <cellStyle name="Normal 2 4 2 4 5 3" xfId="5509" xr:uid="{00000000-0005-0000-0000-00007A0F0000}"/>
    <cellStyle name="Normal 2 4 2 4 5 3 2" xfId="13959" xr:uid="{B34F4FAD-8E60-4290-8946-B0A6F3B8D980}"/>
    <cellStyle name="Normal 2 4 2 4 5 4" xfId="9741" xr:uid="{7B5949B7-702D-487A-8625-F7C88E47A800}"/>
    <cellStyle name="Normal 2 4 2 4 6" xfId="1615" xr:uid="{00000000-0005-0000-0000-00007B0F0000}"/>
    <cellStyle name="Normal 2 4 2 4 6 2" xfId="3845" xr:uid="{00000000-0005-0000-0000-00007C0F0000}"/>
    <cellStyle name="Normal 2 4 2 4 6 2 2" xfId="8067" xr:uid="{00000000-0005-0000-0000-00007D0F0000}"/>
    <cellStyle name="Normal 2 4 2 4 6 2 2 2" xfId="16517" xr:uid="{24692D37-8263-416D-918A-19C8B3CD5D6C}"/>
    <cellStyle name="Normal 2 4 2 4 6 2 3" xfId="12299" xr:uid="{72566C2F-9726-4BB1-8E9F-63A40902E93E}"/>
    <cellStyle name="Normal 2 4 2 4 6 3" xfId="5922" xr:uid="{00000000-0005-0000-0000-00007E0F0000}"/>
    <cellStyle name="Normal 2 4 2 4 6 3 2" xfId="14372" xr:uid="{ED8A9E9D-6AE0-49D1-BF30-3407CAFFEC2C}"/>
    <cellStyle name="Normal 2 4 2 4 6 4" xfId="10154" xr:uid="{BDE63AC6-889B-4397-963E-9DAC07B84753}"/>
    <cellStyle name="Normal 2 4 2 4 7" xfId="2029" xr:uid="{00000000-0005-0000-0000-00007F0F0000}"/>
    <cellStyle name="Normal 2 4 2 4 7 2" xfId="4258" xr:uid="{00000000-0005-0000-0000-0000800F0000}"/>
    <cellStyle name="Normal 2 4 2 4 7 2 2" xfId="8480" xr:uid="{00000000-0005-0000-0000-0000810F0000}"/>
    <cellStyle name="Normal 2 4 2 4 7 2 2 2" xfId="16930" xr:uid="{B3C37BA3-A862-47D9-AFB5-9E509802D57E}"/>
    <cellStyle name="Normal 2 4 2 4 7 2 3" xfId="12712" xr:uid="{37F429A9-6D36-4B61-A419-AA984BF84356}"/>
    <cellStyle name="Normal 2 4 2 4 7 3" xfId="6335" xr:uid="{00000000-0005-0000-0000-0000820F0000}"/>
    <cellStyle name="Normal 2 4 2 4 7 3 2" xfId="14785" xr:uid="{205F60B4-25B1-48EF-A2B0-C181B1DCEEFF}"/>
    <cellStyle name="Normal 2 4 2 4 7 4" xfId="10567" xr:uid="{A7A3C486-A2D6-4A99-B8E3-5A8DE37B30C4}"/>
    <cellStyle name="Normal 2 4 2 4 8" xfId="2465" xr:uid="{00000000-0005-0000-0000-0000830F0000}"/>
    <cellStyle name="Normal 2 4 2 4 8 2" xfId="6748" xr:uid="{00000000-0005-0000-0000-0000840F0000}"/>
    <cellStyle name="Normal 2 4 2 4 8 2 2" xfId="15198" xr:uid="{B9CF13E4-1133-44CA-90AC-472EB226B813}"/>
    <cellStyle name="Normal 2 4 2 4 8 3" xfId="10980" xr:uid="{C5A50BB8-DB2C-43AF-9739-AFB2D5CEF32F}"/>
    <cellStyle name="Normal 2 4 2 4 9" xfId="4682" xr:uid="{00000000-0005-0000-0000-0000850F0000}"/>
    <cellStyle name="Normal 2 4 2 4 9 2" xfId="13132" xr:uid="{7D9E5E34-690D-4ED7-9FF6-8F671ACA1F8E}"/>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2 2 2" xfId="15696" xr:uid="{80CF44D0-8F73-410E-B0D7-C7DA17603D41}"/>
    <cellStyle name="Normal 2 4 2 5 2 2 2 3" xfId="11478" xr:uid="{1606D38E-5819-41D8-A2FE-C49B888F014A}"/>
    <cellStyle name="Normal 2 4 2 5 2 2 3" xfId="5101" xr:uid="{00000000-0005-0000-0000-00008B0F0000}"/>
    <cellStyle name="Normal 2 4 2 5 2 2 3 2" xfId="13551" xr:uid="{5BBE77B2-B5F8-4F41-9BBD-69561A0E3808}"/>
    <cellStyle name="Normal 2 4 2 5 2 2 4" xfId="9333" xr:uid="{6785E581-7441-4C70-B727-64FFB9EAD805}"/>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2 2 2" xfId="16109" xr:uid="{9DF9176D-8F70-4E74-9F74-8E156511C92E}"/>
    <cellStyle name="Normal 2 4 2 5 2 3 2 3" xfId="11891" xr:uid="{7BBB6014-681E-44C1-878F-44BCC33D4B87}"/>
    <cellStyle name="Normal 2 4 2 5 2 3 3" xfId="5514" xr:uid="{00000000-0005-0000-0000-00008F0F0000}"/>
    <cellStyle name="Normal 2 4 2 5 2 3 3 2" xfId="13964" xr:uid="{49E64BDB-4E11-4CA0-A0A7-BCFAA693939B}"/>
    <cellStyle name="Normal 2 4 2 5 2 3 4" xfId="9746" xr:uid="{6F18066D-227B-4AA8-A9BE-6F341425A044}"/>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2 2 2" xfId="16522" xr:uid="{4DFBC638-0263-41F9-8341-96C2CF35C572}"/>
    <cellStyle name="Normal 2 4 2 5 2 4 2 3" xfId="12304" xr:uid="{06D7C013-7A98-4D72-8EE4-FA90EA705723}"/>
    <cellStyle name="Normal 2 4 2 5 2 4 3" xfId="5927" xr:uid="{00000000-0005-0000-0000-0000930F0000}"/>
    <cellStyle name="Normal 2 4 2 5 2 4 3 2" xfId="14377" xr:uid="{6A6FFF60-8058-4D74-9B14-65E72D5FBE8B}"/>
    <cellStyle name="Normal 2 4 2 5 2 4 4" xfId="10159" xr:uid="{34ED3CCE-1B3F-4854-81AE-E53BE33E8F49}"/>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2 2 2" xfId="16935" xr:uid="{2C63C69F-C956-4AF9-950E-E71B579BC198}"/>
    <cellStyle name="Normal 2 4 2 5 2 5 2 3" xfId="12717" xr:uid="{3D32EBB9-E75D-4440-8318-C8F3B4DE6009}"/>
    <cellStyle name="Normal 2 4 2 5 2 5 3" xfId="6340" xr:uid="{00000000-0005-0000-0000-0000970F0000}"/>
    <cellStyle name="Normal 2 4 2 5 2 5 3 2" xfId="14790" xr:uid="{F684D801-7B41-4604-88CF-D45D477AA416}"/>
    <cellStyle name="Normal 2 4 2 5 2 5 4" xfId="10572" xr:uid="{9C1A6069-0585-4386-B899-4B0399D1A3DF}"/>
    <cellStyle name="Normal 2 4 2 5 2 6" xfId="2470" xr:uid="{00000000-0005-0000-0000-0000980F0000}"/>
    <cellStyle name="Normal 2 4 2 5 2 6 2" xfId="6753" xr:uid="{00000000-0005-0000-0000-0000990F0000}"/>
    <cellStyle name="Normal 2 4 2 5 2 6 2 2" xfId="15203" xr:uid="{41E3530E-0242-4B17-B3B2-54EFC98A4908}"/>
    <cellStyle name="Normal 2 4 2 5 2 6 3" xfId="10985" xr:uid="{30ED2CCB-DEA7-4CCB-ADD9-3ABC80F3FD91}"/>
    <cellStyle name="Normal 2 4 2 5 2 7" xfId="4687" xr:uid="{00000000-0005-0000-0000-00009A0F0000}"/>
    <cellStyle name="Normal 2 4 2 5 2 7 2" xfId="13137" xr:uid="{484E7FFD-1E4A-40DB-BC38-4FC61248B4E3}"/>
    <cellStyle name="Normal 2 4 2 5 2 8" xfId="8919" xr:uid="{9984B602-4742-4F65-AB23-20A22F96A988}"/>
    <cellStyle name="Normal 2 4 2 5 3" xfId="784" xr:uid="{00000000-0005-0000-0000-00009B0F0000}"/>
    <cellStyle name="Normal 2 4 2 5 3 2" xfId="3023" xr:uid="{00000000-0005-0000-0000-00009C0F0000}"/>
    <cellStyle name="Normal 2 4 2 5 3 2 2" xfId="7245" xr:uid="{00000000-0005-0000-0000-00009D0F0000}"/>
    <cellStyle name="Normal 2 4 2 5 3 2 2 2" xfId="15695" xr:uid="{8D862E07-BE28-45CD-8078-21C82A6BE028}"/>
    <cellStyle name="Normal 2 4 2 5 3 2 3" xfId="11477" xr:uid="{CD083F40-224F-4B0D-9D53-1E9F7C693469}"/>
    <cellStyle name="Normal 2 4 2 5 3 3" xfId="5100" xr:uid="{00000000-0005-0000-0000-00009E0F0000}"/>
    <cellStyle name="Normal 2 4 2 5 3 3 2" xfId="13550" xr:uid="{EC3C0E6B-1D71-412A-8B2A-71AA63D22C6F}"/>
    <cellStyle name="Normal 2 4 2 5 3 4" xfId="9332" xr:uid="{E636D126-5D05-45D1-A65B-4EC63B30B961}"/>
    <cellStyle name="Normal 2 4 2 5 4" xfId="1206" xr:uid="{00000000-0005-0000-0000-00009F0F0000}"/>
    <cellStyle name="Normal 2 4 2 5 4 2" xfId="3436" xr:uid="{00000000-0005-0000-0000-0000A00F0000}"/>
    <cellStyle name="Normal 2 4 2 5 4 2 2" xfId="7658" xr:uid="{00000000-0005-0000-0000-0000A10F0000}"/>
    <cellStyle name="Normal 2 4 2 5 4 2 2 2" xfId="16108" xr:uid="{BECD45B0-E0BD-4D5A-851F-5BF7F25B3E8B}"/>
    <cellStyle name="Normal 2 4 2 5 4 2 3" xfId="11890" xr:uid="{9C43294F-47CC-400C-A86A-E1A147EE8D89}"/>
    <cellStyle name="Normal 2 4 2 5 4 3" xfId="5513" xr:uid="{00000000-0005-0000-0000-0000A20F0000}"/>
    <cellStyle name="Normal 2 4 2 5 4 3 2" xfId="13963" xr:uid="{43CA9762-8FEA-4833-A87E-7DA6B70F37A9}"/>
    <cellStyle name="Normal 2 4 2 5 4 4" xfId="9745" xr:uid="{A6359B13-9257-4060-89DE-CCDDC1E5D43C}"/>
    <cellStyle name="Normal 2 4 2 5 5" xfId="1619" xr:uid="{00000000-0005-0000-0000-0000A30F0000}"/>
    <cellStyle name="Normal 2 4 2 5 5 2" xfId="3849" xr:uid="{00000000-0005-0000-0000-0000A40F0000}"/>
    <cellStyle name="Normal 2 4 2 5 5 2 2" xfId="8071" xr:uid="{00000000-0005-0000-0000-0000A50F0000}"/>
    <cellStyle name="Normal 2 4 2 5 5 2 2 2" xfId="16521" xr:uid="{028D4D96-9928-49E0-8B4F-CBDD99944CB8}"/>
    <cellStyle name="Normal 2 4 2 5 5 2 3" xfId="12303" xr:uid="{8451E6AB-0FCC-43E0-AF99-635730B544DA}"/>
    <cellStyle name="Normal 2 4 2 5 5 3" xfId="5926" xr:uid="{00000000-0005-0000-0000-0000A60F0000}"/>
    <cellStyle name="Normal 2 4 2 5 5 3 2" xfId="14376" xr:uid="{5D4EEB55-3082-4CE6-B282-BCB782C9D39F}"/>
    <cellStyle name="Normal 2 4 2 5 5 4" xfId="10158" xr:uid="{74654218-1538-4B36-A8CA-44976BCA5D5B}"/>
    <cellStyle name="Normal 2 4 2 5 6" xfId="2033" xr:uid="{00000000-0005-0000-0000-0000A70F0000}"/>
    <cellStyle name="Normal 2 4 2 5 6 2" xfId="4262" xr:uid="{00000000-0005-0000-0000-0000A80F0000}"/>
    <cellStyle name="Normal 2 4 2 5 6 2 2" xfId="8484" xr:uid="{00000000-0005-0000-0000-0000A90F0000}"/>
    <cellStyle name="Normal 2 4 2 5 6 2 2 2" xfId="16934" xr:uid="{7FF2BF3A-7A5A-4996-9733-BE37EB8F2E87}"/>
    <cellStyle name="Normal 2 4 2 5 6 2 3" xfId="12716" xr:uid="{7D168577-F2E2-4EF9-A11E-DF33A4F97543}"/>
    <cellStyle name="Normal 2 4 2 5 6 3" xfId="6339" xr:uid="{00000000-0005-0000-0000-0000AA0F0000}"/>
    <cellStyle name="Normal 2 4 2 5 6 3 2" xfId="14789" xr:uid="{0A55C0FD-6C92-4A28-B682-657DAE14CEB5}"/>
    <cellStyle name="Normal 2 4 2 5 6 4" xfId="10571" xr:uid="{05ADCC14-D8E5-4BC8-B71A-4FC9C1440D05}"/>
    <cellStyle name="Normal 2 4 2 5 7" xfId="2469" xr:uid="{00000000-0005-0000-0000-0000AB0F0000}"/>
    <cellStyle name="Normal 2 4 2 5 7 2" xfId="6752" xr:uid="{00000000-0005-0000-0000-0000AC0F0000}"/>
    <cellStyle name="Normal 2 4 2 5 7 2 2" xfId="15202" xr:uid="{7691F15C-46A4-4D4F-9DFA-57244597AB4B}"/>
    <cellStyle name="Normal 2 4 2 5 7 3" xfId="10984" xr:uid="{CC33E00D-0D2C-4288-9282-DC3CDEBBAE88}"/>
    <cellStyle name="Normal 2 4 2 5 8" xfId="4686" xr:uid="{00000000-0005-0000-0000-0000AD0F0000}"/>
    <cellStyle name="Normal 2 4 2 5 8 2" xfId="13136" xr:uid="{431F7701-B5C6-454A-A9E5-DFCBD8BCBED8}"/>
    <cellStyle name="Normal 2 4 2 5 9" xfId="8918" xr:uid="{D0560FB6-216B-447F-B457-DE416DA84057}"/>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2 2 2" xfId="15697" xr:uid="{B1350B21-C370-4B80-A8C6-1B48151098FA}"/>
    <cellStyle name="Normal 2 4 2 6 2 2 3" xfId="11479" xr:uid="{025A03BE-164C-4D86-AFA9-BB87881140D6}"/>
    <cellStyle name="Normal 2 4 2 6 2 3" xfId="5102" xr:uid="{00000000-0005-0000-0000-0000B20F0000}"/>
    <cellStyle name="Normal 2 4 2 6 2 3 2" xfId="13552" xr:uid="{F8EE222A-2235-4F9F-98D1-A957F8395FFC}"/>
    <cellStyle name="Normal 2 4 2 6 2 4" xfId="9334" xr:uid="{AAF4D3BF-827F-40FE-921F-CDC6052B4EB8}"/>
    <cellStyle name="Normal 2 4 2 6 3" xfId="1208" xr:uid="{00000000-0005-0000-0000-0000B30F0000}"/>
    <cellStyle name="Normal 2 4 2 6 3 2" xfId="3438" xr:uid="{00000000-0005-0000-0000-0000B40F0000}"/>
    <cellStyle name="Normal 2 4 2 6 3 2 2" xfId="7660" xr:uid="{00000000-0005-0000-0000-0000B50F0000}"/>
    <cellStyle name="Normal 2 4 2 6 3 2 2 2" xfId="16110" xr:uid="{DAC61B64-628F-465B-ADC6-7B98E898F60D}"/>
    <cellStyle name="Normal 2 4 2 6 3 2 3" xfId="11892" xr:uid="{88F3C005-E300-4654-84F4-9CE91419E7AC}"/>
    <cellStyle name="Normal 2 4 2 6 3 3" xfId="5515" xr:uid="{00000000-0005-0000-0000-0000B60F0000}"/>
    <cellStyle name="Normal 2 4 2 6 3 3 2" xfId="13965" xr:uid="{1FE1B073-4BBC-4D30-8907-F762D589E9A7}"/>
    <cellStyle name="Normal 2 4 2 6 3 4" xfId="9747" xr:uid="{41982A5C-1776-45AA-92B4-A6C959947F87}"/>
    <cellStyle name="Normal 2 4 2 6 4" xfId="1621" xr:uid="{00000000-0005-0000-0000-0000B70F0000}"/>
    <cellStyle name="Normal 2 4 2 6 4 2" xfId="3851" xr:uid="{00000000-0005-0000-0000-0000B80F0000}"/>
    <cellStyle name="Normal 2 4 2 6 4 2 2" xfId="8073" xr:uid="{00000000-0005-0000-0000-0000B90F0000}"/>
    <cellStyle name="Normal 2 4 2 6 4 2 2 2" xfId="16523" xr:uid="{DEEA0E74-A619-4153-8144-16D642ACA3D3}"/>
    <cellStyle name="Normal 2 4 2 6 4 2 3" xfId="12305" xr:uid="{AAC7FB35-FEA4-4FED-9B54-3C8EDBCE495C}"/>
    <cellStyle name="Normal 2 4 2 6 4 3" xfId="5928" xr:uid="{00000000-0005-0000-0000-0000BA0F0000}"/>
    <cellStyle name="Normal 2 4 2 6 4 3 2" xfId="14378" xr:uid="{F1429C24-81B9-49D8-BAD6-BA57F8198DFC}"/>
    <cellStyle name="Normal 2 4 2 6 4 4" xfId="10160" xr:uid="{9AB2E352-45B2-402F-8B6A-D629D48D2AD6}"/>
    <cellStyle name="Normal 2 4 2 6 5" xfId="2035" xr:uid="{00000000-0005-0000-0000-0000BB0F0000}"/>
    <cellStyle name="Normal 2 4 2 6 5 2" xfId="4264" xr:uid="{00000000-0005-0000-0000-0000BC0F0000}"/>
    <cellStyle name="Normal 2 4 2 6 5 2 2" xfId="8486" xr:uid="{00000000-0005-0000-0000-0000BD0F0000}"/>
    <cellStyle name="Normal 2 4 2 6 5 2 2 2" xfId="16936" xr:uid="{7F859A7E-179D-4FFF-9334-2B479769AF3F}"/>
    <cellStyle name="Normal 2 4 2 6 5 2 3" xfId="12718" xr:uid="{0297BEB0-860A-46A9-B017-4159F2B4F458}"/>
    <cellStyle name="Normal 2 4 2 6 5 3" xfId="6341" xr:uid="{00000000-0005-0000-0000-0000BE0F0000}"/>
    <cellStyle name="Normal 2 4 2 6 5 3 2" xfId="14791" xr:uid="{71BF709C-3241-46CD-AABE-F7A49ED8FD2C}"/>
    <cellStyle name="Normal 2 4 2 6 5 4" xfId="10573" xr:uid="{654FF6F6-400E-459E-BE80-A343341DFAC8}"/>
    <cellStyle name="Normal 2 4 2 6 6" xfId="2471" xr:uid="{00000000-0005-0000-0000-0000BF0F0000}"/>
    <cellStyle name="Normal 2 4 2 6 6 2" xfId="6754" xr:uid="{00000000-0005-0000-0000-0000C00F0000}"/>
    <cellStyle name="Normal 2 4 2 6 6 2 2" xfId="15204" xr:uid="{8D0B5823-DB13-4D6A-A4F8-5F79AB40DE4D}"/>
    <cellStyle name="Normal 2 4 2 6 6 3" xfId="10986" xr:uid="{3BF89107-D9FF-42C4-B7B7-D35609449011}"/>
    <cellStyle name="Normal 2 4 2 6 7" xfId="4688" xr:uid="{00000000-0005-0000-0000-0000C10F0000}"/>
    <cellStyle name="Normal 2 4 2 6 7 2" xfId="13138" xr:uid="{C8B3BF0F-F3F4-4414-96F2-3130BFC22F7E}"/>
    <cellStyle name="Normal 2 4 2 6 8" xfId="8920" xr:uid="{D0E0CC53-99E0-4352-B635-161D05D18F25}"/>
    <cellStyle name="Normal 2 4 2 7" xfId="771" xr:uid="{00000000-0005-0000-0000-0000C20F0000}"/>
    <cellStyle name="Normal 2 4 2 7 2" xfId="3010" xr:uid="{00000000-0005-0000-0000-0000C30F0000}"/>
    <cellStyle name="Normal 2 4 2 7 2 2" xfId="7232" xr:uid="{00000000-0005-0000-0000-0000C40F0000}"/>
    <cellStyle name="Normal 2 4 2 7 2 2 2" xfId="15682" xr:uid="{DB6D2E86-B2F1-40F7-ADE3-31BCA82B6E83}"/>
    <cellStyle name="Normal 2 4 2 7 2 3" xfId="11464" xr:uid="{73A3402B-80DA-42C1-86D5-D2FC5CE1B82A}"/>
    <cellStyle name="Normal 2 4 2 7 3" xfId="5087" xr:uid="{00000000-0005-0000-0000-0000C50F0000}"/>
    <cellStyle name="Normal 2 4 2 7 3 2" xfId="13537" xr:uid="{4CF76616-07F6-4BF9-A1A9-5DDB47AA3C6B}"/>
    <cellStyle name="Normal 2 4 2 7 4" xfId="9319" xr:uid="{53A402CC-A2C4-48AE-9779-058764F38881}"/>
    <cellStyle name="Normal 2 4 2 8" xfId="1193" xr:uid="{00000000-0005-0000-0000-0000C60F0000}"/>
    <cellStyle name="Normal 2 4 2 8 2" xfId="3423" xr:uid="{00000000-0005-0000-0000-0000C70F0000}"/>
    <cellStyle name="Normal 2 4 2 8 2 2" xfId="7645" xr:uid="{00000000-0005-0000-0000-0000C80F0000}"/>
    <cellStyle name="Normal 2 4 2 8 2 2 2" xfId="16095" xr:uid="{6B6FCE13-6CFC-4E3A-BB20-7185FEED108B}"/>
    <cellStyle name="Normal 2 4 2 8 2 3" xfId="11877" xr:uid="{7279F638-F4F9-4708-8241-2ECB40ADE623}"/>
    <cellStyle name="Normal 2 4 2 8 3" xfId="5500" xr:uid="{00000000-0005-0000-0000-0000C90F0000}"/>
    <cellStyle name="Normal 2 4 2 8 3 2" xfId="13950" xr:uid="{9529487C-6951-4D36-826B-E5FCC049BECE}"/>
    <cellStyle name="Normal 2 4 2 8 4" xfId="9732" xr:uid="{2F640EBD-D855-44DE-9C2C-AB81B0909458}"/>
    <cellStyle name="Normal 2 4 2 9" xfId="1606" xr:uid="{00000000-0005-0000-0000-0000CA0F0000}"/>
    <cellStyle name="Normal 2 4 2 9 2" xfId="3836" xr:uid="{00000000-0005-0000-0000-0000CB0F0000}"/>
    <cellStyle name="Normal 2 4 2 9 2 2" xfId="8058" xr:uid="{00000000-0005-0000-0000-0000CC0F0000}"/>
    <cellStyle name="Normal 2 4 2 9 2 2 2" xfId="16508" xr:uid="{A032485A-15B5-4C27-B272-CA39A5DA01D6}"/>
    <cellStyle name="Normal 2 4 2 9 2 3" xfId="12290" xr:uid="{119CC7EF-3111-4845-9DB9-685BF1FED282}"/>
    <cellStyle name="Normal 2 4 2 9 3" xfId="5913" xr:uid="{00000000-0005-0000-0000-0000CD0F0000}"/>
    <cellStyle name="Normal 2 4 2 9 3 2" xfId="14363" xr:uid="{A2A7A2BF-F98A-401E-BEB5-34B8C6B87E94}"/>
    <cellStyle name="Normal 2 4 2 9 4" xfId="10145" xr:uid="{F97C8676-A47B-471F-B69B-AAB209996F2F}"/>
    <cellStyle name="Normal 2 4 3" xfId="296" xr:uid="{00000000-0005-0000-0000-0000CE0F0000}"/>
    <cellStyle name="Normal 2 4 3 10" xfId="8921" xr:uid="{B7E09B7F-D8AF-47FF-8888-0A94B934E922}"/>
    <cellStyle name="Normal 2 4 3 2" xfId="297" xr:uid="{00000000-0005-0000-0000-0000CF0F0000}"/>
    <cellStyle name="Normal 2 4 3 3" xfId="298" xr:uid="{00000000-0005-0000-0000-0000D00F0000}"/>
    <cellStyle name="Normal 2 4 3 3 10" xfId="8922" xr:uid="{20A32752-0144-4618-97AA-C9A12CEDC1DA}"/>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2 2 2" xfId="15701" xr:uid="{11A63AB3-66B5-4B0A-8582-3D24DEF5DDEF}"/>
    <cellStyle name="Normal 2 4 3 3 2 2 2 2 3" xfId="11483" xr:uid="{E0FAD723-44F0-44D8-A239-05E906200385}"/>
    <cellStyle name="Normal 2 4 3 3 2 2 2 3" xfId="5106" xr:uid="{00000000-0005-0000-0000-0000D60F0000}"/>
    <cellStyle name="Normal 2 4 3 3 2 2 2 3 2" xfId="13556" xr:uid="{3B46A2A5-1EE0-4CA7-8D64-DE409CBAC084}"/>
    <cellStyle name="Normal 2 4 3 3 2 2 2 4" xfId="9338" xr:uid="{3F8A68E9-24CA-4251-A878-AB81D4901C14}"/>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2 2 2" xfId="16114" xr:uid="{2A8A7016-6E6E-454D-BACF-336579426408}"/>
    <cellStyle name="Normal 2 4 3 3 2 2 3 2 3" xfId="11896" xr:uid="{FCF47C7E-1456-4DB1-A519-8D0630FFC469}"/>
    <cellStyle name="Normal 2 4 3 3 2 2 3 3" xfId="5519" xr:uid="{00000000-0005-0000-0000-0000DA0F0000}"/>
    <cellStyle name="Normal 2 4 3 3 2 2 3 3 2" xfId="13969" xr:uid="{020F6867-D41E-40E1-A4A8-8D850EFF561D}"/>
    <cellStyle name="Normal 2 4 3 3 2 2 3 4" xfId="9751" xr:uid="{86C90585-2E0B-4FC2-A4E8-1474F4DB7C05}"/>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2 2 2" xfId="16527" xr:uid="{7283E4C1-0DC8-428B-AE55-96FAA75862D2}"/>
    <cellStyle name="Normal 2 4 3 3 2 2 4 2 3" xfId="12309" xr:uid="{C254C12D-0A2C-4CEB-ACA0-0C06BB134CC3}"/>
    <cellStyle name="Normal 2 4 3 3 2 2 4 3" xfId="5932" xr:uid="{00000000-0005-0000-0000-0000DE0F0000}"/>
    <cellStyle name="Normal 2 4 3 3 2 2 4 3 2" xfId="14382" xr:uid="{AC6C4FDB-E049-42E5-8D1E-ECBC2C6AFDC3}"/>
    <cellStyle name="Normal 2 4 3 3 2 2 4 4" xfId="10164" xr:uid="{1802D948-5A0E-4DEE-8426-6A4BCE178E8D}"/>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2 2 2" xfId="16940" xr:uid="{439DD163-9467-46BD-9EBD-4143938298D6}"/>
    <cellStyle name="Normal 2 4 3 3 2 2 5 2 3" xfId="12722" xr:uid="{5D42AFAC-E7E6-4FB8-AB7A-5148B69197EB}"/>
    <cellStyle name="Normal 2 4 3 3 2 2 5 3" xfId="6345" xr:uid="{00000000-0005-0000-0000-0000E20F0000}"/>
    <cellStyle name="Normal 2 4 3 3 2 2 5 3 2" xfId="14795" xr:uid="{146C8098-19AF-4C9A-AFE9-95851D7A6E59}"/>
    <cellStyle name="Normal 2 4 3 3 2 2 5 4" xfId="10577" xr:uid="{0A9E2D8C-C706-45E0-829A-DB64EFE38DE7}"/>
    <cellStyle name="Normal 2 4 3 3 2 2 6" xfId="2475" xr:uid="{00000000-0005-0000-0000-0000E30F0000}"/>
    <cellStyle name="Normal 2 4 3 3 2 2 6 2" xfId="6758" xr:uid="{00000000-0005-0000-0000-0000E40F0000}"/>
    <cellStyle name="Normal 2 4 3 3 2 2 6 2 2" xfId="15208" xr:uid="{2BD3B50E-96D4-4FE1-BB22-1C7207104F53}"/>
    <cellStyle name="Normal 2 4 3 3 2 2 6 3" xfId="10990" xr:uid="{DD99526E-498A-4A86-8102-4479A626A9F5}"/>
    <cellStyle name="Normal 2 4 3 3 2 2 7" xfId="4692" xr:uid="{00000000-0005-0000-0000-0000E50F0000}"/>
    <cellStyle name="Normal 2 4 3 3 2 2 7 2" xfId="13142" xr:uid="{9D3E4D41-97DB-468A-9CCA-335D583CE8C9}"/>
    <cellStyle name="Normal 2 4 3 3 2 2 8" xfId="8924" xr:uid="{4587DC5D-9E1A-49C4-98E8-6FB515A8010E}"/>
    <cellStyle name="Normal 2 4 3 3 2 3" xfId="789" xr:uid="{00000000-0005-0000-0000-0000E60F0000}"/>
    <cellStyle name="Normal 2 4 3 3 2 3 2" xfId="3028" xr:uid="{00000000-0005-0000-0000-0000E70F0000}"/>
    <cellStyle name="Normal 2 4 3 3 2 3 2 2" xfId="7250" xr:uid="{00000000-0005-0000-0000-0000E80F0000}"/>
    <cellStyle name="Normal 2 4 3 3 2 3 2 2 2" xfId="15700" xr:uid="{1F0BA257-E44B-4530-9C80-9533479F8867}"/>
    <cellStyle name="Normal 2 4 3 3 2 3 2 3" xfId="11482" xr:uid="{12DE98EF-BB30-4158-8FD8-6ED597A736A0}"/>
    <cellStyle name="Normal 2 4 3 3 2 3 3" xfId="5105" xr:uid="{00000000-0005-0000-0000-0000E90F0000}"/>
    <cellStyle name="Normal 2 4 3 3 2 3 3 2" xfId="13555" xr:uid="{4225FEFF-BFDA-4EDB-8378-A977B28E764F}"/>
    <cellStyle name="Normal 2 4 3 3 2 3 4" xfId="9337" xr:uid="{8C04F341-BAA3-4B63-9838-E3FEB963C563}"/>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2 2 2" xfId="16113" xr:uid="{0E58AD71-BAF4-4F83-9206-C2A02EB09987}"/>
    <cellStyle name="Normal 2 4 3 3 2 4 2 3" xfId="11895" xr:uid="{8F7A4522-B15A-44A2-AEEA-52B9BF8107FC}"/>
    <cellStyle name="Normal 2 4 3 3 2 4 3" xfId="5518" xr:uid="{00000000-0005-0000-0000-0000ED0F0000}"/>
    <cellStyle name="Normal 2 4 3 3 2 4 3 2" xfId="13968" xr:uid="{257A4475-8B92-472F-909F-05636447F4B3}"/>
    <cellStyle name="Normal 2 4 3 3 2 4 4" xfId="9750" xr:uid="{93D5083B-9110-4D33-AFBB-F14DCE6C4FB2}"/>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2 2 2" xfId="16526" xr:uid="{D5D64676-7B33-4680-8104-A33D14E41117}"/>
    <cellStyle name="Normal 2 4 3 3 2 5 2 3" xfId="12308" xr:uid="{3F3CBA18-4BE5-4B9B-BC21-ED1283EBC313}"/>
    <cellStyle name="Normal 2 4 3 3 2 5 3" xfId="5931" xr:uid="{00000000-0005-0000-0000-0000F10F0000}"/>
    <cellStyle name="Normal 2 4 3 3 2 5 3 2" xfId="14381" xr:uid="{EB480648-E76C-4094-A246-606F9323C18E}"/>
    <cellStyle name="Normal 2 4 3 3 2 5 4" xfId="10163" xr:uid="{B8E6A8B5-FD63-4628-9550-5AB5342A5665}"/>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2 2 2" xfId="16939" xr:uid="{4A1A7C0C-5A26-4104-BD3C-67E776326AE5}"/>
    <cellStyle name="Normal 2 4 3 3 2 6 2 3" xfId="12721" xr:uid="{8CC0B034-CDB1-475C-BAA5-791D7F239896}"/>
    <cellStyle name="Normal 2 4 3 3 2 6 3" xfId="6344" xr:uid="{00000000-0005-0000-0000-0000F50F0000}"/>
    <cellStyle name="Normal 2 4 3 3 2 6 3 2" xfId="14794" xr:uid="{F23F777A-FF15-478A-870D-7FA70F1C1538}"/>
    <cellStyle name="Normal 2 4 3 3 2 6 4" xfId="10576" xr:uid="{58ADE3FD-F343-4D48-8C1A-14B5DC7FF232}"/>
    <cellStyle name="Normal 2 4 3 3 2 7" xfId="2474" xr:uid="{00000000-0005-0000-0000-0000F60F0000}"/>
    <cellStyle name="Normal 2 4 3 3 2 7 2" xfId="6757" xr:uid="{00000000-0005-0000-0000-0000F70F0000}"/>
    <cellStyle name="Normal 2 4 3 3 2 7 2 2" xfId="15207" xr:uid="{691F7C6E-64AF-402A-B816-0C5C9888104C}"/>
    <cellStyle name="Normal 2 4 3 3 2 7 3" xfId="10989" xr:uid="{D43E5A10-A3BD-401B-9D70-612AAB9DC6D4}"/>
    <cellStyle name="Normal 2 4 3 3 2 8" xfId="4691" xr:uid="{00000000-0005-0000-0000-0000F80F0000}"/>
    <cellStyle name="Normal 2 4 3 3 2 8 2" xfId="13141" xr:uid="{8118C634-6550-4A01-AB2C-94B42390F8F3}"/>
    <cellStyle name="Normal 2 4 3 3 2 9" xfId="8923" xr:uid="{48FC8A53-1CEC-4408-8F6A-858EB8D58749}"/>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2 2 2" xfId="15702" xr:uid="{26EAD430-0AE3-4CC7-B26D-E0C82F543A2A}"/>
    <cellStyle name="Normal 2 4 3 3 3 2 2 3" xfId="11484" xr:uid="{7CECC8F7-AB73-4609-88D0-B30E54D686C5}"/>
    <cellStyle name="Normal 2 4 3 3 3 2 3" xfId="5107" xr:uid="{00000000-0005-0000-0000-0000FD0F0000}"/>
    <cellStyle name="Normal 2 4 3 3 3 2 3 2" xfId="13557" xr:uid="{52E28D88-0882-40E8-A73B-11E9D8297391}"/>
    <cellStyle name="Normal 2 4 3 3 3 2 4" xfId="9339" xr:uid="{ECFF6830-ABE8-4777-BEC3-9B2AD41338D1}"/>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2 2 2" xfId="16115" xr:uid="{FC611819-CB87-4022-9D6D-BFA636A4E4CE}"/>
    <cellStyle name="Normal 2 4 3 3 3 3 2 3" xfId="11897" xr:uid="{0DC5071B-7D55-4A5B-ABF6-57FC7430367C}"/>
    <cellStyle name="Normal 2 4 3 3 3 3 3" xfId="5520" xr:uid="{00000000-0005-0000-0000-000001100000}"/>
    <cellStyle name="Normal 2 4 3 3 3 3 3 2" xfId="13970" xr:uid="{20BEED35-EE68-4720-B77C-C959A2BB84F6}"/>
    <cellStyle name="Normal 2 4 3 3 3 3 4" xfId="9752" xr:uid="{01F69FB2-0AA3-45BE-82AC-468AA08C39EA}"/>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2 2 2" xfId="16528" xr:uid="{F23E865D-9889-466C-BA40-8188F1047410}"/>
    <cellStyle name="Normal 2 4 3 3 3 4 2 3" xfId="12310" xr:uid="{99DEE276-42FD-44AC-9C60-2CA8B1CC90EB}"/>
    <cellStyle name="Normal 2 4 3 3 3 4 3" xfId="5933" xr:uid="{00000000-0005-0000-0000-000005100000}"/>
    <cellStyle name="Normal 2 4 3 3 3 4 3 2" xfId="14383" xr:uid="{CC3A1B49-F14A-4EC8-992A-5593CF195667}"/>
    <cellStyle name="Normal 2 4 3 3 3 4 4" xfId="10165" xr:uid="{96FC436C-CCC6-400B-BD91-0F0C5071CCFB}"/>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2 2 2" xfId="16941" xr:uid="{8A3A62D6-0366-4FC5-AA3C-AD9B94864D07}"/>
    <cellStyle name="Normal 2 4 3 3 3 5 2 3" xfId="12723" xr:uid="{E2FA5B3E-3969-4FA6-95DD-5051AAE3A4CD}"/>
    <cellStyle name="Normal 2 4 3 3 3 5 3" xfId="6346" xr:uid="{00000000-0005-0000-0000-000009100000}"/>
    <cellStyle name="Normal 2 4 3 3 3 5 3 2" xfId="14796" xr:uid="{71823C5E-83F5-4D02-82A0-82080787BB50}"/>
    <cellStyle name="Normal 2 4 3 3 3 5 4" xfId="10578" xr:uid="{8755BFCD-0D18-4019-9C37-DCDA32462AD8}"/>
    <cellStyle name="Normal 2 4 3 3 3 6" xfId="2476" xr:uid="{00000000-0005-0000-0000-00000A100000}"/>
    <cellStyle name="Normal 2 4 3 3 3 6 2" xfId="6759" xr:uid="{00000000-0005-0000-0000-00000B100000}"/>
    <cellStyle name="Normal 2 4 3 3 3 6 2 2" xfId="15209" xr:uid="{43EC22EF-F7A2-44EF-B74B-B4F920D0DE52}"/>
    <cellStyle name="Normal 2 4 3 3 3 6 3" xfId="10991" xr:uid="{71EA5FE6-A4F7-4B70-B8F0-1FDC844E7EA8}"/>
    <cellStyle name="Normal 2 4 3 3 3 7" xfId="4693" xr:uid="{00000000-0005-0000-0000-00000C100000}"/>
    <cellStyle name="Normal 2 4 3 3 3 7 2" xfId="13143" xr:uid="{7EFBDC6C-2A9C-459C-BDFF-61A134307E89}"/>
    <cellStyle name="Normal 2 4 3 3 3 8" xfId="8925" xr:uid="{9101B01B-07A5-4977-98F3-FB12DF3DCBDB}"/>
    <cellStyle name="Normal 2 4 3 3 4" xfId="788" xr:uid="{00000000-0005-0000-0000-00000D100000}"/>
    <cellStyle name="Normal 2 4 3 3 4 2" xfId="3027" xr:uid="{00000000-0005-0000-0000-00000E100000}"/>
    <cellStyle name="Normal 2 4 3 3 4 2 2" xfId="7249" xr:uid="{00000000-0005-0000-0000-00000F100000}"/>
    <cellStyle name="Normal 2 4 3 3 4 2 2 2" xfId="15699" xr:uid="{64C797D4-A35F-4D28-ACFE-4E36E0ACE3B8}"/>
    <cellStyle name="Normal 2 4 3 3 4 2 3" xfId="11481" xr:uid="{D1823403-763B-4A9C-B89F-18DB7DA47E5A}"/>
    <cellStyle name="Normal 2 4 3 3 4 3" xfId="5104" xr:uid="{00000000-0005-0000-0000-000010100000}"/>
    <cellStyle name="Normal 2 4 3 3 4 3 2" xfId="13554" xr:uid="{69475034-E908-42F2-9D80-53940F7ACD44}"/>
    <cellStyle name="Normal 2 4 3 3 4 4" xfId="9336" xr:uid="{2625B590-7488-4E9A-95A2-04BD28D7EFED}"/>
    <cellStyle name="Normal 2 4 3 3 5" xfId="1210" xr:uid="{00000000-0005-0000-0000-000011100000}"/>
    <cellStyle name="Normal 2 4 3 3 5 2" xfId="3440" xr:uid="{00000000-0005-0000-0000-000012100000}"/>
    <cellStyle name="Normal 2 4 3 3 5 2 2" xfId="7662" xr:uid="{00000000-0005-0000-0000-000013100000}"/>
    <cellStyle name="Normal 2 4 3 3 5 2 2 2" xfId="16112" xr:uid="{F55FF48C-DF33-47D7-B24F-24599D1B1A45}"/>
    <cellStyle name="Normal 2 4 3 3 5 2 3" xfId="11894" xr:uid="{9F634B2A-5C9F-41C5-A19C-14C3EB4E27B5}"/>
    <cellStyle name="Normal 2 4 3 3 5 3" xfId="5517" xr:uid="{00000000-0005-0000-0000-000014100000}"/>
    <cellStyle name="Normal 2 4 3 3 5 3 2" xfId="13967" xr:uid="{54BCAE66-F1C1-4273-813D-15A9BBE0AAA2}"/>
    <cellStyle name="Normal 2 4 3 3 5 4" xfId="9749" xr:uid="{F0E3D399-E8D8-47B8-8003-A758AB639F07}"/>
    <cellStyle name="Normal 2 4 3 3 6" xfId="1623" xr:uid="{00000000-0005-0000-0000-000015100000}"/>
    <cellStyle name="Normal 2 4 3 3 6 2" xfId="3853" xr:uid="{00000000-0005-0000-0000-000016100000}"/>
    <cellStyle name="Normal 2 4 3 3 6 2 2" xfId="8075" xr:uid="{00000000-0005-0000-0000-000017100000}"/>
    <cellStyle name="Normal 2 4 3 3 6 2 2 2" xfId="16525" xr:uid="{FB7D9E4B-8E34-4B57-B4D3-17FCD6FBD7E9}"/>
    <cellStyle name="Normal 2 4 3 3 6 2 3" xfId="12307" xr:uid="{6C7118D2-F51B-4EC7-B2D6-0EA0AD6D1D09}"/>
    <cellStyle name="Normal 2 4 3 3 6 3" xfId="5930" xr:uid="{00000000-0005-0000-0000-000018100000}"/>
    <cellStyle name="Normal 2 4 3 3 6 3 2" xfId="14380" xr:uid="{42029FA8-54A2-4D1A-A8F3-FB096C6D4769}"/>
    <cellStyle name="Normal 2 4 3 3 6 4" xfId="10162" xr:uid="{DEE4C29F-3723-424F-BD69-04B1A6ED4FD1}"/>
    <cellStyle name="Normal 2 4 3 3 7" xfId="2037" xr:uid="{00000000-0005-0000-0000-000019100000}"/>
    <cellStyle name="Normal 2 4 3 3 7 2" xfId="4266" xr:uid="{00000000-0005-0000-0000-00001A100000}"/>
    <cellStyle name="Normal 2 4 3 3 7 2 2" xfId="8488" xr:uid="{00000000-0005-0000-0000-00001B100000}"/>
    <cellStyle name="Normal 2 4 3 3 7 2 2 2" xfId="16938" xr:uid="{523B0B61-5C90-4B7D-800E-640CFB9560A2}"/>
    <cellStyle name="Normal 2 4 3 3 7 2 3" xfId="12720" xr:uid="{EEA25BF8-2314-4088-964C-8DEB0C28081F}"/>
    <cellStyle name="Normal 2 4 3 3 7 3" xfId="6343" xr:uid="{00000000-0005-0000-0000-00001C100000}"/>
    <cellStyle name="Normal 2 4 3 3 7 3 2" xfId="14793" xr:uid="{5CD3C477-F75D-48D3-B9F0-5FFAB8598F56}"/>
    <cellStyle name="Normal 2 4 3 3 7 4" xfId="10575" xr:uid="{61EE5DD0-4851-425A-8F29-F19FB5DAF30D}"/>
    <cellStyle name="Normal 2 4 3 3 8" xfId="2473" xr:uid="{00000000-0005-0000-0000-00001D100000}"/>
    <cellStyle name="Normal 2 4 3 3 8 2" xfId="6756" xr:uid="{00000000-0005-0000-0000-00001E100000}"/>
    <cellStyle name="Normal 2 4 3 3 8 2 2" xfId="15206" xr:uid="{6F3462D3-07F4-40FF-970C-4F2F61F170D5}"/>
    <cellStyle name="Normal 2 4 3 3 8 3" xfId="10988" xr:uid="{BC37CAB8-6335-4944-B866-EAE61171EC7B}"/>
    <cellStyle name="Normal 2 4 3 3 9" xfId="4690" xr:uid="{00000000-0005-0000-0000-00001F100000}"/>
    <cellStyle name="Normal 2 4 3 3 9 2" xfId="13140" xr:uid="{7681FE81-CE2D-484E-BBEE-0876AA86E6B6}"/>
    <cellStyle name="Normal 2 4 3 4" xfId="787" xr:uid="{00000000-0005-0000-0000-000020100000}"/>
    <cellStyle name="Normal 2 4 3 4 2" xfId="3026" xr:uid="{00000000-0005-0000-0000-000021100000}"/>
    <cellStyle name="Normal 2 4 3 4 2 2" xfId="7248" xr:uid="{00000000-0005-0000-0000-000022100000}"/>
    <cellStyle name="Normal 2 4 3 4 2 2 2" xfId="15698" xr:uid="{4F0D6D1B-EE80-45FA-8476-D6E1833538CA}"/>
    <cellStyle name="Normal 2 4 3 4 2 3" xfId="11480" xr:uid="{A89E24D1-1674-4E6C-B9CE-B8146250F5C0}"/>
    <cellStyle name="Normal 2 4 3 4 3" xfId="5103" xr:uid="{00000000-0005-0000-0000-000023100000}"/>
    <cellStyle name="Normal 2 4 3 4 3 2" xfId="13553" xr:uid="{A7682E39-954A-444B-966B-128C3EA334A5}"/>
    <cellStyle name="Normal 2 4 3 4 4" xfId="9335" xr:uid="{C582D529-6CB3-45F5-95E3-FB3DD9CF27FC}"/>
    <cellStyle name="Normal 2 4 3 5" xfId="1209" xr:uid="{00000000-0005-0000-0000-000024100000}"/>
    <cellStyle name="Normal 2 4 3 5 2" xfId="3439" xr:uid="{00000000-0005-0000-0000-000025100000}"/>
    <cellStyle name="Normal 2 4 3 5 2 2" xfId="7661" xr:uid="{00000000-0005-0000-0000-000026100000}"/>
    <cellStyle name="Normal 2 4 3 5 2 2 2" xfId="16111" xr:uid="{2A748AC0-FAFE-4073-93D7-6C1D81D8D62E}"/>
    <cellStyle name="Normal 2 4 3 5 2 3" xfId="11893" xr:uid="{A005B5A8-ACA1-4776-BD65-077EDC318EC8}"/>
    <cellStyle name="Normal 2 4 3 5 3" xfId="5516" xr:uid="{00000000-0005-0000-0000-000027100000}"/>
    <cellStyle name="Normal 2 4 3 5 3 2" xfId="13966" xr:uid="{9781773D-F9B6-4284-B051-E86F1ABB205F}"/>
    <cellStyle name="Normal 2 4 3 5 4" xfId="9748" xr:uid="{817E5B95-F9C5-4D4C-9306-35DCC9533EBD}"/>
    <cellStyle name="Normal 2 4 3 6" xfId="1622" xr:uid="{00000000-0005-0000-0000-000028100000}"/>
    <cellStyle name="Normal 2 4 3 6 2" xfId="3852" xr:uid="{00000000-0005-0000-0000-000029100000}"/>
    <cellStyle name="Normal 2 4 3 6 2 2" xfId="8074" xr:uid="{00000000-0005-0000-0000-00002A100000}"/>
    <cellStyle name="Normal 2 4 3 6 2 2 2" xfId="16524" xr:uid="{D9D1994B-4FF4-4C4B-A48B-62EFFA7BCF77}"/>
    <cellStyle name="Normal 2 4 3 6 2 3" xfId="12306" xr:uid="{02AF7AA1-36DB-4AA4-9A48-05CF1C29C10A}"/>
    <cellStyle name="Normal 2 4 3 6 3" xfId="5929" xr:uid="{00000000-0005-0000-0000-00002B100000}"/>
    <cellStyle name="Normal 2 4 3 6 3 2" xfId="14379" xr:uid="{2C9284E6-9AAD-4344-B27A-E5B3A1947D7A}"/>
    <cellStyle name="Normal 2 4 3 6 4" xfId="10161" xr:uid="{20EB0835-EB69-4306-AB65-193CD27F926A}"/>
    <cellStyle name="Normal 2 4 3 7" xfId="2036" xr:uid="{00000000-0005-0000-0000-00002C100000}"/>
    <cellStyle name="Normal 2 4 3 7 2" xfId="4265" xr:uid="{00000000-0005-0000-0000-00002D100000}"/>
    <cellStyle name="Normal 2 4 3 7 2 2" xfId="8487" xr:uid="{00000000-0005-0000-0000-00002E100000}"/>
    <cellStyle name="Normal 2 4 3 7 2 2 2" xfId="16937" xr:uid="{0BF2B85F-46F6-417E-A6CB-8F19FD5CEBC5}"/>
    <cellStyle name="Normal 2 4 3 7 2 3" xfId="12719" xr:uid="{14398B45-2B1F-4405-9B56-AB43D2CC1F54}"/>
    <cellStyle name="Normal 2 4 3 7 3" xfId="6342" xr:uid="{00000000-0005-0000-0000-00002F100000}"/>
    <cellStyle name="Normal 2 4 3 7 3 2" xfId="14792" xr:uid="{89DE4E0C-EF26-48A5-9401-690166346960}"/>
    <cellStyle name="Normal 2 4 3 7 4" xfId="10574" xr:uid="{663DB614-A312-41A0-A64A-73E06B7747EB}"/>
    <cellStyle name="Normal 2 4 3 8" xfId="2472" xr:uid="{00000000-0005-0000-0000-000030100000}"/>
    <cellStyle name="Normal 2 4 3 8 2" xfId="6755" xr:uid="{00000000-0005-0000-0000-000031100000}"/>
    <cellStyle name="Normal 2 4 3 8 2 2" xfId="15205" xr:uid="{17808AD2-6ABF-4A4B-A5DF-602FCEE725A3}"/>
    <cellStyle name="Normal 2 4 3 8 3" xfId="10987" xr:uid="{34DDE13A-0A44-4436-8734-D177AB8D01E9}"/>
    <cellStyle name="Normal 2 4 3 9" xfId="4689" xr:uid="{00000000-0005-0000-0000-000032100000}"/>
    <cellStyle name="Normal 2 4 3 9 2" xfId="13139" xr:uid="{A432B0A5-A98D-4CB5-9942-CE5F0DF4D25D}"/>
    <cellStyle name="Normal 2 4 4" xfId="302" xr:uid="{00000000-0005-0000-0000-000033100000}"/>
    <cellStyle name="Normal 2 4 5" xfId="303" xr:uid="{00000000-0005-0000-0000-000034100000}"/>
    <cellStyle name="Normal 2 4 5 10" xfId="4694" xr:uid="{00000000-0005-0000-0000-000035100000}"/>
    <cellStyle name="Normal 2 4 5 10 2" xfId="13144" xr:uid="{B6D43BC1-C337-4132-A5A4-88FB3C9A4FA3}"/>
    <cellStyle name="Normal 2 4 5 11" xfId="8926" xr:uid="{3538FEC7-FCAF-4D7A-B88F-B059EFF89F82}"/>
    <cellStyle name="Normal 2 4 5 2" xfId="304" xr:uid="{00000000-0005-0000-0000-000036100000}"/>
    <cellStyle name="Normal 2 4 5 2 10" xfId="8927" xr:uid="{E402A519-536E-45B8-A9FF-4E872CFF9B59}"/>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2 2 2" xfId="15706" xr:uid="{8DBDA600-FF30-412C-BB18-290C06F4471D}"/>
    <cellStyle name="Normal 2 4 5 2 2 2 2 2 3" xfId="11488" xr:uid="{C579DA15-A929-4A1D-973F-0BA55966E1D2}"/>
    <cellStyle name="Normal 2 4 5 2 2 2 2 3" xfId="5111" xr:uid="{00000000-0005-0000-0000-00003C100000}"/>
    <cellStyle name="Normal 2 4 5 2 2 2 2 3 2" xfId="13561" xr:uid="{C189A607-8D6E-4A84-9C7D-FF0A8DBE8A90}"/>
    <cellStyle name="Normal 2 4 5 2 2 2 2 4" xfId="9343" xr:uid="{0D196022-5E7C-4D72-B391-68F5726D546D}"/>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2 2 2" xfId="16119" xr:uid="{79597C90-C7A9-4C46-B20A-4DE852603CAA}"/>
    <cellStyle name="Normal 2 4 5 2 2 2 3 2 3" xfId="11901" xr:uid="{0AAECC89-D897-4184-9F82-3FB5908D1348}"/>
    <cellStyle name="Normal 2 4 5 2 2 2 3 3" xfId="5524" xr:uid="{00000000-0005-0000-0000-000040100000}"/>
    <cellStyle name="Normal 2 4 5 2 2 2 3 3 2" xfId="13974" xr:uid="{001DCF3E-FB3D-471F-B99B-8E0758F30DC6}"/>
    <cellStyle name="Normal 2 4 5 2 2 2 3 4" xfId="9756" xr:uid="{3462AC09-016A-4758-8B1E-3092B17F3336}"/>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2 2 2" xfId="16532" xr:uid="{68897994-70CF-4076-B8F2-D65F26B00105}"/>
    <cellStyle name="Normal 2 4 5 2 2 2 4 2 3" xfId="12314" xr:uid="{FB4E4F91-C1EC-4E80-AD7C-C6E40ABF5006}"/>
    <cellStyle name="Normal 2 4 5 2 2 2 4 3" xfId="5937" xr:uid="{00000000-0005-0000-0000-000044100000}"/>
    <cellStyle name="Normal 2 4 5 2 2 2 4 3 2" xfId="14387" xr:uid="{1291945C-323C-4030-A523-F08B82DAC24D}"/>
    <cellStyle name="Normal 2 4 5 2 2 2 4 4" xfId="10169" xr:uid="{0AD1FCDF-4A9D-4696-93D8-C36ADE76F434}"/>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2 2 2" xfId="16945" xr:uid="{E9951F3B-27CC-4984-B231-C356E60B34C8}"/>
    <cellStyle name="Normal 2 4 5 2 2 2 5 2 3" xfId="12727" xr:uid="{4E5034C1-C3C3-4E9E-A11B-8A1CD0BB8E2F}"/>
    <cellStyle name="Normal 2 4 5 2 2 2 5 3" xfId="6350" xr:uid="{00000000-0005-0000-0000-000048100000}"/>
    <cellStyle name="Normal 2 4 5 2 2 2 5 3 2" xfId="14800" xr:uid="{D62DED4B-74D5-4C07-ABDB-04BD2C650C69}"/>
    <cellStyle name="Normal 2 4 5 2 2 2 5 4" xfId="10582" xr:uid="{ACC62BE2-5C29-461A-A35F-2C809E974E0E}"/>
    <cellStyle name="Normal 2 4 5 2 2 2 6" xfId="2480" xr:uid="{00000000-0005-0000-0000-000049100000}"/>
    <cellStyle name="Normal 2 4 5 2 2 2 6 2" xfId="6763" xr:uid="{00000000-0005-0000-0000-00004A100000}"/>
    <cellStyle name="Normal 2 4 5 2 2 2 6 2 2" xfId="15213" xr:uid="{2543888B-1DB6-4F55-8F13-8C1D40B01F0D}"/>
    <cellStyle name="Normal 2 4 5 2 2 2 6 3" xfId="10995" xr:uid="{5826273A-B0A6-4748-9063-588AB951F6DD}"/>
    <cellStyle name="Normal 2 4 5 2 2 2 7" xfId="4697" xr:uid="{00000000-0005-0000-0000-00004B100000}"/>
    <cellStyle name="Normal 2 4 5 2 2 2 7 2" xfId="13147" xr:uid="{9D4774CA-6DD5-428C-9B47-721301C0F1FE}"/>
    <cellStyle name="Normal 2 4 5 2 2 2 8" xfId="8929" xr:uid="{1DE431BF-12BD-45E6-BE9E-B898E6B1C6D6}"/>
    <cellStyle name="Normal 2 4 5 2 2 3" xfId="794" xr:uid="{00000000-0005-0000-0000-00004C100000}"/>
    <cellStyle name="Normal 2 4 5 2 2 3 2" xfId="3033" xr:uid="{00000000-0005-0000-0000-00004D100000}"/>
    <cellStyle name="Normal 2 4 5 2 2 3 2 2" xfId="7255" xr:uid="{00000000-0005-0000-0000-00004E100000}"/>
    <cellStyle name="Normal 2 4 5 2 2 3 2 2 2" xfId="15705" xr:uid="{787E39CD-4BB6-481C-9593-998269524C53}"/>
    <cellStyle name="Normal 2 4 5 2 2 3 2 3" xfId="11487" xr:uid="{77736B7C-302E-4C5A-94C8-7F5C3645FD02}"/>
    <cellStyle name="Normal 2 4 5 2 2 3 3" xfId="5110" xr:uid="{00000000-0005-0000-0000-00004F100000}"/>
    <cellStyle name="Normal 2 4 5 2 2 3 3 2" xfId="13560" xr:uid="{7918451B-ABA1-48F7-B6DD-8A42F89AF7B6}"/>
    <cellStyle name="Normal 2 4 5 2 2 3 4" xfId="9342" xr:uid="{7A9D5013-9E31-4C19-B953-82EE32785CF3}"/>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2 2 2" xfId="16118" xr:uid="{6DB5EDD7-6B67-4B9E-A75E-A83370F45466}"/>
    <cellStyle name="Normal 2 4 5 2 2 4 2 3" xfId="11900" xr:uid="{976B2D8B-3C22-451A-93D6-EECD9DCFFAE5}"/>
    <cellStyle name="Normal 2 4 5 2 2 4 3" xfId="5523" xr:uid="{00000000-0005-0000-0000-000053100000}"/>
    <cellStyle name="Normal 2 4 5 2 2 4 3 2" xfId="13973" xr:uid="{63A37620-E5AB-4B0F-9498-A411B0CBBF9C}"/>
    <cellStyle name="Normal 2 4 5 2 2 4 4" xfId="9755" xr:uid="{41127ECF-D8C7-4E07-B5CD-C31A90D27308}"/>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2 2 2" xfId="16531" xr:uid="{F5C50D15-6F15-48C4-9E91-601561C08123}"/>
    <cellStyle name="Normal 2 4 5 2 2 5 2 3" xfId="12313" xr:uid="{07C19967-601B-4615-A3FD-70AD8BEE7500}"/>
    <cellStyle name="Normal 2 4 5 2 2 5 3" xfId="5936" xr:uid="{00000000-0005-0000-0000-000057100000}"/>
    <cellStyle name="Normal 2 4 5 2 2 5 3 2" xfId="14386" xr:uid="{DF448076-E432-46E7-82CA-EFF7723558BD}"/>
    <cellStyle name="Normal 2 4 5 2 2 5 4" xfId="10168" xr:uid="{D08D7926-0D9A-4800-A29D-6CB264A124FE}"/>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2 2 2" xfId="16944" xr:uid="{959D1A1E-FB3A-4F90-BE7A-DE4942868B2C}"/>
    <cellStyle name="Normal 2 4 5 2 2 6 2 3" xfId="12726" xr:uid="{7F4EF007-9038-4786-8FA4-CC23935D008C}"/>
    <cellStyle name="Normal 2 4 5 2 2 6 3" xfId="6349" xr:uid="{00000000-0005-0000-0000-00005B100000}"/>
    <cellStyle name="Normal 2 4 5 2 2 6 3 2" xfId="14799" xr:uid="{A6ED006F-4CB3-48A3-AA5F-3653C4F64CBD}"/>
    <cellStyle name="Normal 2 4 5 2 2 6 4" xfId="10581" xr:uid="{FEA4C275-8D49-42E0-8563-22D9E43F45DA}"/>
    <cellStyle name="Normal 2 4 5 2 2 7" xfId="2479" xr:uid="{00000000-0005-0000-0000-00005C100000}"/>
    <cellStyle name="Normal 2 4 5 2 2 7 2" xfId="6762" xr:uid="{00000000-0005-0000-0000-00005D100000}"/>
    <cellStyle name="Normal 2 4 5 2 2 7 2 2" xfId="15212" xr:uid="{8D8E77D4-C757-4D75-A316-152D51579920}"/>
    <cellStyle name="Normal 2 4 5 2 2 7 3" xfId="10994" xr:uid="{53929246-BD80-46DC-80FE-44DFE258359A}"/>
    <cellStyle name="Normal 2 4 5 2 2 8" xfId="4696" xr:uid="{00000000-0005-0000-0000-00005E100000}"/>
    <cellStyle name="Normal 2 4 5 2 2 8 2" xfId="13146" xr:uid="{44BF9C0C-A247-46A7-B9C9-859D04AA327E}"/>
    <cellStyle name="Normal 2 4 5 2 2 9" xfId="8928" xr:uid="{89E7C003-C888-4AF3-AD22-E266123D655D}"/>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2 2 2" xfId="15707" xr:uid="{D938B1B7-BB4B-49FC-AAD4-25D39ECF8754}"/>
    <cellStyle name="Normal 2 4 5 2 3 2 2 3" xfId="11489" xr:uid="{B9E5C43E-EF92-4E18-A458-43FD5DE75326}"/>
    <cellStyle name="Normal 2 4 5 2 3 2 3" xfId="5112" xr:uid="{00000000-0005-0000-0000-000063100000}"/>
    <cellStyle name="Normal 2 4 5 2 3 2 3 2" xfId="13562" xr:uid="{E61B580E-016F-4423-B417-5B8A5555476D}"/>
    <cellStyle name="Normal 2 4 5 2 3 2 4" xfId="9344" xr:uid="{984D6E62-8F76-45FB-8F65-9AD7062EB7C1}"/>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2 2 2" xfId="16120" xr:uid="{08450F49-17BE-4DFA-B24E-1C78DD3C8166}"/>
    <cellStyle name="Normal 2 4 5 2 3 3 2 3" xfId="11902" xr:uid="{C3E37E3C-CC1B-4FE5-943A-D4243145DE2B}"/>
    <cellStyle name="Normal 2 4 5 2 3 3 3" xfId="5525" xr:uid="{00000000-0005-0000-0000-000067100000}"/>
    <cellStyle name="Normal 2 4 5 2 3 3 3 2" xfId="13975" xr:uid="{277DF5CA-B7C4-458C-8FFE-9FF26C0B5CA6}"/>
    <cellStyle name="Normal 2 4 5 2 3 3 4" xfId="9757" xr:uid="{69C3465F-36D7-483B-95BF-678C1AC6F915}"/>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2 2 2" xfId="16533" xr:uid="{F81FE888-7C3F-4EE3-A2CE-2F2AD40D58EC}"/>
    <cellStyle name="Normal 2 4 5 2 3 4 2 3" xfId="12315" xr:uid="{CB8193B7-043F-4E47-9346-1D00D3F7B40D}"/>
    <cellStyle name="Normal 2 4 5 2 3 4 3" xfId="5938" xr:uid="{00000000-0005-0000-0000-00006B100000}"/>
    <cellStyle name="Normal 2 4 5 2 3 4 3 2" xfId="14388" xr:uid="{023715AC-C884-4C2D-9E8E-DFD491BE6882}"/>
    <cellStyle name="Normal 2 4 5 2 3 4 4" xfId="10170" xr:uid="{255687B2-414D-4ED9-A9F1-937235FFAE83}"/>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2 2 2" xfId="16946" xr:uid="{C0BA583C-BE0A-45D2-A8EF-F0A1DAB12B1B}"/>
    <cellStyle name="Normal 2 4 5 2 3 5 2 3" xfId="12728" xr:uid="{000797F5-D733-4221-A3F1-DDF649269098}"/>
    <cellStyle name="Normal 2 4 5 2 3 5 3" xfId="6351" xr:uid="{00000000-0005-0000-0000-00006F100000}"/>
    <cellStyle name="Normal 2 4 5 2 3 5 3 2" xfId="14801" xr:uid="{8FF3E32F-ECF4-4C46-AC27-22D667954084}"/>
    <cellStyle name="Normal 2 4 5 2 3 5 4" xfId="10583" xr:uid="{E604AB85-70F7-4067-842F-05F44E0879F1}"/>
    <cellStyle name="Normal 2 4 5 2 3 6" xfId="2481" xr:uid="{00000000-0005-0000-0000-000070100000}"/>
    <cellStyle name="Normal 2 4 5 2 3 6 2" xfId="6764" xr:uid="{00000000-0005-0000-0000-000071100000}"/>
    <cellStyle name="Normal 2 4 5 2 3 6 2 2" xfId="15214" xr:uid="{5E17EF77-98BE-4474-A7ED-C8E209E36617}"/>
    <cellStyle name="Normal 2 4 5 2 3 6 3" xfId="10996" xr:uid="{FE346405-696A-4707-B4E2-E89BB726841B}"/>
    <cellStyle name="Normal 2 4 5 2 3 7" xfId="4698" xr:uid="{00000000-0005-0000-0000-000072100000}"/>
    <cellStyle name="Normal 2 4 5 2 3 7 2" xfId="13148" xr:uid="{0D944668-F7BA-45C1-97F3-175AE8B4B966}"/>
    <cellStyle name="Normal 2 4 5 2 3 8" xfId="8930" xr:uid="{98A291A7-E0BA-4A1C-B76A-AED07B4C5965}"/>
    <cellStyle name="Normal 2 4 5 2 4" xfId="793" xr:uid="{00000000-0005-0000-0000-000073100000}"/>
    <cellStyle name="Normal 2 4 5 2 4 2" xfId="3032" xr:uid="{00000000-0005-0000-0000-000074100000}"/>
    <cellStyle name="Normal 2 4 5 2 4 2 2" xfId="7254" xr:uid="{00000000-0005-0000-0000-000075100000}"/>
    <cellStyle name="Normal 2 4 5 2 4 2 2 2" xfId="15704" xr:uid="{DAC83DA5-6AF0-4EE7-B0F3-34204FCAD2D3}"/>
    <cellStyle name="Normal 2 4 5 2 4 2 3" xfId="11486" xr:uid="{4EF3CC23-F71F-4D7A-9BCB-A216C6EB2AFA}"/>
    <cellStyle name="Normal 2 4 5 2 4 3" xfId="5109" xr:uid="{00000000-0005-0000-0000-000076100000}"/>
    <cellStyle name="Normal 2 4 5 2 4 3 2" xfId="13559" xr:uid="{77189A0F-FF00-4528-AD9F-288FE515A35A}"/>
    <cellStyle name="Normal 2 4 5 2 4 4" xfId="9341" xr:uid="{C0F4C1CB-0867-476B-843F-83979A43C66F}"/>
    <cellStyle name="Normal 2 4 5 2 5" xfId="1215" xr:uid="{00000000-0005-0000-0000-000077100000}"/>
    <cellStyle name="Normal 2 4 5 2 5 2" xfId="3445" xr:uid="{00000000-0005-0000-0000-000078100000}"/>
    <cellStyle name="Normal 2 4 5 2 5 2 2" xfId="7667" xr:uid="{00000000-0005-0000-0000-000079100000}"/>
    <cellStyle name="Normal 2 4 5 2 5 2 2 2" xfId="16117" xr:uid="{50581DD9-398C-48E8-AACC-10769EB85455}"/>
    <cellStyle name="Normal 2 4 5 2 5 2 3" xfId="11899" xr:uid="{7AD7BD8D-FE35-48DF-A83F-3B979741DB99}"/>
    <cellStyle name="Normal 2 4 5 2 5 3" xfId="5522" xr:uid="{00000000-0005-0000-0000-00007A100000}"/>
    <cellStyle name="Normal 2 4 5 2 5 3 2" xfId="13972" xr:uid="{70BA8023-A307-4ABA-8BA8-E70314D6A2A6}"/>
    <cellStyle name="Normal 2 4 5 2 5 4" xfId="9754" xr:uid="{6501A6FC-EC4E-4FEC-9625-AD422326E00C}"/>
    <cellStyle name="Normal 2 4 5 2 6" xfId="1628" xr:uid="{00000000-0005-0000-0000-00007B100000}"/>
    <cellStyle name="Normal 2 4 5 2 6 2" xfId="3858" xr:uid="{00000000-0005-0000-0000-00007C100000}"/>
    <cellStyle name="Normal 2 4 5 2 6 2 2" xfId="8080" xr:uid="{00000000-0005-0000-0000-00007D100000}"/>
    <cellStyle name="Normal 2 4 5 2 6 2 2 2" xfId="16530" xr:uid="{7C81317C-D14A-41D9-B481-AE5CF6477AE0}"/>
    <cellStyle name="Normal 2 4 5 2 6 2 3" xfId="12312" xr:uid="{2EACF49D-AFBC-4E08-A285-C5DF5EC9D6FC}"/>
    <cellStyle name="Normal 2 4 5 2 6 3" xfId="5935" xr:uid="{00000000-0005-0000-0000-00007E100000}"/>
    <cellStyle name="Normal 2 4 5 2 6 3 2" xfId="14385" xr:uid="{8BF45F3C-4EC7-477E-B6F6-571C5808CC73}"/>
    <cellStyle name="Normal 2 4 5 2 6 4" xfId="10167" xr:uid="{240E730D-8B5F-4BF5-B12F-D6FB952E8FC5}"/>
    <cellStyle name="Normal 2 4 5 2 7" xfId="2042" xr:uid="{00000000-0005-0000-0000-00007F100000}"/>
    <cellStyle name="Normal 2 4 5 2 7 2" xfId="4271" xr:uid="{00000000-0005-0000-0000-000080100000}"/>
    <cellStyle name="Normal 2 4 5 2 7 2 2" xfId="8493" xr:uid="{00000000-0005-0000-0000-000081100000}"/>
    <cellStyle name="Normal 2 4 5 2 7 2 2 2" xfId="16943" xr:uid="{4A360D8A-B842-4F48-9F63-1AD95B96AAA4}"/>
    <cellStyle name="Normal 2 4 5 2 7 2 3" xfId="12725" xr:uid="{6476DE70-955B-4576-8CA6-E6405513C75E}"/>
    <cellStyle name="Normal 2 4 5 2 7 3" xfId="6348" xr:uid="{00000000-0005-0000-0000-000082100000}"/>
    <cellStyle name="Normal 2 4 5 2 7 3 2" xfId="14798" xr:uid="{0BD0F258-5F2D-4A32-98B1-939CAD5A6563}"/>
    <cellStyle name="Normal 2 4 5 2 7 4" xfId="10580" xr:uid="{E51A2B5C-4DF1-42BA-B743-4762B968E759}"/>
    <cellStyle name="Normal 2 4 5 2 8" xfId="2478" xr:uid="{00000000-0005-0000-0000-000083100000}"/>
    <cellStyle name="Normal 2 4 5 2 8 2" xfId="6761" xr:uid="{00000000-0005-0000-0000-000084100000}"/>
    <cellStyle name="Normal 2 4 5 2 8 2 2" xfId="15211" xr:uid="{BF436C2F-186D-4EAA-97CB-66CF84DA053B}"/>
    <cellStyle name="Normal 2 4 5 2 8 3" xfId="10993" xr:uid="{3D06CCC2-93BF-4754-9B61-2ABF1A458286}"/>
    <cellStyle name="Normal 2 4 5 2 9" xfId="4695" xr:uid="{00000000-0005-0000-0000-000085100000}"/>
    <cellStyle name="Normal 2 4 5 2 9 2" xfId="13145" xr:uid="{3E53037D-FF75-45C8-84AC-A92A35E9F78B}"/>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2 2 2" xfId="15709" xr:uid="{6425D3E8-A760-41B1-8639-083756727F71}"/>
    <cellStyle name="Normal 2 4 5 3 2 2 2 3" xfId="11491" xr:uid="{A25C3382-C5CF-40C5-8350-1782045FA49F}"/>
    <cellStyle name="Normal 2 4 5 3 2 2 3" xfId="5114" xr:uid="{00000000-0005-0000-0000-00008B100000}"/>
    <cellStyle name="Normal 2 4 5 3 2 2 3 2" xfId="13564" xr:uid="{D9BEE0E5-30D0-4455-96DD-C1583CD0D64A}"/>
    <cellStyle name="Normal 2 4 5 3 2 2 4" xfId="9346" xr:uid="{E5F14D9B-94B2-4D60-99AC-92E3FCF4999B}"/>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2 2 2" xfId="16122" xr:uid="{1EBDD050-DA2D-416B-8DA4-0718584B2B12}"/>
    <cellStyle name="Normal 2 4 5 3 2 3 2 3" xfId="11904" xr:uid="{1916E7AF-AFF3-4CE1-86F7-36F34D8A5804}"/>
    <cellStyle name="Normal 2 4 5 3 2 3 3" xfId="5527" xr:uid="{00000000-0005-0000-0000-00008F100000}"/>
    <cellStyle name="Normal 2 4 5 3 2 3 3 2" xfId="13977" xr:uid="{F9278ED2-B8FB-436A-8E35-6439CD6C5E26}"/>
    <cellStyle name="Normal 2 4 5 3 2 3 4" xfId="9759" xr:uid="{EDFC6086-AD0F-47B1-BDB5-FDF7E5E3B76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2 2 2" xfId="16535" xr:uid="{474ECB84-4DB8-479B-813B-79DCEDA32E9B}"/>
    <cellStyle name="Normal 2 4 5 3 2 4 2 3" xfId="12317" xr:uid="{9EA7912C-6D69-4571-9DA6-B8B5CE367FDF}"/>
    <cellStyle name="Normal 2 4 5 3 2 4 3" xfId="5940" xr:uid="{00000000-0005-0000-0000-000093100000}"/>
    <cellStyle name="Normal 2 4 5 3 2 4 3 2" xfId="14390" xr:uid="{D47B0637-FB34-48E7-A71C-CC0D7833651B}"/>
    <cellStyle name="Normal 2 4 5 3 2 4 4" xfId="10172" xr:uid="{5749E309-1B6A-4ADA-8D36-C9FDD2A67BFA}"/>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2 2 2" xfId="16948" xr:uid="{1E2403AA-1F43-497A-8F94-9A48E9615AFD}"/>
    <cellStyle name="Normal 2 4 5 3 2 5 2 3" xfId="12730" xr:uid="{505D1B1F-4037-43F4-9DB8-ABD432DF0CD8}"/>
    <cellStyle name="Normal 2 4 5 3 2 5 3" xfId="6353" xr:uid="{00000000-0005-0000-0000-000097100000}"/>
    <cellStyle name="Normal 2 4 5 3 2 5 3 2" xfId="14803" xr:uid="{3C91B40C-D313-43FF-B1C1-321339508A16}"/>
    <cellStyle name="Normal 2 4 5 3 2 5 4" xfId="10585" xr:uid="{98351D7A-1591-472B-8944-1AB4F861869C}"/>
    <cellStyle name="Normal 2 4 5 3 2 6" xfId="2483" xr:uid="{00000000-0005-0000-0000-000098100000}"/>
    <cellStyle name="Normal 2 4 5 3 2 6 2" xfId="6766" xr:uid="{00000000-0005-0000-0000-000099100000}"/>
    <cellStyle name="Normal 2 4 5 3 2 6 2 2" xfId="15216" xr:uid="{8F2558DB-83B1-40CE-AF47-A89184D00071}"/>
    <cellStyle name="Normal 2 4 5 3 2 6 3" xfId="10998" xr:uid="{6623FFF9-7557-44EA-A714-AE904E2E0C69}"/>
    <cellStyle name="Normal 2 4 5 3 2 7" xfId="4700" xr:uid="{00000000-0005-0000-0000-00009A100000}"/>
    <cellStyle name="Normal 2 4 5 3 2 7 2" xfId="13150" xr:uid="{6CEFAFC1-9C57-42C7-B9DB-1CC7E0733D28}"/>
    <cellStyle name="Normal 2 4 5 3 2 8" xfId="8932" xr:uid="{1ADD6010-7EA7-4203-A4E4-918E87820984}"/>
    <cellStyle name="Normal 2 4 5 3 3" xfId="797" xr:uid="{00000000-0005-0000-0000-00009B100000}"/>
    <cellStyle name="Normal 2 4 5 3 3 2" xfId="3036" xr:uid="{00000000-0005-0000-0000-00009C100000}"/>
    <cellStyle name="Normal 2 4 5 3 3 2 2" xfId="7258" xr:uid="{00000000-0005-0000-0000-00009D100000}"/>
    <cellStyle name="Normal 2 4 5 3 3 2 2 2" xfId="15708" xr:uid="{EBC6987C-ECFD-43C0-A4A4-B439B368E59F}"/>
    <cellStyle name="Normal 2 4 5 3 3 2 3" xfId="11490" xr:uid="{3AC219D5-63E3-4BE6-A7F0-90BDBBEFE06A}"/>
    <cellStyle name="Normal 2 4 5 3 3 3" xfId="5113" xr:uid="{00000000-0005-0000-0000-00009E100000}"/>
    <cellStyle name="Normal 2 4 5 3 3 3 2" xfId="13563" xr:uid="{645BFECB-F105-42F5-99EA-0E6EA402F3B4}"/>
    <cellStyle name="Normal 2 4 5 3 3 4" xfId="9345" xr:uid="{36360949-6CD8-4755-BFF7-C221EB952DB5}"/>
    <cellStyle name="Normal 2 4 5 3 4" xfId="1219" xr:uid="{00000000-0005-0000-0000-00009F100000}"/>
    <cellStyle name="Normal 2 4 5 3 4 2" xfId="3449" xr:uid="{00000000-0005-0000-0000-0000A0100000}"/>
    <cellStyle name="Normal 2 4 5 3 4 2 2" xfId="7671" xr:uid="{00000000-0005-0000-0000-0000A1100000}"/>
    <cellStyle name="Normal 2 4 5 3 4 2 2 2" xfId="16121" xr:uid="{03FED72F-9136-482A-8945-AEDED074F09C}"/>
    <cellStyle name="Normal 2 4 5 3 4 2 3" xfId="11903" xr:uid="{44F372D7-0824-4D49-8CBB-74434577262D}"/>
    <cellStyle name="Normal 2 4 5 3 4 3" xfId="5526" xr:uid="{00000000-0005-0000-0000-0000A2100000}"/>
    <cellStyle name="Normal 2 4 5 3 4 3 2" xfId="13976" xr:uid="{21BED968-3B0E-4C52-904D-C5F93D455A2C}"/>
    <cellStyle name="Normal 2 4 5 3 4 4" xfId="9758" xr:uid="{61F99C65-AB69-4122-A7EE-8E883A484543}"/>
    <cellStyle name="Normal 2 4 5 3 5" xfId="1632" xr:uid="{00000000-0005-0000-0000-0000A3100000}"/>
    <cellStyle name="Normal 2 4 5 3 5 2" xfId="3862" xr:uid="{00000000-0005-0000-0000-0000A4100000}"/>
    <cellStyle name="Normal 2 4 5 3 5 2 2" xfId="8084" xr:uid="{00000000-0005-0000-0000-0000A5100000}"/>
    <cellStyle name="Normal 2 4 5 3 5 2 2 2" xfId="16534" xr:uid="{2315720D-E07E-4F83-949A-14210E6D974A}"/>
    <cellStyle name="Normal 2 4 5 3 5 2 3" xfId="12316" xr:uid="{AB176547-519F-4301-91DA-A329C44831F1}"/>
    <cellStyle name="Normal 2 4 5 3 5 3" xfId="5939" xr:uid="{00000000-0005-0000-0000-0000A6100000}"/>
    <cellStyle name="Normal 2 4 5 3 5 3 2" xfId="14389" xr:uid="{AB7F1A40-17EA-4D2E-AB5A-08386250FD65}"/>
    <cellStyle name="Normal 2 4 5 3 5 4" xfId="10171" xr:uid="{D807EC0C-790D-4771-8684-CB0F7F6ED665}"/>
    <cellStyle name="Normal 2 4 5 3 6" xfId="2046" xr:uid="{00000000-0005-0000-0000-0000A7100000}"/>
    <cellStyle name="Normal 2 4 5 3 6 2" xfId="4275" xr:uid="{00000000-0005-0000-0000-0000A8100000}"/>
    <cellStyle name="Normal 2 4 5 3 6 2 2" xfId="8497" xr:uid="{00000000-0005-0000-0000-0000A9100000}"/>
    <cellStyle name="Normal 2 4 5 3 6 2 2 2" xfId="16947" xr:uid="{7E362203-9AA5-4555-A090-BF2985668230}"/>
    <cellStyle name="Normal 2 4 5 3 6 2 3" xfId="12729" xr:uid="{C00FC959-88E7-4496-B8EA-D61918718E78}"/>
    <cellStyle name="Normal 2 4 5 3 6 3" xfId="6352" xr:uid="{00000000-0005-0000-0000-0000AA100000}"/>
    <cellStyle name="Normal 2 4 5 3 6 3 2" xfId="14802" xr:uid="{CB67DCA9-3EF9-4232-882A-5A504064CFED}"/>
    <cellStyle name="Normal 2 4 5 3 6 4" xfId="10584" xr:uid="{8B30B0FC-2205-44F7-B425-7066D8E944A2}"/>
    <cellStyle name="Normal 2 4 5 3 7" xfId="2482" xr:uid="{00000000-0005-0000-0000-0000AB100000}"/>
    <cellStyle name="Normal 2 4 5 3 7 2" xfId="6765" xr:uid="{00000000-0005-0000-0000-0000AC100000}"/>
    <cellStyle name="Normal 2 4 5 3 7 2 2" xfId="15215" xr:uid="{DE0E18FD-4478-4714-B012-1DC057B8CDBB}"/>
    <cellStyle name="Normal 2 4 5 3 7 3" xfId="10997" xr:uid="{AF8E4519-712F-474B-9915-2D6B259CD901}"/>
    <cellStyle name="Normal 2 4 5 3 8" xfId="4699" xr:uid="{00000000-0005-0000-0000-0000AD100000}"/>
    <cellStyle name="Normal 2 4 5 3 8 2" xfId="13149" xr:uid="{77B41AC7-146E-4C04-B438-DD7E400936E0}"/>
    <cellStyle name="Normal 2 4 5 3 9" xfId="8931" xr:uid="{9CDECAF9-5686-450E-A1AB-E4BBD4081463}"/>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2 2 2" xfId="15710" xr:uid="{FC9EED88-1900-4256-8A43-93A81C22090E}"/>
    <cellStyle name="Normal 2 4 5 4 2 2 3" xfId="11492" xr:uid="{0290B67D-6C86-4177-BE85-79E477DBEA47}"/>
    <cellStyle name="Normal 2 4 5 4 2 3" xfId="5115" xr:uid="{00000000-0005-0000-0000-0000B2100000}"/>
    <cellStyle name="Normal 2 4 5 4 2 3 2" xfId="13565" xr:uid="{891F9E55-93E3-4BC6-BCC7-B8A19FE0C134}"/>
    <cellStyle name="Normal 2 4 5 4 2 4" xfId="9347" xr:uid="{19F40522-04E9-4E8D-8450-EC86C1AE8D59}"/>
    <cellStyle name="Normal 2 4 5 4 3" xfId="1221" xr:uid="{00000000-0005-0000-0000-0000B3100000}"/>
    <cellStyle name="Normal 2 4 5 4 3 2" xfId="3451" xr:uid="{00000000-0005-0000-0000-0000B4100000}"/>
    <cellStyle name="Normal 2 4 5 4 3 2 2" xfId="7673" xr:uid="{00000000-0005-0000-0000-0000B5100000}"/>
    <cellStyle name="Normal 2 4 5 4 3 2 2 2" xfId="16123" xr:uid="{FE36714B-06B7-4113-B694-2592C4A75036}"/>
    <cellStyle name="Normal 2 4 5 4 3 2 3" xfId="11905" xr:uid="{F8D901B7-65C0-492E-B66F-766311887E60}"/>
    <cellStyle name="Normal 2 4 5 4 3 3" xfId="5528" xr:uid="{00000000-0005-0000-0000-0000B6100000}"/>
    <cellStyle name="Normal 2 4 5 4 3 3 2" xfId="13978" xr:uid="{ED22796D-CB61-4960-802C-6CECB5FD8026}"/>
    <cellStyle name="Normal 2 4 5 4 3 4" xfId="9760" xr:uid="{25010B93-0363-45FA-8029-855278FDC108}"/>
    <cellStyle name="Normal 2 4 5 4 4" xfId="1634" xr:uid="{00000000-0005-0000-0000-0000B7100000}"/>
    <cellStyle name="Normal 2 4 5 4 4 2" xfId="3864" xr:uid="{00000000-0005-0000-0000-0000B8100000}"/>
    <cellStyle name="Normal 2 4 5 4 4 2 2" xfId="8086" xr:uid="{00000000-0005-0000-0000-0000B9100000}"/>
    <cellStyle name="Normal 2 4 5 4 4 2 2 2" xfId="16536" xr:uid="{9B8AA0DE-7A59-4F37-A96B-D0DC10CAEC60}"/>
    <cellStyle name="Normal 2 4 5 4 4 2 3" xfId="12318" xr:uid="{FBFF53C6-4C5B-4DC7-855B-BE21E7414213}"/>
    <cellStyle name="Normal 2 4 5 4 4 3" xfId="5941" xr:uid="{00000000-0005-0000-0000-0000BA100000}"/>
    <cellStyle name="Normal 2 4 5 4 4 3 2" xfId="14391" xr:uid="{64609B7E-5FAF-4C5E-B41E-2526377452F2}"/>
    <cellStyle name="Normal 2 4 5 4 4 4" xfId="10173" xr:uid="{308BF8ED-6438-4EE4-82FF-C66C1ADBFE9E}"/>
    <cellStyle name="Normal 2 4 5 4 5" xfId="2048" xr:uid="{00000000-0005-0000-0000-0000BB100000}"/>
    <cellStyle name="Normal 2 4 5 4 5 2" xfId="4277" xr:uid="{00000000-0005-0000-0000-0000BC100000}"/>
    <cellStyle name="Normal 2 4 5 4 5 2 2" xfId="8499" xr:uid="{00000000-0005-0000-0000-0000BD100000}"/>
    <cellStyle name="Normal 2 4 5 4 5 2 2 2" xfId="16949" xr:uid="{EB0B9864-92A0-4AA3-92A1-ABA957FA20F4}"/>
    <cellStyle name="Normal 2 4 5 4 5 2 3" xfId="12731" xr:uid="{52E611DD-8D1B-4F73-98A8-DF83AA83B84B}"/>
    <cellStyle name="Normal 2 4 5 4 5 3" xfId="6354" xr:uid="{00000000-0005-0000-0000-0000BE100000}"/>
    <cellStyle name="Normal 2 4 5 4 5 3 2" xfId="14804" xr:uid="{2ECB5046-DF26-4D7B-ABAF-D8E93496D6B6}"/>
    <cellStyle name="Normal 2 4 5 4 5 4" xfId="10586" xr:uid="{93FF9B3E-DDF4-4BBF-B0B1-C1877959B943}"/>
    <cellStyle name="Normal 2 4 5 4 6" xfId="2484" xr:uid="{00000000-0005-0000-0000-0000BF100000}"/>
    <cellStyle name="Normal 2 4 5 4 6 2" xfId="6767" xr:uid="{00000000-0005-0000-0000-0000C0100000}"/>
    <cellStyle name="Normal 2 4 5 4 6 2 2" xfId="15217" xr:uid="{0B97BD3B-37E4-4FAE-91AB-D91BB8B5C112}"/>
    <cellStyle name="Normal 2 4 5 4 6 3" xfId="10999" xr:uid="{0128C4B2-565B-4BE2-AFBB-3825AC5E06DB}"/>
    <cellStyle name="Normal 2 4 5 4 7" xfId="4701" xr:uid="{00000000-0005-0000-0000-0000C1100000}"/>
    <cellStyle name="Normal 2 4 5 4 7 2" xfId="13151" xr:uid="{79861180-FCCB-4247-AE3B-73CD48A9CDEB}"/>
    <cellStyle name="Normal 2 4 5 4 8" xfId="8933" xr:uid="{29497F8C-734D-4B71-B106-6A93AAE83E55}"/>
    <cellStyle name="Normal 2 4 5 5" xfId="792" xr:uid="{00000000-0005-0000-0000-0000C2100000}"/>
    <cellStyle name="Normal 2 4 5 5 2" xfId="3031" xr:uid="{00000000-0005-0000-0000-0000C3100000}"/>
    <cellStyle name="Normal 2 4 5 5 2 2" xfId="7253" xr:uid="{00000000-0005-0000-0000-0000C4100000}"/>
    <cellStyle name="Normal 2 4 5 5 2 2 2" xfId="15703" xr:uid="{138994AE-C49C-4A5F-B245-7F7DEDC3E272}"/>
    <cellStyle name="Normal 2 4 5 5 2 3" xfId="11485" xr:uid="{2AEEDD98-234F-498C-AFF2-AD1462C97810}"/>
    <cellStyle name="Normal 2 4 5 5 3" xfId="5108" xr:uid="{00000000-0005-0000-0000-0000C5100000}"/>
    <cellStyle name="Normal 2 4 5 5 3 2" xfId="13558" xr:uid="{BA9E0FBF-675F-470F-9575-9C805242A69E}"/>
    <cellStyle name="Normal 2 4 5 5 4" xfId="9340" xr:uid="{0EC389D6-52FD-4085-9A37-AC723A0D987C}"/>
    <cellStyle name="Normal 2 4 5 6" xfId="1214" xr:uid="{00000000-0005-0000-0000-0000C6100000}"/>
    <cellStyle name="Normal 2 4 5 6 2" xfId="3444" xr:uid="{00000000-0005-0000-0000-0000C7100000}"/>
    <cellStyle name="Normal 2 4 5 6 2 2" xfId="7666" xr:uid="{00000000-0005-0000-0000-0000C8100000}"/>
    <cellStyle name="Normal 2 4 5 6 2 2 2" xfId="16116" xr:uid="{E901B2B1-2CE6-41B5-BF18-25AB508C6DF9}"/>
    <cellStyle name="Normal 2 4 5 6 2 3" xfId="11898" xr:uid="{70E9DD85-F0C3-4DF2-8EC9-656F406D0FDF}"/>
    <cellStyle name="Normal 2 4 5 6 3" xfId="5521" xr:uid="{00000000-0005-0000-0000-0000C9100000}"/>
    <cellStyle name="Normal 2 4 5 6 3 2" xfId="13971" xr:uid="{593954F8-18A9-4852-B984-97EA33F7100F}"/>
    <cellStyle name="Normal 2 4 5 6 4" xfId="9753" xr:uid="{FB68314F-EEC6-42BE-A696-D45D943C4B17}"/>
    <cellStyle name="Normal 2 4 5 7" xfId="1627" xr:uid="{00000000-0005-0000-0000-0000CA100000}"/>
    <cellStyle name="Normal 2 4 5 7 2" xfId="3857" xr:uid="{00000000-0005-0000-0000-0000CB100000}"/>
    <cellStyle name="Normal 2 4 5 7 2 2" xfId="8079" xr:uid="{00000000-0005-0000-0000-0000CC100000}"/>
    <cellStyle name="Normal 2 4 5 7 2 2 2" xfId="16529" xr:uid="{E36AC022-2F2C-4425-B570-CDA2594CADE6}"/>
    <cellStyle name="Normal 2 4 5 7 2 3" xfId="12311" xr:uid="{943DC5A5-3A8F-40FA-9730-7F703CA50B07}"/>
    <cellStyle name="Normal 2 4 5 7 3" xfId="5934" xr:uid="{00000000-0005-0000-0000-0000CD100000}"/>
    <cellStyle name="Normal 2 4 5 7 3 2" xfId="14384" xr:uid="{2646F621-F4D3-4615-A6B7-B51577DA2A3A}"/>
    <cellStyle name="Normal 2 4 5 7 4" xfId="10166" xr:uid="{753E4B5B-067A-43F8-853D-A380E0E75E1B}"/>
    <cellStyle name="Normal 2 4 5 8" xfId="2041" xr:uid="{00000000-0005-0000-0000-0000CE100000}"/>
    <cellStyle name="Normal 2 4 5 8 2" xfId="4270" xr:uid="{00000000-0005-0000-0000-0000CF100000}"/>
    <cellStyle name="Normal 2 4 5 8 2 2" xfId="8492" xr:uid="{00000000-0005-0000-0000-0000D0100000}"/>
    <cellStyle name="Normal 2 4 5 8 2 2 2" xfId="16942" xr:uid="{FFA2108B-BAD8-4573-933E-C62AD7D105D9}"/>
    <cellStyle name="Normal 2 4 5 8 2 3" xfId="12724" xr:uid="{9BA62334-8353-4169-9E5E-3AA635695FE9}"/>
    <cellStyle name="Normal 2 4 5 8 3" xfId="6347" xr:uid="{00000000-0005-0000-0000-0000D1100000}"/>
    <cellStyle name="Normal 2 4 5 8 3 2" xfId="14797" xr:uid="{767EA0CB-7F63-48F0-BE1A-E339C4F67C9E}"/>
    <cellStyle name="Normal 2 4 5 8 4" xfId="10579" xr:uid="{511F9F9A-C289-4E5F-B213-FD0131977E9C}"/>
    <cellStyle name="Normal 2 4 5 9" xfId="2477" xr:uid="{00000000-0005-0000-0000-0000D2100000}"/>
    <cellStyle name="Normal 2 4 5 9 2" xfId="6760" xr:uid="{00000000-0005-0000-0000-0000D3100000}"/>
    <cellStyle name="Normal 2 4 5 9 2 2" xfId="15210" xr:uid="{DA399A7B-22F8-41C7-AFB1-9A207D4FC818}"/>
    <cellStyle name="Normal 2 4 5 9 3" xfId="10992" xr:uid="{4DF24659-7B3D-43BB-8A27-7602396E9814}"/>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2 2 2" xfId="15712" xr:uid="{7D418477-BC59-42A3-B0FE-FB9FC9D5EED9}"/>
    <cellStyle name="Normal 2 4 7 2 2 2 3" xfId="11494" xr:uid="{E0737CBA-CB5C-47C2-A22F-B000795A5785}"/>
    <cellStyle name="Normal 2 4 7 2 2 3" xfId="5117" xr:uid="{00000000-0005-0000-0000-0000DA100000}"/>
    <cellStyle name="Normal 2 4 7 2 2 3 2" xfId="13567" xr:uid="{2F86C7DB-17D9-4D2D-ACC3-DF33645D5E1B}"/>
    <cellStyle name="Normal 2 4 7 2 2 4" xfId="9349" xr:uid="{3C950679-9C98-4A75-9262-873BABA43CF3}"/>
    <cellStyle name="Normal 2 4 7 2 3" xfId="1223" xr:uid="{00000000-0005-0000-0000-0000DB100000}"/>
    <cellStyle name="Normal 2 4 7 2 3 2" xfId="3453" xr:uid="{00000000-0005-0000-0000-0000DC100000}"/>
    <cellStyle name="Normal 2 4 7 2 3 2 2" xfId="7675" xr:uid="{00000000-0005-0000-0000-0000DD100000}"/>
    <cellStyle name="Normal 2 4 7 2 3 2 2 2" xfId="16125" xr:uid="{365EBF3B-26E3-480A-BBCB-4F177ABD14D9}"/>
    <cellStyle name="Normal 2 4 7 2 3 2 3" xfId="11907" xr:uid="{74B6C292-02F3-4B55-BE18-22F97432FF10}"/>
    <cellStyle name="Normal 2 4 7 2 3 3" xfId="5530" xr:uid="{00000000-0005-0000-0000-0000DE100000}"/>
    <cellStyle name="Normal 2 4 7 2 3 3 2" xfId="13980" xr:uid="{DC38DAF2-2BD5-4267-B6AD-D95584946D69}"/>
    <cellStyle name="Normal 2 4 7 2 3 4" xfId="9762" xr:uid="{F8BF1AAD-59A3-443C-84E9-BD9BECA7B2EF}"/>
    <cellStyle name="Normal 2 4 7 2 4" xfId="1636" xr:uid="{00000000-0005-0000-0000-0000DF100000}"/>
    <cellStyle name="Normal 2 4 7 2 4 2" xfId="3866" xr:uid="{00000000-0005-0000-0000-0000E0100000}"/>
    <cellStyle name="Normal 2 4 7 2 4 2 2" xfId="8088" xr:uid="{00000000-0005-0000-0000-0000E1100000}"/>
    <cellStyle name="Normal 2 4 7 2 4 2 2 2" xfId="16538" xr:uid="{FF850175-8984-44E6-B8CD-BEC0A479B757}"/>
    <cellStyle name="Normal 2 4 7 2 4 2 3" xfId="12320" xr:uid="{73BC7D8E-F65C-4B69-98D3-6CA210CE137F}"/>
    <cellStyle name="Normal 2 4 7 2 4 3" xfId="5943" xr:uid="{00000000-0005-0000-0000-0000E2100000}"/>
    <cellStyle name="Normal 2 4 7 2 4 3 2" xfId="14393" xr:uid="{7E7FBD03-4ACB-40CA-AA0A-04F71A398936}"/>
    <cellStyle name="Normal 2 4 7 2 4 4" xfId="10175" xr:uid="{F8A5959D-2FF8-4C41-A756-86BBE6741B18}"/>
    <cellStyle name="Normal 2 4 7 2 5" xfId="2050" xr:uid="{00000000-0005-0000-0000-0000E3100000}"/>
    <cellStyle name="Normal 2 4 7 2 5 2" xfId="4279" xr:uid="{00000000-0005-0000-0000-0000E4100000}"/>
    <cellStyle name="Normal 2 4 7 2 5 2 2" xfId="8501" xr:uid="{00000000-0005-0000-0000-0000E5100000}"/>
    <cellStyle name="Normal 2 4 7 2 5 2 2 2" xfId="16951" xr:uid="{BDB5D02C-50ED-4D01-B6A0-686DC048E46A}"/>
    <cellStyle name="Normal 2 4 7 2 5 2 3" xfId="12733" xr:uid="{24046C39-7585-4A8E-8477-2960D61DAF65}"/>
    <cellStyle name="Normal 2 4 7 2 5 3" xfId="6356" xr:uid="{00000000-0005-0000-0000-0000E6100000}"/>
    <cellStyle name="Normal 2 4 7 2 5 3 2" xfId="14806" xr:uid="{96DFB615-B387-4E94-9E19-5C3CB9C52392}"/>
    <cellStyle name="Normal 2 4 7 2 5 4" xfId="10588" xr:uid="{AB0E7FDC-1DC6-438E-B9EB-C9FD5763BF24}"/>
    <cellStyle name="Normal 2 4 7 2 6" xfId="2486" xr:uid="{00000000-0005-0000-0000-0000E7100000}"/>
    <cellStyle name="Normal 2 4 7 2 6 2" xfId="6769" xr:uid="{00000000-0005-0000-0000-0000E8100000}"/>
    <cellStyle name="Normal 2 4 7 2 6 2 2" xfId="15219" xr:uid="{D9D25ED4-E687-4FD7-8688-9C4980E910AC}"/>
    <cellStyle name="Normal 2 4 7 2 6 3" xfId="11001" xr:uid="{6ECCBCBD-4C82-42C9-8A64-69D072FAB64C}"/>
    <cellStyle name="Normal 2 4 7 2 7" xfId="4703" xr:uid="{00000000-0005-0000-0000-0000E9100000}"/>
    <cellStyle name="Normal 2 4 7 2 7 2" xfId="13153" xr:uid="{878299CF-C561-4AF1-8ED9-A5E80326BEF3}"/>
    <cellStyle name="Normal 2 4 7 2 8" xfId="8935" xr:uid="{83CF1F3F-D9CA-4A0B-ABA9-A0BD647465E8}"/>
    <cellStyle name="Normal 2 4 7 3" xfId="800" xr:uid="{00000000-0005-0000-0000-0000EA100000}"/>
    <cellStyle name="Normal 2 4 7 3 2" xfId="3039" xr:uid="{00000000-0005-0000-0000-0000EB100000}"/>
    <cellStyle name="Normal 2 4 7 3 2 2" xfId="7261" xr:uid="{00000000-0005-0000-0000-0000EC100000}"/>
    <cellStyle name="Normal 2 4 7 3 2 2 2" xfId="15711" xr:uid="{C91C7070-1100-490D-8123-BF7DAFDE3F71}"/>
    <cellStyle name="Normal 2 4 7 3 2 3" xfId="11493" xr:uid="{4A2D20E5-B13A-4770-958B-0C0A27C53347}"/>
    <cellStyle name="Normal 2 4 7 3 3" xfId="5116" xr:uid="{00000000-0005-0000-0000-0000ED100000}"/>
    <cellStyle name="Normal 2 4 7 3 3 2" xfId="13566" xr:uid="{BB32C225-2B56-4C8D-8698-DECB8863EF4D}"/>
    <cellStyle name="Normal 2 4 7 3 4" xfId="9348" xr:uid="{0D47AF5A-6E77-4875-A0E9-5D3554E94F02}"/>
    <cellStyle name="Normal 2 4 7 4" xfId="1222" xr:uid="{00000000-0005-0000-0000-0000EE100000}"/>
    <cellStyle name="Normal 2 4 7 4 2" xfId="3452" xr:uid="{00000000-0005-0000-0000-0000EF100000}"/>
    <cellStyle name="Normal 2 4 7 4 2 2" xfId="7674" xr:uid="{00000000-0005-0000-0000-0000F0100000}"/>
    <cellStyle name="Normal 2 4 7 4 2 2 2" xfId="16124" xr:uid="{5BAE2421-BED6-4347-8447-A34B278F0C08}"/>
    <cellStyle name="Normal 2 4 7 4 2 3" xfId="11906" xr:uid="{2F1B1C69-4117-49BC-91C1-758D68676A09}"/>
    <cellStyle name="Normal 2 4 7 4 3" xfId="5529" xr:uid="{00000000-0005-0000-0000-0000F1100000}"/>
    <cellStyle name="Normal 2 4 7 4 3 2" xfId="13979" xr:uid="{9562256A-77E0-49EA-AB29-A518E8279AF7}"/>
    <cellStyle name="Normal 2 4 7 4 4" xfId="9761" xr:uid="{86BFBAAA-44DB-475A-B1F3-1AAF2506DEB1}"/>
    <cellStyle name="Normal 2 4 7 5" xfId="1635" xr:uid="{00000000-0005-0000-0000-0000F2100000}"/>
    <cellStyle name="Normal 2 4 7 5 2" xfId="3865" xr:uid="{00000000-0005-0000-0000-0000F3100000}"/>
    <cellStyle name="Normal 2 4 7 5 2 2" xfId="8087" xr:uid="{00000000-0005-0000-0000-0000F4100000}"/>
    <cellStyle name="Normal 2 4 7 5 2 2 2" xfId="16537" xr:uid="{D8197289-79CA-4183-8B26-60CCE6822BA8}"/>
    <cellStyle name="Normal 2 4 7 5 2 3" xfId="12319" xr:uid="{FA6B4B37-9A0F-4CC8-827D-E2173FC3BDA1}"/>
    <cellStyle name="Normal 2 4 7 5 3" xfId="5942" xr:uid="{00000000-0005-0000-0000-0000F5100000}"/>
    <cellStyle name="Normal 2 4 7 5 3 2" xfId="14392" xr:uid="{58C50560-F150-44D6-8BF3-669B76904119}"/>
    <cellStyle name="Normal 2 4 7 5 4" xfId="10174" xr:uid="{D25F41BE-BF23-4AFE-AC42-A7545F2D935E}"/>
    <cellStyle name="Normal 2 4 7 6" xfId="2049" xr:uid="{00000000-0005-0000-0000-0000F6100000}"/>
    <cellStyle name="Normal 2 4 7 6 2" xfId="4278" xr:uid="{00000000-0005-0000-0000-0000F7100000}"/>
    <cellStyle name="Normal 2 4 7 6 2 2" xfId="8500" xr:uid="{00000000-0005-0000-0000-0000F8100000}"/>
    <cellStyle name="Normal 2 4 7 6 2 2 2" xfId="16950" xr:uid="{3CD63ADA-4C3A-40FD-ABF2-C71790908DF9}"/>
    <cellStyle name="Normal 2 4 7 6 2 3" xfId="12732" xr:uid="{03B38DE8-5D87-4F76-84D8-AA9A06F5264C}"/>
    <cellStyle name="Normal 2 4 7 6 3" xfId="6355" xr:uid="{00000000-0005-0000-0000-0000F9100000}"/>
    <cellStyle name="Normal 2 4 7 6 3 2" xfId="14805" xr:uid="{BE3EDE40-9094-4661-9262-42A887EF07EC}"/>
    <cellStyle name="Normal 2 4 7 6 4" xfId="10587" xr:uid="{140A026D-EA1F-4E04-AC72-9C14E793A6EB}"/>
    <cellStyle name="Normal 2 4 7 7" xfId="2485" xr:uid="{00000000-0005-0000-0000-0000FA100000}"/>
    <cellStyle name="Normal 2 4 7 7 2" xfId="6768" xr:uid="{00000000-0005-0000-0000-0000FB100000}"/>
    <cellStyle name="Normal 2 4 7 7 2 2" xfId="15218" xr:uid="{80647050-BD16-479D-BD02-F1BD93D4D818}"/>
    <cellStyle name="Normal 2 4 7 7 3" xfId="11000" xr:uid="{3D02C9C1-AE33-49F9-BED6-DC347854C9C1}"/>
    <cellStyle name="Normal 2 4 7 8" xfId="4702" xr:uid="{00000000-0005-0000-0000-0000FC100000}"/>
    <cellStyle name="Normal 2 4 7 8 2" xfId="13152" xr:uid="{08E948CF-D0AF-4F8E-B120-A9BB16F729A1}"/>
    <cellStyle name="Normal 2 4 7 9" xfId="8934" xr:uid="{1E79B0DA-B04E-43BD-993A-A55C547F91B4}"/>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2 2 2" xfId="15713" xr:uid="{E2B443A6-4C19-4EF9-8923-C7AD5D595D4E}"/>
    <cellStyle name="Normal 2 4 8 2 2 3" xfId="11495" xr:uid="{DECC0097-50C2-48DC-BD8C-AD87FDE2FCFD}"/>
    <cellStyle name="Normal 2 4 8 2 3" xfId="5118" xr:uid="{00000000-0005-0000-0000-000001110000}"/>
    <cellStyle name="Normal 2 4 8 2 3 2" xfId="13568" xr:uid="{DABD5E65-0FF2-4AEE-8C5C-556F0D0D5C2D}"/>
    <cellStyle name="Normal 2 4 8 2 4" xfId="9350" xr:uid="{23D36808-1990-4A42-B18A-ABBC3D456B90}"/>
    <cellStyle name="Normal 2 4 8 3" xfId="1224" xr:uid="{00000000-0005-0000-0000-000002110000}"/>
    <cellStyle name="Normal 2 4 8 3 2" xfId="3454" xr:uid="{00000000-0005-0000-0000-000003110000}"/>
    <cellStyle name="Normal 2 4 8 3 2 2" xfId="7676" xr:uid="{00000000-0005-0000-0000-000004110000}"/>
    <cellStyle name="Normal 2 4 8 3 2 2 2" xfId="16126" xr:uid="{27C97C7E-107C-44BE-AB84-A13197801A0F}"/>
    <cellStyle name="Normal 2 4 8 3 2 3" xfId="11908" xr:uid="{83E73785-3274-4E3D-A94F-B58A5902787F}"/>
    <cellStyle name="Normal 2 4 8 3 3" xfId="5531" xr:uid="{00000000-0005-0000-0000-000005110000}"/>
    <cellStyle name="Normal 2 4 8 3 3 2" xfId="13981" xr:uid="{6893B8F3-F376-481F-91A6-965BFFC89706}"/>
    <cellStyle name="Normal 2 4 8 3 4" xfId="9763" xr:uid="{5084C327-4801-4EBC-B48B-79F8141FFBC5}"/>
    <cellStyle name="Normal 2 4 8 4" xfId="1637" xr:uid="{00000000-0005-0000-0000-000006110000}"/>
    <cellStyle name="Normal 2 4 8 4 2" xfId="3867" xr:uid="{00000000-0005-0000-0000-000007110000}"/>
    <cellStyle name="Normal 2 4 8 4 2 2" xfId="8089" xr:uid="{00000000-0005-0000-0000-000008110000}"/>
    <cellStyle name="Normal 2 4 8 4 2 2 2" xfId="16539" xr:uid="{20F518F7-5FF7-4683-90A3-9DD801E5A418}"/>
    <cellStyle name="Normal 2 4 8 4 2 3" xfId="12321" xr:uid="{EFD59FC7-92DE-461D-B1F5-FDC46B10A697}"/>
    <cellStyle name="Normal 2 4 8 4 3" xfId="5944" xr:uid="{00000000-0005-0000-0000-000009110000}"/>
    <cellStyle name="Normal 2 4 8 4 3 2" xfId="14394" xr:uid="{7A8844CE-7F33-49C6-8002-8ABB69053931}"/>
    <cellStyle name="Normal 2 4 8 4 4" xfId="10176" xr:uid="{2C69A9EB-B1D0-4922-B374-37264A617AEF}"/>
    <cellStyle name="Normal 2 4 8 5" xfId="2051" xr:uid="{00000000-0005-0000-0000-00000A110000}"/>
    <cellStyle name="Normal 2 4 8 5 2" xfId="4280" xr:uid="{00000000-0005-0000-0000-00000B110000}"/>
    <cellStyle name="Normal 2 4 8 5 2 2" xfId="8502" xr:uid="{00000000-0005-0000-0000-00000C110000}"/>
    <cellStyle name="Normal 2 4 8 5 2 2 2" xfId="16952" xr:uid="{3010E548-823D-4E43-A45E-9018F0EAA9DB}"/>
    <cellStyle name="Normal 2 4 8 5 2 3" xfId="12734" xr:uid="{FF933E95-92E7-4746-B8F0-3D1409E7780A}"/>
    <cellStyle name="Normal 2 4 8 5 3" xfId="6357" xr:uid="{00000000-0005-0000-0000-00000D110000}"/>
    <cellStyle name="Normal 2 4 8 5 3 2" xfId="14807" xr:uid="{DF77C52F-5147-4A7B-9A32-A1B85BB51C85}"/>
    <cellStyle name="Normal 2 4 8 5 4" xfId="10589" xr:uid="{736F7090-74EE-46A1-8680-E7A8EA61F1CD}"/>
    <cellStyle name="Normal 2 4 8 6" xfId="2487" xr:uid="{00000000-0005-0000-0000-00000E110000}"/>
    <cellStyle name="Normal 2 4 8 6 2" xfId="6770" xr:uid="{00000000-0005-0000-0000-00000F110000}"/>
    <cellStyle name="Normal 2 4 8 6 2 2" xfId="15220" xr:uid="{1FA46BB4-769E-495B-8935-66E4E73818B1}"/>
    <cellStyle name="Normal 2 4 8 6 3" xfId="11002" xr:uid="{BF958164-E276-4140-B0E8-0939757A943C}"/>
    <cellStyle name="Normal 2 4 8 7" xfId="4704" xr:uid="{00000000-0005-0000-0000-000010110000}"/>
    <cellStyle name="Normal 2 4 8 7 2" xfId="13154" xr:uid="{92CFFDAA-23E5-4751-A6A9-C783EEE3BCD4}"/>
    <cellStyle name="Normal 2 4 8 8" xfId="8936" xr:uid="{2FF9F0EF-10C4-4704-A44E-C78B58525BBA}"/>
    <cellStyle name="Normal 2 5" xfId="315" xr:uid="{00000000-0005-0000-0000-000011110000}"/>
    <cellStyle name="Normal 2 5 10" xfId="4705" xr:uid="{00000000-0005-0000-0000-000012110000}"/>
    <cellStyle name="Normal 2 5 10 2" xfId="13155" xr:uid="{785232CA-10D6-415B-9FDC-ADCD87698C7F}"/>
    <cellStyle name="Normal 2 5 11" xfId="8937" xr:uid="{561AA7E3-0C80-4EC7-82B2-384F74681F59}"/>
    <cellStyle name="Normal 2 5 2" xfId="316" xr:uid="{00000000-0005-0000-0000-000013110000}"/>
    <cellStyle name="Normal 2 5 3" xfId="317" xr:uid="{00000000-0005-0000-0000-000014110000}"/>
    <cellStyle name="Normal 2 5 4" xfId="318" xr:uid="{00000000-0005-0000-0000-000015110000}"/>
    <cellStyle name="Normal 2 5 4 10" xfId="8938" xr:uid="{B7DB1338-5202-40D9-97C5-0715309D3755}"/>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2 2 2" xfId="15717" xr:uid="{A6BDA47A-674B-4F8C-BEE2-5EC0BC7EEA2C}"/>
    <cellStyle name="Normal 2 5 4 2 2 2 2 3" xfId="11499" xr:uid="{70277A91-0D0B-4B20-9C70-10753EC86AB8}"/>
    <cellStyle name="Normal 2 5 4 2 2 2 3" xfId="5122" xr:uid="{00000000-0005-0000-0000-00001B110000}"/>
    <cellStyle name="Normal 2 5 4 2 2 2 3 2" xfId="13572" xr:uid="{58D079B8-D1C1-4E95-A43D-1DF4B8798C2B}"/>
    <cellStyle name="Normal 2 5 4 2 2 2 4" xfId="9354" xr:uid="{9B41B523-0A17-4314-8FE8-788750E41E2A}"/>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2 2 2" xfId="16130" xr:uid="{614E0C4E-9914-412E-BF7E-A5C852C9E67B}"/>
    <cellStyle name="Normal 2 5 4 2 2 3 2 3" xfId="11912" xr:uid="{136D3BBC-013C-4C6A-8731-7BF2B749129D}"/>
    <cellStyle name="Normal 2 5 4 2 2 3 3" xfId="5535" xr:uid="{00000000-0005-0000-0000-00001F110000}"/>
    <cellStyle name="Normal 2 5 4 2 2 3 3 2" xfId="13985" xr:uid="{905C284B-56AE-438B-A603-6936D06E4D60}"/>
    <cellStyle name="Normal 2 5 4 2 2 3 4" xfId="9767" xr:uid="{EB82C4E7-4710-4999-B00E-405909B6677B}"/>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2 2 2" xfId="16543" xr:uid="{0ED5DA3B-0E6E-42F3-95ED-F25D0E8021D2}"/>
    <cellStyle name="Normal 2 5 4 2 2 4 2 3" xfId="12325" xr:uid="{B71FC4D4-72B9-45A0-9B72-EEA70DAB8A3C}"/>
    <cellStyle name="Normal 2 5 4 2 2 4 3" xfId="5948" xr:uid="{00000000-0005-0000-0000-000023110000}"/>
    <cellStyle name="Normal 2 5 4 2 2 4 3 2" xfId="14398" xr:uid="{C4D0FB4E-630A-4135-8342-8176EC02D61C}"/>
    <cellStyle name="Normal 2 5 4 2 2 4 4" xfId="10180" xr:uid="{9242F7F4-A88A-43A3-9016-F852845547F3}"/>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2 2 2" xfId="16956" xr:uid="{A700504E-E2FC-4819-90BE-8F262299EE82}"/>
    <cellStyle name="Normal 2 5 4 2 2 5 2 3" xfId="12738" xr:uid="{6DFF3EEE-589B-404A-A165-6E684C33335A}"/>
    <cellStyle name="Normal 2 5 4 2 2 5 3" xfId="6361" xr:uid="{00000000-0005-0000-0000-000027110000}"/>
    <cellStyle name="Normal 2 5 4 2 2 5 3 2" xfId="14811" xr:uid="{76B3A795-C591-417A-94DB-2E907D27474F}"/>
    <cellStyle name="Normal 2 5 4 2 2 5 4" xfId="10593" xr:uid="{3F3DA51C-B05D-4C2E-8CD3-9B8852F40949}"/>
    <cellStyle name="Normal 2 5 4 2 2 6" xfId="2491" xr:uid="{00000000-0005-0000-0000-000028110000}"/>
    <cellStyle name="Normal 2 5 4 2 2 6 2" xfId="6774" xr:uid="{00000000-0005-0000-0000-000029110000}"/>
    <cellStyle name="Normal 2 5 4 2 2 6 2 2" xfId="15224" xr:uid="{2FA64DDC-4455-4212-974A-BDBCC80099DE}"/>
    <cellStyle name="Normal 2 5 4 2 2 6 3" xfId="11006" xr:uid="{3FF11587-7ADF-4ED8-8C79-9BEF929E1463}"/>
    <cellStyle name="Normal 2 5 4 2 2 7" xfId="4708" xr:uid="{00000000-0005-0000-0000-00002A110000}"/>
    <cellStyle name="Normal 2 5 4 2 2 7 2" xfId="13158" xr:uid="{9477609B-EACE-40AA-9C45-AC20411EB125}"/>
    <cellStyle name="Normal 2 5 4 2 2 8" xfId="8940" xr:uid="{19791850-6F6C-417F-BB02-8863591D001C}"/>
    <cellStyle name="Normal 2 5 4 2 3" xfId="805" xr:uid="{00000000-0005-0000-0000-00002B110000}"/>
    <cellStyle name="Normal 2 5 4 2 3 2" xfId="3044" xr:uid="{00000000-0005-0000-0000-00002C110000}"/>
    <cellStyle name="Normal 2 5 4 2 3 2 2" xfId="7266" xr:uid="{00000000-0005-0000-0000-00002D110000}"/>
    <cellStyle name="Normal 2 5 4 2 3 2 2 2" xfId="15716" xr:uid="{216AD469-92E5-4A9D-B4A9-C26766A053EB}"/>
    <cellStyle name="Normal 2 5 4 2 3 2 3" xfId="11498" xr:uid="{67A19F72-B7DB-4A27-AEBC-C147087CF2C7}"/>
    <cellStyle name="Normal 2 5 4 2 3 3" xfId="5121" xr:uid="{00000000-0005-0000-0000-00002E110000}"/>
    <cellStyle name="Normal 2 5 4 2 3 3 2" xfId="13571" xr:uid="{C299E5D8-BF9D-41D5-94CB-94D8D516559D}"/>
    <cellStyle name="Normal 2 5 4 2 3 4" xfId="9353" xr:uid="{9AFF5BCF-B5C2-4D5F-89C5-DE88040C9188}"/>
    <cellStyle name="Normal 2 5 4 2 4" xfId="1227" xr:uid="{00000000-0005-0000-0000-00002F110000}"/>
    <cellStyle name="Normal 2 5 4 2 4 2" xfId="3457" xr:uid="{00000000-0005-0000-0000-000030110000}"/>
    <cellStyle name="Normal 2 5 4 2 4 2 2" xfId="7679" xr:uid="{00000000-0005-0000-0000-000031110000}"/>
    <cellStyle name="Normal 2 5 4 2 4 2 2 2" xfId="16129" xr:uid="{5652EDE1-A536-4112-AE8F-56104520E7FE}"/>
    <cellStyle name="Normal 2 5 4 2 4 2 3" xfId="11911" xr:uid="{86EA543F-A62A-4839-80AF-C3D6EC9A525D}"/>
    <cellStyle name="Normal 2 5 4 2 4 3" xfId="5534" xr:uid="{00000000-0005-0000-0000-000032110000}"/>
    <cellStyle name="Normal 2 5 4 2 4 3 2" xfId="13984" xr:uid="{740239E0-5E7B-464B-A332-E1F7BA5D55EB}"/>
    <cellStyle name="Normal 2 5 4 2 4 4" xfId="9766" xr:uid="{68067D2E-249C-4373-9645-000E60B61B5D}"/>
    <cellStyle name="Normal 2 5 4 2 5" xfId="1640" xr:uid="{00000000-0005-0000-0000-000033110000}"/>
    <cellStyle name="Normal 2 5 4 2 5 2" xfId="3870" xr:uid="{00000000-0005-0000-0000-000034110000}"/>
    <cellStyle name="Normal 2 5 4 2 5 2 2" xfId="8092" xr:uid="{00000000-0005-0000-0000-000035110000}"/>
    <cellStyle name="Normal 2 5 4 2 5 2 2 2" xfId="16542" xr:uid="{1BCF91D7-5137-4FC8-940B-3D13707E8A60}"/>
    <cellStyle name="Normal 2 5 4 2 5 2 3" xfId="12324" xr:uid="{6386D0F4-E90D-4BF4-92BD-77CE51C80288}"/>
    <cellStyle name="Normal 2 5 4 2 5 3" xfId="5947" xr:uid="{00000000-0005-0000-0000-000036110000}"/>
    <cellStyle name="Normal 2 5 4 2 5 3 2" xfId="14397" xr:uid="{8E5AAC05-F337-45C7-A512-A5FCD9BC2DBE}"/>
    <cellStyle name="Normal 2 5 4 2 5 4" xfId="10179" xr:uid="{2FEFA5B2-9410-4730-A71F-C62246E39DBB}"/>
    <cellStyle name="Normal 2 5 4 2 6" xfId="2054" xr:uid="{00000000-0005-0000-0000-000037110000}"/>
    <cellStyle name="Normal 2 5 4 2 6 2" xfId="4283" xr:uid="{00000000-0005-0000-0000-000038110000}"/>
    <cellStyle name="Normal 2 5 4 2 6 2 2" xfId="8505" xr:uid="{00000000-0005-0000-0000-000039110000}"/>
    <cellStyle name="Normal 2 5 4 2 6 2 2 2" xfId="16955" xr:uid="{FF27D3E8-841E-4EBD-9451-A3C3211C35C5}"/>
    <cellStyle name="Normal 2 5 4 2 6 2 3" xfId="12737" xr:uid="{FD67BA42-97B2-4C7A-AEEA-5B6EA5C7B44C}"/>
    <cellStyle name="Normal 2 5 4 2 6 3" xfId="6360" xr:uid="{00000000-0005-0000-0000-00003A110000}"/>
    <cellStyle name="Normal 2 5 4 2 6 3 2" xfId="14810" xr:uid="{466D7F22-A4E4-4A6A-BA48-1F2BBF97B405}"/>
    <cellStyle name="Normal 2 5 4 2 6 4" xfId="10592" xr:uid="{0FDD578D-E1C2-4A58-8462-E431BCE366CE}"/>
    <cellStyle name="Normal 2 5 4 2 7" xfId="2490" xr:uid="{00000000-0005-0000-0000-00003B110000}"/>
    <cellStyle name="Normal 2 5 4 2 7 2" xfId="6773" xr:uid="{00000000-0005-0000-0000-00003C110000}"/>
    <cellStyle name="Normal 2 5 4 2 7 2 2" xfId="15223" xr:uid="{ABBCB08D-8B37-4D84-BB16-D1A69D4E9707}"/>
    <cellStyle name="Normal 2 5 4 2 7 3" xfId="11005" xr:uid="{C64F63A9-7A86-4376-B427-13E3DF1EF1D1}"/>
    <cellStyle name="Normal 2 5 4 2 8" xfId="4707" xr:uid="{00000000-0005-0000-0000-00003D110000}"/>
    <cellStyle name="Normal 2 5 4 2 8 2" xfId="13157" xr:uid="{CC8A15AE-7A59-47C2-8458-A98026A79686}"/>
    <cellStyle name="Normal 2 5 4 2 9" xfId="8939" xr:uid="{33DB0A7E-1334-426B-A1FF-02FAEAC4136A}"/>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2 2 2" xfId="15718" xr:uid="{99C3B92B-2042-49EC-930C-70FD4F55D9BD}"/>
    <cellStyle name="Normal 2 5 4 3 2 2 3" xfId="11500" xr:uid="{F03A94F2-8520-4758-A166-055235FDFB70}"/>
    <cellStyle name="Normal 2 5 4 3 2 3" xfId="5123" xr:uid="{00000000-0005-0000-0000-000042110000}"/>
    <cellStyle name="Normal 2 5 4 3 2 3 2" xfId="13573" xr:uid="{F83FBD82-E0ED-4AF0-BD1B-989973AC653F}"/>
    <cellStyle name="Normal 2 5 4 3 2 4" xfId="9355" xr:uid="{650BFDDD-FD73-485C-AF84-53720AC3066D}"/>
    <cellStyle name="Normal 2 5 4 3 3" xfId="1229" xr:uid="{00000000-0005-0000-0000-000043110000}"/>
    <cellStyle name="Normal 2 5 4 3 3 2" xfId="3459" xr:uid="{00000000-0005-0000-0000-000044110000}"/>
    <cellStyle name="Normal 2 5 4 3 3 2 2" xfId="7681" xr:uid="{00000000-0005-0000-0000-000045110000}"/>
    <cellStyle name="Normal 2 5 4 3 3 2 2 2" xfId="16131" xr:uid="{F9AAE7FD-798D-4E28-864B-F6B7E24D1C86}"/>
    <cellStyle name="Normal 2 5 4 3 3 2 3" xfId="11913" xr:uid="{9512949F-31AC-4ABB-A27D-50FF12E41291}"/>
    <cellStyle name="Normal 2 5 4 3 3 3" xfId="5536" xr:uid="{00000000-0005-0000-0000-000046110000}"/>
    <cellStyle name="Normal 2 5 4 3 3 3 2" xfId="13986" xr:uid="{0DA82E2B-6357-4DF3-9427-9EA1A0046F72}"/>
    <cellStyle name="Normal 2 5 4 3 3 4" xfId="9768" xr:uid="{913131BE-D554-498C-923A-378AA0124037}"/>
    <cellStyle name="Normal 2 5 4 3 4" xfId="1642" xr:uid="{00000000-0005-0000-0000-000047110000}"/>
    <cellStyle name="Normal 2 5 4 3 4 2" xfId="3872" xr:uid="{00000000-0005-0000-0000-000048110000}"/>
    <cellStyle name="Normal 2 5 4 3 4 2 2" xfId="8094" xr:uid="{00000000-0005-0000-0000-000049110000}"/>
    <cellStyle name="Normal 2 5 4 3 4 2 2 2" xfId="16544" xr:uid="{5B7A671B-2910-4EBD-8371-09575238C13A}"/>
    <cellStyle name="Normal 2 5 4 3 4 2 3" xfId="12326" xr:uid="{0A324683-A38C-43C0-AC1A-6EAB746DE174}"/>
    <cellStyle name="Normal 2 5 4 3 4 3" xfId="5949" xr:uid="{00000000-0005-0000-0000-00004A110000}"/>
    <cellStyle name="Normal 2 5 4 3 4 3 2" xfId="14399" xr:uid="{0B39FA17-D44F-4DD2-9344-790D10422AB8}"/>
    <cellStyle name="Normal 2 5 4 3 4 4" xfId="10181" xr:uid="{89D19264-4548-4C8C-9C73-970932ADBBB8}"/>
    <cellStyle name="Normal 2 5 4 3 5" xfId="2056" xr:uid="{00000000-0005-0000-0000-00004B110000}"/>
    <cellStyle name="Normal 2 5 4 3 5 2" xfId="4285" xr:uid="{00000000-0005-0000-0000-00004C110000}"/>
    <cellStyle name="Normal 2 5 4 3 5 2 2" xfId="8507" xr:uid="{00000000-0005-0000-0000-00004D110000}"/>
    <cellStyle name="Normal 2 5 4 3 5 2 2 2" xfId="16957" xr:uid="{88E2EAF6-13D0-46A3-994E-C06024D43C6E}"/>
    <cellStyle name="Normal 2 5 4 3 5 2 3" xfId="12739" xr:uid="{6DFFD2CA-64F9-4BF5-81EB-83E7A98EC4EC}"/>
    <cellStyle name="Normal 2 5 4 3 5 3" xfId="6362" xr:uid="{00000000-0005-0000-0000-00004E110000}"/>
    <cellStyle name="Normal 2 5 4 3 5 3 2" xfId="14812" xr:uid="{AE47BC36-A164-44A7-8BAE-247F82B71F23}"/>
    <cellStyle name="Normal 2 5 4 3 5 4" xfId="10594" xr:uid="{9BA366A5-A9F6-4329-A13F-89CC2DD4CA9B}"/>
    <cellStyle name="Normal 2 5 4 3 6" xfId="2492" xr:uid="{00000000-0005-0000-0000-00004F110000}"/>
    <cellStyle name="Normal 2 5 4 3 6 2" xfId="6775" xr:uid="{00000000-0005-0000-0000-000050110000}"/>
    <cellStyle name="Normal 2 5 4 3 6 2 2" xfId="15225" xr:uid="{68F2064C-4808-40CF-A3AB-F9875C399A94}"/>
    <cellStyle name="Normal 2 5 4 3 6 3" xfId="11007" xr:uid="{521ED418-FAC0-4CC1-9962-8FDB76AD4B36}"/>
    <cellStyle name="Normal 2 5 4 3 7" xfId="4709" xr:uid="{00000000-0005-0000-0000-000051110000}"/>
    <cellStyle name="Normal 2 5 4 3 7 2" xfId="13159" xr:uid="{F5272695-F70B-4B4D-89F1-F9320197F627}"/>
    <cellStyle name="Normal 2 5 4 3 8" xfId="8941" xr:uid="{DA9B8FC5-161F-4C8F-9B15-16529878F06D}"/>
    <cellStyle name="Normal 2 5 4 4" xfId="804" xr:uid="{00000000-0005-0000-0000-000052110000}"/>
    <cellStyle name="Normal 2 5 4 4 2" xfId="3043" xr:uid="{00000000-0005-0000-0000-000053110000}"/>
    <cellStyle name="Normal 2 5 4 4 2 2" xfId="7265" xr:uid="{00000000-0005-0000-0000-000054110000}"/>
    <cellStyle name="Normal 2 5 4 4 2 2 2" xfId="15715" xr:uid="{EE612C5E-D637-4B24-9093-CF0786501288}"/>
    <cellStyle name="Normal 2 5 4 4 2 3" xfId="11497" xr:uid="{9D907CCF-AC3B-4021-8273-1B3613CF8E36}"/>
    <cellStyle name="Normal 2 5 4 4 3" xfId="5120" xr:uid="{00000000-0005-0000-0000-000055110000}"/>
    <cellStyle name="Normal 2 5 4 4 3 2" xfId="13570" xr:uid="{8B35527A-34EA-4CFD-8E02-9874328492C4}"/>
    <cellStyle name="Normal 2 5 4 4 4" xfId="9352" xr:uid="{B8788F0E-F5AA-4C97-9230-129F2668FEA5}"/>
    <cellStyle name="Normal 2 5 4 5" xfId="1226" xr:uid="{00000000-0005-0000-0000-000056110000}"/>
    <cellStyle name="Normal 2 5 4 5 2" xfId="3456" xr:uid="{00000000-0005-0000-0000-000057110000}"/>
    <cellStyle name="Normal 2 5 4 5 2 2" xfId="7678" xr:uid="{00000000-0005-0000-0000-000058110000}"/>
    <cellStyle name="Normal 2 5 4 5 2 2 2" xfId="16128" xr:uid="{D9CAAA6D-C9CF-468D-A5CD-64773D5EF0CC}"/>
    <cellStyle name="Normal 2 5 4 5 2 3" xfId="11910" xr:uid="{9E575B1B-0800-4624-A7A8-A5D01D16494A}"/>
    <cellStyle name="Normal 2 5 4 5 3" xfId="5533" xr:uid="{00000000-0005-0000-0000-000059110000}"/>
    <cellStyle name="Normal 2 5 4 5 3 2" xfId="13983" xr:uid="{C662A8CD-21FF-40EE-8076-D8736DA5573B}"/>
    <cellStyle name="Normal 2 5 4 5 4" xfId="9765" xr:uid="{DD0BA0BA-C8B8-4920-BBF3-8CC102862DC5}"/>
    <cellStyle name="Normal 2 5 4 6" xfId="1639" xr:uid="{00000000-0005-0000-0000-00005A110000}"/>
    <cellStyle name="Normal 2 5 4 6 2" xfId="3869" xr:uid="{00000000-0005-0000-0000-00005B110000}"/>
    <cellStyle name="Normal 2 5 4 6 2 2" xfId="8091" xr:uid="{00000000-0005-0000-0000-00005C110000}"/>
    <cellStyle name="Normal 2 5 4 6 2 2 2" xfId="16541" xr:uid="{BA9C3041-54CA-47EA-9F3C-359BCE77D4C9}"/>
    <cellStyle name="Normal 2 5 4 6 2 3" xfId="12323" xr:uid="{AABDC2E1-D33A-44A6-A781-CCB801ED52A0}"/>
    <cellStyle name="Normal 2 5 4 6 3" xfId="5946" xr:uid="{00000000-0005-0000-0000-00005D110000}"/>
    <cellStyle name="Normal 2 5 4 6 3 2" xfId="14396" xr:uid="{5F6C5411-9CF7-40BB-B14F-23E6AB63AB0E}"/>
    <cellStyle name="Normal 2 5 4 6 4" xfId="10178" xr:uid="{B2A7F27F-97C9-4CEE-A926-1B0DF49371DB}"/>
    <cellStyle name="Normal 2 5 4 7" xfId="2053" xr:uid="{00000000-0005-0000-0000-00005E110000}"/>
    <cellStyle name="Normal 2 5 4 7 2" xfId="4282" xr:uid="{00000000-0005-0000-0000-00005F110000}"/>
    <cellStyle name="Normal 2 5 4 7 2 2" xfId="8504" xr:uid="{00000000-0005-0000-0000-000060110000}"/>
    <cellStyle name="Normal 2 5 4 7 2 2 2" xfId="16954" xr:uid="{43CB3A7C-98F5-41BF-89CD-D9601D87254C}"/>
    <cellStyle name="Normal 2 5 4 7 2 3" xfId="12736" xr:uid="{D8BC982F-ADA9-4A4A-B4A4-416FB92C2C93}"/>
    <cellStyle name="Normal 2 5 4 7 3" xfId="6359" xr:uid="{00000000-0005-0000-0000-000061110000}"/>
    <cellStyle name="Normal 2 5 4 7 3 2" xfId="14809" xr:uid="{A4754096-2E51-45A8-B247-99AAD6FABBD3}"/>
    <cellStyle name="Normal 2 5 4 7 4" xfId="10591" xr:uid="{ABA3930C-64CA-4B73-A7A6-F3112A5A281B}"/>
    <cellStyle name="Normal 2 5 4 8" xfId="2489" xr:uid="{00000000-0005-0000-0000-000062110000}"/>
    <cellStyle name="Normal 2 5 4 8 2" xfId="6772" xr:uid="{00000000-0005-0000-0000-000063110000}"/>
    <cellStyle name="Normal 2 5 4 8 2 2" xfId="15222" xr:uid="{11194E8A-B166-4FB2-9E71-9E7DAC9CF273}"/>
    <cellStyle name="Normal 2 5 4 8 3" xfId="11004" xr:uid="{B8E289FA-7290-4E90-B41C-FDB426467CBE}"/>
    <cellStyle name="Normal 2 5 4 9" xfId="4706" xr:uid="{00000000-0005-0000-0000-000064110000}"/>
    <cellStyle name="Normal 2 5 4 9 2" xfId="13156" xr:uid="{C350E179-E575-4CF2-99DA-C612C4D1710E}"/>
    <cellStyle name="Normal 2 5 5" xfId="803" xr:uid="{00000000-0005-0000-0000-000065110000}"/>
    <cellStyle name="Normal 2 5 5 2" xfId="3042" xr:uid="{00000000-0005-0000-0000-000066110000}"/>
    <cellStyle name="Normal 2 5 5 2 2" xfId="7264" xr:uid="{00000000-0005-0000-0000-000067110000}"/>
    <cellStyle name="Normal 2 5 5 2 2 2" xfId="15714" xr:uid="{6CF23E1D-DBA8-4AF7-82AD-B62D6C806E4E}"/>
    <cellStyle name="Normal 2 5 5 2 3" xfId="11496" xr:uid="{5E70E326-E985-41C0-9F20-4D38E80113E9}"/>
    <cellStyle name="Normal 2 5 5 3" xfId="5119" xr:uid="{00000000-0005-0000-0000-000068110000}"/>
    <cellStyle name="Normal 2 5 5 3 2" xfId="13569" xr:uid="{7B32A348-C7AE-48F9-94CB-80561A6340F7}"/>
    <cellStyle name="Normal 2 5 5 4" xfId="9351" xr:uid="{FE11ACE6-BA5D-4B67-AE91-E7C20D621FA6}"/>
    <cellStyle name="Normal 2 5 6" xfId="1225" xr:uid="{00000000-0005-0000-0000-000069110000}"/>
    <cellStyle name="Normal 2 5 6 2" xfId="3455" xr:uid="{00000000-0005-0000-0000-00006A110000}"/>
    <cellStyle name="Normal 2 5 6 2 2" xfId="7677" xr:uid="{00000000-0005-0000-0000-00006B110000}"/>
    <cellStyle name="Normal 2 5 6 2 2 2" xfId="16127" xr:uid="{CF09B8EB-A293-477F-9A43-270EFCCF520F}"/>
    <cellStyle name="Normal 2 5 6 2 3" xfId="11909" xr:uid="{4C2D020E-F151-493E-BE3F-D8897CA2C614}"/>
    <cellStyle name="Normal 2 5 6 3" xfId="5532" xr:uid="{00000000-0005-0000-0000-00006C110000}"/>
    <cellStyle name="Normal 2 5 6 3 2" xfId="13982" xr:uid="{B17724DA-580A-484A-B448-50F4350100FE}"/>
    <cellStyle name="Normal 2 5 6 4" xfId="9764" xr:uid="{566D0C69-3F80-4713-A0AE-391B64233F2D}"/>
    <cellStyle name="Normal 2 5 7" xfId="1638" xr:uid="{00000000-0005-0000-0000-00006D110000}"/>
    <cellStyle name="Normal 2 5 7 2" xfId="3868" xr:uid="{00000000-0005-0000-0000-00006E110000}"/>
    <cellStyle name="Normal 2 5 7 2 2" xfId="8090" xr:uid="{00000000-0005-0000-0000-00006F110000}"/>
    <cellStyle name="Normal 2 5 7 2 2 2" xfId="16540" xr:uid="{13CD81ED-C387-470F-8C80-B4846BE02DD4}"/>
    <cellStyle name="Normal 2 5 7 2 3" xfId="12322" xr:uid="{894F4903-4774-4DBD-88EA-1C75D6EE23BA}"/>
    <cellStyle name="Normal 2 5 7 3" xfId="5945" xr:uid="{00000000-0005-0000-0000-000070110000}"/>
    <cellStyle name="Normal 2 5 7 3 2" xfId="14395" xr:uid="{CF15A14F-34F4-4096-BD8D-F01197B4E9CD}"/>
    <cellStyle name="Normal 2 5 7 4" xfId="10177" xr:uid="{7946F512-6AF8-4667-AC78-2B773F2FF2E9}"/>
    <cellStyle name="Normal 2 5 8" xfId="2052" xr:uid="{00000000-0005-0000-0000-000071110000}"/>
    <cellStyle name="Normal 2 5 8 2" xfId="4281" xr:uid="{00000000-0005-0000-0000-000072110000}"/>
    <cellStyle name="Normal 2 5 8 2 2" xfId="8503" xr:uid="{00000000-0005-0000-0000-000073110000}"/>
    <cellStyle name="Normal 2 5 8 2 2 2" xfId="16953" xr:uid="{608EE9D9-786E-404B-A64A-D8B0621A542D}"/>
    <cellStyle name="Normal 2 5 8 2 3" xfId="12735" xr:uid="{57CDEDA1-E7B6-46C8-A541-D22CB7EE0625}"/>
    <cellStyle name="Normal 2 5 8 3" xfId="6358" xr:uid="{00000000-0005-0000-0000-000074110000}"/>
    <cellStyle name="Normal 2 5 8 3 2" xfId="14808" xr:uid="{05C0FA0E-CA0E-4A28-8C05-F66E7AE81102}"/>
    <cellStyle name="Normal 2 5 8 4" xfId="10590" xr:uid="{171EF511-8132-44D2-BE4E-088911C3BB31}"/>
    <cellStyle name="Normal 2 5 9" xfId="2488" xr:uid="{00000000-0005-0000-0000-000075110000}"/>
    <cellStyle name="Normal 2 5 9 2" xfId="6771" xr:uid="{00000000-0005-0000-0000-000076110000}"/>
    <cellStyle name="Normal 2 5 9 2 2" xfId="15221" xr:uid="{F248FC8B-0013-400B-B069-335A3B792CB0}"/>
    <cellStyle name="Normal 2 5 9 3" xfId="11003" xr:uid="{43ACF5BD-936B-4D2C-B1B9-F596BEF45CE6}"/>
    <cellStyle name="Normal 2 6" xfId="322" xr:uid="{00000000-0005-0000-0000-000077110000}"/>
    <cellStyle name="Normal 2 7" xfId="769" xr:uid="{00000000-0005-0000-0000-000078110000}"/>
    <cellStyle name="Normal 2 8" xfId="4495" xr:uid="{00000000-0005-0000-0000-000079110000}"/>
    <cellStyle name="Normal 2 8 2" xfId="12947" xr:uid="{2103EEFD-7BEC-4F1E-8E0B-15178E9E87B2}"/>
    <cellStyle name="Normal 3" xfId="323" xr:uid="{00000000-0005-0000-0000-00007A110000}"/>
    <cellStyle name="Normal 3 2" xfId="324" xr:uid="{00000000-0005-0000-0000-00007B110000}"/>
    <cellStyle name="Normal 3 2 10" xfId="8942" xr:uid="{46B1A203-100E-41C1-B553-9221DC2FB9AA}"/>
    <cellStyle name="Normal 3 2 2" xfId="325" xr:uid="{00000000-0005-0000-0000-00007C110000}"/>
    <cellStyle name="Normal 3 2 2 2" xfId="810" xr:uid="{00000000-0005-0000-0000-00007D110000}"/>
    <cellStyle name="Normal 3 2 3" xfId="326" xr:uid="{00000000-0005-0000-0000-00007E110000}"/>
    <cellStyle name="Normal 3 2 3 10" xfId="8943" xr:uid="{455A05F7-0BDF-4AEC-9ED2-7112B6EEC29A}"/>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2 2 2" xfId="15722" xr:uid="{1F49B10A-755C-47EF-B9A6-B8BAAFB1C071}"/>
    <cellStyle name="Normal 3 2 3 2 2 2 2 3" xfId="11504" xr:uid="{B8FEEA56-D0A4-45E6-8B06-9BFA854ED668}"/>
    <cellStyle name="Normal 3 2 3 2 2 2 3" xfId="5127" xr:uid="{00000000-0005-0000-0000-000084110000}"/>
    <cellStyle name="Normal 3 2 3 2 2 2 3 2" xfId="13577" xr:uid="{740A3700-8D34-4835-B600-EDA0CC91A553}"/>
    <cellStyle name="Normal 3 2 3 2 2 2 4" xfId="9359" xr:uid="{6EC13DA1-2334-4C69-A910-B633AE265429}"/>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2 2 2" xfId="16135" xr:uid="{B6D043B9-AC35-4BB6-8079-879F41DF0BF9}"/>
    <cellStyle name="Normal 3 2 3 2 2 3 2 3" xfId="11917" xr:uid="{B6D2DCAB-E3E9-499B-96F0-3CA135A38C62}"/>
    <cellStyle name="Normal 3 2 3 2 2 3 3" xfId="5540" xr:uid="{00000000-0005-0000-0000-000088110000}"/>
    <cellStyle name="Normal 3 2 3 2 2 3 3 2" xfId="13990" xr:uid="{47DE4357-4BFB-42F5-B56B-C1DAF4349003}"/>
    <cellStyle name="Normal 3 2 3 2 2 3 4" xfId="9772" xr:uid="{F5996F21-583E-44C5-9D79-0688E634C1EB}"/>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2 2 2" xfId="16548" xr:uid="{7A3F1A0C-F30D-4F39-AB8B-0D6447EB9F3F}"/>
    <cellStyle name="Normal 3 2 3 2 2 4 2 3" xfId="12330" xr:uid="{E72C191E-BF55-49C4-B0E6-7C74E851B245}"/>
    <cellStyle name="Normal 3 2 3 2 2 4 3" xfId="5953" xr:uid="{00000000-0005-0000-0000-00008C110000}"/>
    <cellStyle name="Normal 3 2 3 2 2 4 3 2" xfId="14403" xr:uid="{6C458ED4-E222-4799-882F-F8BB8EB23B6F}"/>
    <cellStyle name="Normal 3 2 3 2 2 4 4" xfId="10185" xr:uid="{29722B1A-10E1-44C4-8DE3-2959247AE6BA}"/>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2 2 2" xfId="16961" xr:uid="{8FCE9DC2-AAC8-4FF6-9B95-68E2741B3A21}"/>
    <cellStyle name="Normal 3 2 3 2 2 5 2 3" xfId="12743" xr:uid="{553F727D-84A9-42C5-AF05-8EA8CF1DBFB3}"/>
    <cellStyle name="Normal 3 2 3 2 2 5 3" xfId="6366" xr:uid="{00000000-0005-0000-0000-000090110000}"/>
    <cellStyle name="Normal 3 2 3 2 2 5 3 2" xfId="14816" xr:uid="{8FEF26E8-954A-498F-BA6C-05CF80E7A233}"/>
    <cellStyle name="Normal 3 2 3 2 2 5 4" xfId="10598" xr:uid="{CE59C0C4-B26C-4A4F-86F5-600A84BC3E14}"/>
    <cellStyle name="Normal 3 2 3 2 2 6" xfId="2496" xr:uid="{00000000-0005-0000-0000-000091110000}"/>
    <cellStyle name="Normal 3 2 3 2 2 6 2" xfId="6779" xr:uid="{00000000-0005-0000-0000-000092110000}"/>
    <cellStyle name="Normal 3 2 3 2 2 6 2 2" xfId="15229" xr:uid="{ADD067F2-47BC-4FEE-BEF3-4C19C511E3A6}"/>
    <cellStyle name="Normal 3 2 3 2 2 6 3" xfId="11011" xr:uid="{5E27AFD7-561E-432C-8DC7-115109CF1E73}"/>
    <cellStyle name="Normal 3 2 3 2 2 7" xfId="4713" xr:uid="{00000000-0005-0000-0000-000093110000}"/>
    <cellStyle name="Normal 3 2 3 2 2 7 2" xfId="13163" xr:uid="{844E63DB-D0F3-40E5-AF8F-D409926E0210}"/>
    <cellStyle name="Normal 3 2 3 2 2 8" xfId="8945" xr:uid="{61AAEB46-F35E-49D7-8633-111E090A4FAA}"/>
    <cellStyle name="Normal 3 2 3 2 3" xfId="812" xr:uid="{00000000-0005-0000-0000-000094110000}"/>
    <cellStyle name="Normal 3 2 3 2 3 2" xfId="3049" xr:uid="{00000000-0005-0000-0000-000095110000}"/>
    <cellStyle name="Normal 3 2 3 2 3 2 2" xfId="7271" xr:uid="{00000000-0005-0000-0000-000096110000}"/>
    <cellStyle name="Normal 3 2 3 2 3 2 2 2" xfId="15721" xr:uid="{D501B798-90B1-4945-8F7B-96499589888F}"/>
    <cellStyle name="Normal 3 2 3 2 3 2 3" xfId="11503" xr:uid="{BE07FF8A-8A0A-4242-9677-B5553932A1B3}"/>
    <cellStyle name="Normal 3 2 3 2 3 3" xfId="5126" xr:uid="{00000000-0005-0000-0000-000097110000}"/>
    <cellStyle name="Normal 3 2 3 2 3 3 2" xfId="13576" xr:uid="{8EB2E9B3-AC40-44B8-88EC-3DF8F1712F72}"/>
    <cellStyle name="Normal 3 2 3 2 3 4" xfId="9358" xr:uid="{32FE685D-BB07-421A-95DB-4F2B16BFE044}"/>
    <cellStyle name="Normal 3 2 3 2 4" xfId="1232" xr:uid="{00000000-0005-0000-0000-000098110000}"/>
    <cellStyle name="Normal 3 2 3 2 4 2" xfId="3462" xr:uid="{00000000-0005-0000-0000-000099110000}"/>
    <cellStyle name="Normal 3 2 3 2 4 2 2" xfId="7684" xr:uid="{00000000-0005-0000-0000-00009A110000}"/>
    <cellStyle name="Normal 3 2 3 2 4 2 2 2" xfId="16134" xr:uid="{90BF6F15-E595-4A53-B8D8-E77874413CAA}"/>
    <cellStyle name="Normal 3 2 3 2 4 2 3" xfId="11916" xr:uid="{FA075E0D-E283-48B3-BC8D-8002D01BA525}"/>
    <cellStyle name="Normal 3 2 3 2 4 3" xfId="5539" xr:uid="{00000000-0005-0000-0000-00009B110000}"/>
    <cellStyle name="Normal 3 2 3 2 4 3 2" xfId="13989" xr:uid="{11C77084-1190-482E-98E2-EDF126B051BB}"/>
    <cellStyle name="Normal 3 2 3 2 4 4" xfId="9771" xr:uid="{1476EFD2-679E-4E4B-B19D-7E72C492EA69}"/>
    <cellStyle name="Normal 3 2 3 2 5" xfId="1645" xr:uid="{00000000-0005-0000-0000-00009C110000}"/>
    <cellStyle name="Normal 3 2 3 2 5 2" xfId="3875" xr:uid="{00000000-0005-0000-0000-00009D110000}"/>
    <cellStyle name="Normal 3 2 3 2 5 2 2" xfId="8097" xr:uid="{00000000-0005-0000-0000-00009E110000}"/>
    <cellStyle name="Normal 3 2 3 2 5 2 2 2" xfId="16547" xr:uid="{70909B9A-A1FD-4528-BEBA-DBA7AA44DF71}"/>
    <cellStyle name="Normal 3 2 3 2 5 2 3" xfId="12329" xr:uid="{9A030B26-0D63-4DCC-9EA9-049845B3F73F}"/>
    <cellStyle name="Normal 3 2 3 2 5 3" xfId="5952" xr:uid="{00000000-0005-0000-0000-00009F110000}"/>
    <cellStyle name="Normal 3 2 3 2 5 3 2" xfId="14402" xr:uid="{FE2F2DC6-05D4-4610-B0E3-A477FA30D1CC}"/>
    <cellStyle name="Normal 3 2 3 2 5 4" xfId="10184" xr:uid="{6BEB2A3C-F985-4302-8632-740A3212297F}"/>
    <cellStyle name="Normal 3 2 3 2 6" xfId="2059" xr:uid="{00000000-0005-0000-0000-0000A0110000}"/>
    <cellStyle name="Normal 3 2 3 2 6 2" xfId="4288" xr:uid="{00000000-0005-0000-0000-0000A1110000}"/>
    <cellStyle name="Normal 3 2 3 2 6 2 2" xfId="8510" xr:uid="{00000000-0005-0000-0000-0000A2110000}"/>
    <cellStyle name="Normal 3 2 3 2 6 2 2 2" xfId="16960" xr:uid="{47FDF2DB-5B50-473B-AF01-CAAE55B89C00}"/>
    <cellStyle name="Normal 3 2 3 2 6 2 3" xfId="12742" xr:uid="{2D795D8D-F7E3-4E9A-858D-E63F9A823A3F}"/>
    <cellStyle name="Normal 3 2 3 2 6 3" xfId="6365" xr:uid="{00000000-0005-0000-0000-0000A3110000}"/>
    <cellStyle name="Normal 3 2 3 2 6 3 2" xfId="14815" xr:uid="{A99F4F93-A4DB-4E3C-BE59-B2CFFA2DB235}"/>
    <cellStyle name="Normal 3 2 3 2 6 4" xfId="10597" xr:uid="{6BA0A513-7FC2-4321-BAD3-CD28A7F4C8D1}"/>
    <cellStyle name="Normal 3 2 3 2 7" xfId="2495" xr:uid="{00000000-0005-0000-0000-0000A4110000}"/>
    <cellStyle name="Normal 3 2 3 2 7 2" xfId="6778" xr:uid="{00000000-0005-0000-0000-0000A5110000}"/>
    <cellStyle name="Normal 3 2 3 2 7 2 2" xfId="15228" xr:uid="{39014E37-5106-4A14-8559-D0F8BCD42973}"/>
    <cellStyle name="Normal 3 2 3 2 7 3" xfId="11010" xr:uid="{90408EB1-1B48-4B16-9AF6-C4BA6FD8E7A6}"/>
    <cellStyle name="Normal 3 2 3 2 8" xfId="4712" xr:uid="{00000000-0005-0000-0000-0000A6110000}"/>
    <cellStyle name="Normal 3 2 3 2 8 2" xfId="13162" xr:uid="{1774721A-AD6E-462C-B9E7-37B35DD18856}"/>
    <cellStyle name="Normal 3 2 3 2 9" xfId="8944" xr:uid="{86962246-51B7-42FC-887A-F63B52F15352}"/>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2 2 2" xfId="15723" xr:uid="{EC48FC47-E1C6-43A3-8019-081D5127D5C9}"/>
    <cellStyle name="Normal 3 2 3 3 2 2 3" xfId="11505" xr:uid="{CD613CD4-AE5B-4334-9D26-0CFD94F8D141}"/>
    <cellStyle name="Normal 3 2 3 3 2 3" xfId="5128" xr:uid="{00000000-0005-0000-0000-0000AB110000}"/>
    <cellStyle name="Normal 3 2 3 3 2 3 2" xfId="13578" xr:uid="{7552D038-2FC5-41DD-8CEC-E1AB85FDA860}"/>
    <cellStyle name="Normal 3 2 3 3 2 4" xfId="9360" xr:uid="{920D98F1-2B99-45D5-A6BE-A478C442BE87}"/>
    <cellStyle name="Normal 3 2 3 3 3" xfId="1234" xr:uid="{00000000-0005-0000-0000-0000AC110000}"/>
    <cellStyle name="Normal 3 2 3 3 3 2" xfId="3464" xr:uid="{00000000-0005-0000-0000-0000AD110000}"/>
    <cellStyle name="Normal 3 2 3 3 3 2 2" xfId="7686" xr:uid="{00000000-0005-0000-0000-0000AE110000}"/>
    <cellStyle name="Normal 3 2 3 3 3 2 2 2" xfId="16136" xr:uid="{EAD5A74B-82C5-4452-B2AA-18620AA53179}"/>
    <cellStyle name="Normal 3 2 3 3 3 2 3" xfId="11918" xr:uid="{82E627D4-C329-4CD0-A0D6-D21A7B2F0F78}"/>
    <cellStyle name="Normal 3 2 3 3 3 3" xfId="5541" xr:uid="{00000000-0005-0000-0000-0000AF110000}"/>
    <cellStyle name="Normal 3 2 3 3 3 3 2" xfId="13991" xr:uid="{36979BD7-5CDB-431E-85A4-AB400F6EF47F}"/>
    <cellStyle name="Normal 3 2 3 3 3 4" xfId="9773" xr:uid="{F327F400-9FB1-4399-896E-AEB19E073C46}"/>
    <cellStyle name="Normal 3 2 3 3 4" xfId="1647" xr:uid="{00000000-0005-0000-0000-0000B0110000}"/>
    <cellStyle name="Normal 3 2 3 3 4 2" xfId="3877" xr:uid="{00000000-0005-0000-0000-0000B1110000}"/>
    <cellStyle name="Normal 3 2 3 3 4 2 2" xfId="8099" xr:uid="{00000000-0005-0000-0000-0000B2110000}"/>
    <cellStyle name="Normal 3 2 3 3 4 2 2 2" xfId="16549" xr:uid="{F71E0470-A663-4978-89AD-C9A27346CC2E}"/>
    <cellStyle name="Normal 3 2 3 3 4 2 3" xfId="12331" xr:uid="{8A957CB7-BC69-4E56-A1EF-B2A22CAB736A}"/>
    <cellStyle name="Normal 3 2 3 3 4 3" xfId="5954" xr:uid="{00000000-0005-0000-0000-0000B3110000}"/>
    <cellStyle name="Normal 3 2 3 3 4 3 2" xfId="14404" xr:uid="{3AC01312-C21E-41F9-A3D7-8B08D0152B80}"/>
    <cellStyle name="Normal 3 2 3 3 4 4" xfId="10186" xr:uid="{30A6742E-17EE-42C5-9461-D23060E98D70}"/>
    <cellStyle name="Normal 3 2 3 3 5" xfId="2061" xr:uid="{00000000-0005-0000-0000-0000B4110000}"/>
    <cellStyle name="Normal 3 2 3 3 5 2" xfId="4290" xr:uid="{00000000-0005-0000-0000-0000B5110000}"/>
    <cellStyle name="Normal 3 2 3 3 5 2 2" xfId="8512" xr:uid="{00000000-0005-0000-0000-0000B6110000}"/>
    <cellStyle name="Normal 3 2 3 3 5 2 2 2" xfId="16962" xr:uid="{1734D1B1-E375-4E02-8E02-A2E547ECC291}"/>
    <cellStyle name="Normal 3 2 3 3 5 2 3" xfId="12744" xr:uid="{ED994722-D7E0-482C-B01E-DCE2D890A388}"/>
    <cellStyle name="Normal 3 2 3 3 5 3" xfId="6367" xr:uid="{00000000-0005-0000-0000-0000B7110000}"/>
    <cellStyle name="Normal 3 2 3 3 5 3 2" xfId="14817" xr:uid="{7502161F-7CCB-47CC-BB4B-A1818969BB96}"/>
    <cellStyle name="Normal 3 2 3 3 5 4" xfId="10599" xr:uid="{3E81447F-6B0C-4536-8C63-A8A37A68EC59}"/>
    <cellStyle name="Normal 3 2 3 3 6" xfId="2497" xr:uid="{00000000-0005-0000-0000-0000B8110000}"/>
    <cellStyle name="Normal 3 2 3 3 6 2" xfId="6780" xr:uid="{00000000-0005-0000-0000-0000B9110000}"/>
    <cellStyle name="Normal 3 2 3 3 6 2 2" xfId="15230" xr:uid="{0D84A064-B770-4F84-8038-131545E584C7}"/>
    <cellStyle name="Normal 3 2 3 3 6 3" xfId="11012" xr:uid="{63ACB766-6062-4917-A462-012DFFA043CF}"/>
    <cellStyle name="Normal 3 2 3 3 7" xfId="4714" xr:uid="{00000000-0005-0000-0000-0000BA110000}"/>
    <cellStyle name="Normal 3 2 3 3 7 2" xfId="13164" xr:uid="{2A15675D-7AE4-4986-B8B2-6D2452665025}"/>
    <cellStyle name="Normal 3 2 3 3 8" xfId="8946" xr:uid="{C294CBE9-8AC5-420E-95E2-E296EE1296E2}"/>
    <cellStyle name="Normal 3 2 3 4" xfId="811" xr:uid="{00000000-0005-0000-0000-0000BB110000}"/>
    <cellStyle name="Normal 3 2 3 4 2" xfId="3048" xr:uid="{00000000-0005-0000-0000-0000BC110000}"/>
    <cellStyle name="Normal 3 2 3 4 2 2" xfId="7270" xr:uid="{00000000-0005-0000-0000-0000BD110000}"/>
    <cellStyle name="Normal 3 2 3 4 2 2 2" xfId="15720" xr:uid="{C7D44D7E-2754-4DB5-B89E-C5457871AD66}"/>
    <cellStyle name="Normal 3 2 3 4 2 3" xfId="11502" xr:uid="{FEC10068-F19C-4955-B092-51B48110A1FA}"/>
    <cellStyle name="Normal 3 2 3 4 3" xfId="5125" xr:uid="{00000000-0005-0000-0000-0000BE110000}"/>
    <cellStyle name="Normal 3 2 3 4 3 2" xfId="13575" xr:uid="{46E97D38-2213-4EB8-BD14-65E5614D57F1}"/>
    <cellStyle name="Normal 3 2 3 4 4" xfId="9357" xr:uid="{666DAE03-2EFF-4FAB-A255-82610939C535}"/>
    <cellStyle name="Normal 3 2 3 5" xfId="1231" xr:uid="{00000000-0005-0000-0000-0000BF110000}"/>
    <cellStyle name="Normal 3 2 3 5 2" xfId="3461" xr:uid="{00000000-0005-0000-0000-0000C0110000}"/>
    <cellStyle name="Normal 3 2 3 5 2 2" xfId="7683" xr:uid="{00000000-0005-0000-0000-0000C1110000}"/>
    <cellStyle name="Normal 3 2 3 5 2 2 2" xfId="16133" xr:uid="{83A6B56C-96A3-4E55-B334-2B632983D7B5}"/>
    <cellStyle name="Normal 3 2 3 5 2 3" xfId="11915" xr:uid="{A23DD6E8-E3DA-46B4-B0DB-7ED235AA5F99}"/>
    <cellStyle name="Normal 3 2 3 5 3" xfId="5538" xr:uid="{00000000-0005-0000-0000-0000C2110000}"/>
    <cellStyle name="Normal 3 2 3 5 3 2" xfId="13988" xr:uid="{8422EE51-1C53-4B6D-8B35-E96A98357F2B}"/>
    <cellStyle name="Normal 3 2 3 5 4" xfId="9770" xr:uid="{4924A9FD-1175-4B8F-A0B1-CDBF77CA7428}"/>
    <cellStyle name="Normal 3 2 3 6" xfId="1644" xr:uid="{00000000-0005-0000-0000-0000C3110000}"/>
    <cellStyle name="Normal 3 2 3 6 2" xfId="3874" xr:uid="{00000000-0005-0000-0000-0000C4110000}"/>
    <cellStyle name="Normal 3 2 3 6 2 2" xfId="8096" xr:uid="{00000000-0005-0000-0000-0000C5110000}"/>
    <cellStyle name="Normal 3 2 3 6 2 2 2" xfId="16546" xr:uid="{78C3D042-4CDA-49AA-9D76-D4B66502FD47}"/>
    <cellStyle name="Normal 3 2 3 6 2 3" xfId="12328" xr:uid="{7FA64452-48A6-44DC-AE77-3CFBC30F56FA}"/>
    <cellStyle name="Normal 3 2 3 6 3" xfId="5951" xr:uid="{00000000-0005-0000-0000-0000C6110000}"/>
    <cellStyle name="Normal 3 2 3 6 3 2" xfId="14401" xr:uid="{ACB02AC8-A447-4784-A826-2D84810343B6}"/>
    <cellStyle name="Normal 3 2 3 6 4" xfId="10183" xr:uid="{C9C8B18F-289E-44AA-820C-20149559B0F1}"/>
    <cellStyle name="Normal 3 2 3 7" xfId="2058" xr:uid="{00000000-0005-0000-0000-0000C7110000}"/>
    <cellStyle name="Normal 3 2 3 7 2" xfId="4287" xr:uid="{00000000-0005-0000-0000-0000C8110000}"/>
    <cellStyle name="Normal 3 2 3 7 2 2" xfId="8509" xr:uid="{00000000-0005-0000-0000-0000C9110000}"/>
    <cellStyle name="Normal 3 2 3 7 2 2 2" xfId="16959" xr:uid="{9849C445-B4BD-4817-BA76-CE735D261A6C}"/>
    <cellStyle name="Normal 3 2 3 7 2 3" xfId="12741" xr:uid="{53F33D5F-C67F-4E99-836A-B134281C2BF0}"/>
    <cellStyle name="Normal 3 2 3 7 3" xfId="6364" xr:uid="{00000000-0005-0000-0000-0000CA110000}"/>
    <cellStyle name="Normal 3 2 3 7 3 2" xfId="14814" xr:uid="{4536990A-92BF-4B48-A8B7-D06F837B49B9}"/>
    <cellStyle name="Normal 3 2 3 7 4" xfId="10596" xr:uid="{2C01AB5B-EBFB-45A6-AC58-1CC868833BE5}"/>
    <cellStyle name="Normal 3 2 3 8" xfId="2494" xr:uid="{00000000-0005-0000-0000-0000CB110000}"/>
    <cellStyle name="Normal 3 2 3 8 2" xfId="6777" xr:uid="{00000000-0005-0000-0000-0000CC110000}"/>
    <cellStyle name="Normal 3 2 3 8 2 2" xfId="15227" xr:uid="{9F42E70D-548E-4300-980C-F7E4FD15B28D}"/>
    <cellStyle name="Normal 3 2 3 8 3" xfId="11009" xr:uid="{F144C569-4A0F-4154-86A3-F01158F07BDF}"/>
    <cellStyle name="Normal 3 2 3 9" xfId="4711" xr:uid="{00000000-0005-0000-0000-0000CD110000}"/>
    <cellStyle name="Normal 3 2 3 9 2" xfId="13161" xr:uid="{2C661E63-44C0-4814-9DD2-612310A0832F}"/>
    <cellStyle name="Normal 3 2 4" xfId="809" xr:uid="{00000000-0005-0000-0000-0000CE110000}"/>
    <cellStyle name="Normal 3 2 4 2" xfId="3047" xr:uid="{00000000-0005-0000-0000-0000CF110000}"/>
    <cellStyle name="Normal 3 2 4 2 2" xfId="7269" xr:uid="{00000000-0005-0000-0000-0000D0110000}"/>
    <cellStyle name="Normal 3 2 4 2 2 2" xfId="15719" xr:uid="{26B51DD3-4E06-4448-855B-4CB63D5966C4}"/>
    <cellStyle name="Normal 3 2 4 2 3" xfId="11501" xr:uid="{50314F60-6629-4CC8-921E-4F98DCD2DB3E}"/>
    <cellStyle name="Normal 3 2 4 3" xfId="5124" xr:uid="{00000000-0005-0000-0000-0000D1110000}"/>
    <cellStyle name="Normal 3 2 4 3 2" xfId="13574" xr:uid="{8705307F-5AC9-4E73-9C83-3040B411214E}"/>
    <cellStyle name="Normal 3 2 4 4" xfId="9356" xr:uid="{27E58AC0-CBC0-4BAD-ABD5-116E19B2E4D9}"/>
    <cellStyle name="Normal 3 2 5" xfId="1230" xr:uid="{00000000-0005-0000-0000-0000D2110000}"/>
    <cellStyle name="Normal 3 2 5 2" xfId="3460" xr:uid="{00000000-0005-0000-0000-0000D3110000}"/>
    <cellStyle name="Normal 3 2 5 2 2" xfId="7682" xr:uid="{00000000-0005-0000-0000-0000D4110000}"/>
    <cellStyle name="Normal 3 2 5 2 2 2" xfId="16132" xr:uid="{F43C5EB7-2EA1-4C7F-AFC5-29D2874FD739}"/>
    <cellStyle name="Normal 3 2 5 2 3" xfId="11914" xr:uid="{E386EB31-3CCC-4EC9-B457-3AE8203894BA}"/>
    <cellStyle name="Normal 3 2 5 3" xfId="5537" xr:uid="{00000000-0005-0000-0000-0000D5110000}"/>
    <cellStyle name="Normal 3 2 5 3 2" xfId="13987" xr:uid="{B172C588-1773-4A93-B854-C78763AAAA19}"/>
    <cellStyle name="Normal 3 2 5 4" xfId="9769" xr:uid="{EB0D2DA6-0585-49FD-9377-C08F318A3573}"/>
    <cellStyle name="Normal 3 2 6" xfId="1643" xr:uid="{00000000-0005-0000-0000-0000D6110000}"/>
    <cellStyle name="Normal 3 2 6 2" xfId="3873" xr:uid="{00000000-0005-0000-0000-0000D7110000}"/>
    <cellStyle name="Normal 3 2 6 2 2" xfId="8095" xr:uid="{00000000-0005-0000-0000-0000D8110000}"/>
    <cellStyle name="Normal 3 2 6 2 2 2" xfId="16545" xr:uid="{B5318877-188F-460E-BA51-11EC7794800E}"/>
    <cellStyle name="Normal 3 2 6 2 3" xfId="12327" xr:uid="{2FC169BC-9D5F-4377-A71A-AB7CEDD7DA35}"/>
    <cellStyle name="Normal 3 2 6 3" xfId="5950" xr:uid="{00000000-0005-0000-0000-0000D9110000}"/>
    <cellStyle name="Normal 3 2 6 3 2" xfId="14400" xr:uid="{82164740-BD98-43AA-9690-7DB4FFDF0C7A}"/>
    <cellStyle name="Normal 3 2 6 4" xfId="10182" xr:uid="{6FA483E3-9322-405A-B246-7BFDE08D8F9D}"/>
    <cellStyle name="Normal 3 2 7" xfId="2057" xr:uid="{00000000-0005-0000-0000-0000DA110000}"/>
    <cellStyle name="Normal 3 2 7 2" xfId="4286" xr:uid="{00000000-0005-0000-0000-0000DB110000}"/>
    <cellStyle name="Normal 3 2 7 2 2" xfId="8508" xr:uid="{00000000-0005-0000-0000-0000DC110000}"/>
    <cellStyle name="Normal 3 2 7 2 2 2" xfId="16958" xr:uid="{DB488C54-B154-4ACA-86BD-EDF784FD73BE}"/>
    <cellStyle name="Normal 3 2 7 2 3" xfId="12740" xr:uid="{65E4A1D7-ECCB-4B83-B4FC-125B1A64F593}"/>
    <cellStyle name="Normal 3 2 7 3" xfId="6363" xr:uid="{00000000-0005-0000-0000-0000DD110000}"/>
    <cellStyle name="Normal 3 2 7 3 2" xfId="14813" xr:uid="{F5DB7BAB-6954-4925-A152-E342F26CDC72}"/>
    <cellStyle name="Normal 3 2 7 4" xfId="10595" xr:uid="{648D323B-D820-4ACA-8057-A5EE3C34BC07}"/>
    <cellStyle name="Normal 3 2 8" xfId="2493" xr:uid="{00000000-0005-0000-0000-0000DE110000}"/>
    <cellStyle name="Normal 3 2 8 2" xfId="6776" xr:uid="{00000000-0005-0000-0000-0000DF110000}"/>
    <cellStyle name="Normal 3 2 8 2 2" xfId="15226" xr:uid="{0AC8369C-2E35-4476-B919-F1C2BB513377}"/>
    <cellStyle name="Normal 3 2 8 3" xfId="11008" xr:uid="{2741B686-A4FE-4FF9-9F63-942BCCDABBAF}"/>
    <cellStyle name="Normal 3 2 9" xfId="4710" xr:uid="{00000000-0005-0000-0000-0000E0110000}"/>
    <cellStyle name="Normal 3 2 9 2" xfId="13160" xr:uid="{675F2CF7-DA4F-4E5F-A416-F4C4F7C59E64}"/>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10" xfId="8947" xr:uid="{88AC1A7B-A4F4-4422-B341-D7198E7BF921}"/>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2 2 2" xfId="16963" xr:uid="{919FCFB7-C492-49D3-B0D8-1F55D938573D}"/>
    <cellStyle name="Normal 4 2 2 10 2 3" xfId="12745" xr:uid="{A3D7A96D-3946-41C0-B415-804C9184A6BD}"/>
    <cellStyle name="Normal 4 2 2 10 3" xfId="6368" xr:uid="{00000000-0005-0000-0000-0000ED110000}"/>
    <cellStyle name="Normal 4 2 2 10 3 2" xfId="14818" xr:uid="{463C5E5A-1271-42E7-B83A-20C764CF57DA}"/>
    <cellStyle name="Normal 4 2 2 10 4" xfId="10600" xr:uid="{85761F52-3488-46C8-8B6A-86396A430B28}"/>
    <cellStyle name="Normal 4 2 2 11" xfId="2498" xr:uid="{00000000-0005-0000-0000-0000EE110000}"/>
    <cellStyle name="Normal 4 2 2 11 2" xfId="6781" xr:uid="{00000000-0005-0000-0000-0000EF110000}"/>
    <cellStyle name="Normal 4 2 2 11 2 2" xfId="15231" xr:uid="{936092A0-931C-4E5B-BD07-4424104C6CE9}"/>
    <cellStyle name="Normal 4 2 2 11 3" xfId="11013" xr:uid="{20064E7E-63EF-4473-92A6-565DC9280F3B}"/>
    <cellStyle name="Normal 4 2 2 12" xfId="4716" xr:uid="{00000000-0005-0000-0000-0000F0110000}"/>
    <cellStyle name="Normal 4 2 2 12 2" xfId="13166" xr:uid="{C2FA2CF2-9E89-4803-98C1-1EACF50830F3}"/>
    <cellStyle name="Normal 4 2 2 13" xfId="8948" xr:uid="{A4BD0286-051D-4AE7-AB12-44E1F8A541AF}"/>
    <cellStyle name="Normal 4 2 2 2" xfId="338" xr:uid="{00000000-0005-0000-0000-0000F1110000}"/>
    <cellStyle name="Normal 4 2 2 3" xfId="339" xr:uid="{00000000-0005-0000-0000-0000F2110000}"/>
    <cellStyle name="Normal 4 2 2 3 10" xfId="4717" xr:uid="{00000000-0005-0000-0000-0000F3110000}"/>
    <cellStyle name="Normal 4 2 2 3 10 2" xfId="13167" xr:uid="{43EB2E9D-F4FC-4D20-9E99-EE8818357519}"/>
    <cellStyle name="Normal 4 2 2 3 11" xfId="8949" xr:uid="{3BA2F670-3669-4DF8-8137-449B78AF0561}"/>
    <cellStyle name="Normal 4 2 2 3 2" xfId="340" xr:uid="{00000000-0005-0000-0000-0000F4110000}"/>
    <cellStyle name="Normal 4 2 2 3 2 10" xfId="8950" xr:uid="{887B3BF6-5F97-455E-AA8C-EA44DC019CBA}"/>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2 2 2" xfId="15728" xr:uid="{536C5F61-B7A5-41E0-AED2-C1139309E511}"/>
    <cellStyle name="Normal 4 2 2 3 2 2 2 2 2 3" xfId="11510" xr:uid="{3C1B75BC-8783-486A-B2F5-8CDB2C396A4B}"/>
    <cellStyle name="Normal 4 2 2 3 2 2 2 2 3" xfId="5133" xr:uid="{00000000-0005-0000-0000-0000FA110000}"/>
    <cellStyle name="Normal 4 2 2 3 2 2 2 2 3 2" xfId="13583" xr:uid="{01CF0CF7-4DD3-4119-80AE-0539A5698F0C}"/>
    <cellStyle name="Normal 4 2 2 3 2 2 2 2 4" xfId="9365" xr:uid="{1EA2BCC5-B621-45C3-8316-F76B7DC6027E}"/>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2 2 2" xfId="16141" xr:uid="{46D632A9-718E-4202-8222-1483FCC57F22}"/>
    <cellStyle name="Normal 4 2 2 3 2 2 2 3 2 3" xfId="11923" xr:uid="{695AE18E-7770-4938-9542-E46ED3C71AB9}"/>
    <cellStyle name="Normal 4 2 2 3 2 2 2 3 3" xfId="5546" xr:uid="{00000000-0005-0000-0000-0000FE110000}"/>
    <cellStyle name="Normal 4 2 2 3 2 2 2 3 3 2" xfId="13996" xr:uid="{CD670C3D-9653-4E19-9BDF-2B7A8250BBB7}"/>
    <cellStyle name="Normal 4 2 2 3 2 2 2 3 4" xfId="9778" xr:uid="{F0BF09E8-FF71-476E-A74A-F04A7C20306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2 2 2" xfId="16554" xr:uid="{AECB7E81-0F67-4FBC-AD64-B6AE174E09C7}"/>
    <cellStyle name="Normal 4 2 2 3 2 2 2 4 2 3" xfId="12336" xr:uid="{B26B3321-4B1E-4345-A081-CAC6FD3E215A}"/>
    <cellStyle name="Normal 4 2 2 3 2 2 2 4 3" xfId="5959" xr:uid="{00000000-0005-0000-0000-000002120000}"/>
    <cellStyle name="Normal 4 2 2 3 2 2 2 4 3 2" xfId="14409" xr:uid="{5F1D20CC-3FD1-4959-91FD-87003D7CEF52}"/>
    <cellStyle name="Normal 4 2 2 3 2 2 2 4 4" xfId="10191" xr:uid="{30E1026A-D3FF-4190-BF1E-FAD0E39DA713}"/>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2 2 2" xfId="16967" xr:uid="{8A303BFA-14C9-41D2-91C4-A679CCF605F0}"/>
    <cellStyle name="Normal 4 2 2 3 2 2 2 5 2 3" xfId="12749" xr:uid="{DAEEF85A-530E-4B94-8D59-423F6C909C42}"/>
    <cellStyle name="Normal 4 2 2 3 2 2 2 5 3" xfId="6372" xr:uid="{00000000-0005-0000-0000-000006120000}"/>
    <cellStyle name="Normal 4 2 2 3 2 2 2 5 3 2" xfId="14822" xr:uid="{82D94318-9025-4456-A49A-EF710DF18ADE}"/>
    <cellStyle name="Normal 4 2 2 3 2 2 2 5 4" xfId="10604" xr:uid="{414164BC-4CE4-43C3-95DC-F42F17878C88}"/>
    <cellStyle name="Normal 4 2 2 3 2 2 2 6" xfId="2502" xr:uid="{00000000-0005-0000-0000-000007120000}"/>
    <cellStyle name="Normal 4 2 2 3 2 2 2 6 2" xfId="6785" xr:uid="{00000000-0005-0000-0000-000008120000}"/>
    <cellStyle name="Normal 4 2 2 3 2 2 2 6 2 2" xfId="15235" xr:uid="{902CE664-9975-4518-B901-4149BA4BC825}"/>
    <cellStyle name="Normal 4 2 2 3 2 2 2 6 3" xfId="11017" xr:uid="{4626BCBF-FFBC-43D6-85BA-A1BAB21CBD7F}"/>
    <cellStyle name="Normal 4 2 2 3 2 2 2 7" xfId="4720" xr:uid="{00000000-0005-0000-0000-000009120000}"/>
    <cellStyle name="Normal 4 2 2 3 2 2 2 7 2" xfId="13170" xr:uid="{7441343D-DFB4-401B-BB83-D6B4B0FFA411}"/>
    <cellStyle name="Normal 4 2 2 3 2 2 2 8" xfId="8952" xr:uid="{D7C2BE12-A09B-4F6C-96FE-3292F46DB48F}"/>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2 2 2" xfId="15727" xr:uid="{5463E070-B10B-439C-80B6-8676297F981C}"/>
    <cellStyle name="Normal 4 2 2 3 2 2 3 2 3" xfId="11509" xr:uid="{B8750942-FC01-4D7D-AB3B-086939155238}"/>
    <cellStyle name="Normal 4 2 2 3 2 2 3 3" xfId="5132" xr:uid="{00000000-0005-0000-0000-00000D120000}"/>
    <cellStyle name="Normal 4 2 2 3 2 2 3 3 2" xfId="13582" xr:uid="{F86DA5A6-7F5A-4D56-81DB-42F0A5734C09}"/>
    <cellStyle name="Normal 4 2 2 3 2 2 3 4" xfId="9364" xr:uid="{85437091-9DEB-49C2-929F-F867DA2B1452}"/>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2 2 2" xfId="16140" xr:uid="{22BE1DCF-7FF1-4F8C-B88D-FCBB5062AFFA}"/>
    <cellStyle name="Normal 4 2 2 3 2 2 4 2 3" xfId="11922" xr:uid="{5262AA8D-7608-433A-A3BC-3E04A27F013A}"/>
    <cellStyle name="Normal 4 2 2 3 2 2 4 3" xfId="5545" xr:uid="{00000000-0005-0000-0000-000011120000}"/>
    <cellStyle name="Normal 4 2 2 3 2 2 4 3 2" xfId="13995" xr:uid="{CAF3053A-D540-48DD-9647-D713BCE3344C}"/>
    <cellStyle name="Normal 4 2 2 3 2 2 4 4" xfId="9777" xr:uid="{66D1019B-7B54-4EF4-BB7B-F0488CA983E5}"/>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2 2 2" xfId="16553" xr:uid="{A68577D5-1EC9-46F8-93AF-40D3A29FCD55}"/>
    <cellStyle name="Normal 4 2 2 3 2 2 5 2 3" xfId="12335" xr:uid="{B16A3159-097E-4583-BAB3-3F55A4C8340C}"/>
    <cellStyle name="Normal 4 2 2 3 2 2 5 3" xfId="5958" xr:uid="{00000000-0005-0000-0000-000015120000}"/>
    <cellStyle name="Normal 4 2 2 3 2 2 5 3 2" xfId="14408" xr:uid="{90F5AFC8-DD28-4030-91DF-C41989F47C27}"/>
    <cellStyle name="Normal 4 2 2 3 2 2 5 4" xfId="10190" xr:uid="{1AF76174-FE9C-41F5-9EBE-29D01625B979}"/>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2 2 2" xfId="16966" xr:uid="{79D5B6EF-CE76-48E5-A5E2-578B7111506D}"/>
    <cellStyle name="Normal 4 2 2 3 2 2 6 2 3" xfId="12748" xr:uid="{0D50A8E6-3C27-4AFA-ABF4-C88DB91A86FD}"/>
    <cellStyle name="Normal 4 2 2 3 2 2 6 3" xfId="6371" xr:uid="{00000000-0005-0000-0000-000019120000}"/>
    <cellStyle name="Normal 4 2 2 3 2 2 6 3 2" xfId="14821" xr:uid="{7A144D54-6BBB-488F-B9F4-7CAE61C12A2D}"/>
    <cellStyle name="Normal 4 2 2 3 2 2 6 4" xfId="10603" xr:uid="{EA611758-416D-4155-9457-BF519389E6C2}"/>
    <cellStyle name="Normal 4 2 2 3 2 2 7" xfId="2501" xr:uid="{00000000-0005-0000-0000-00001A120000}"/>
    <cellStyle name="Normal 4 2 2 3 2 2 7 2" xfId="6784" xr:uid="{00000000-0005-0000-0000-00001B120000}"/>
    <cellStyle name="Normal 4 2 2 3 2 2 7 2 2" xfId="15234" xr:uid="{1AA7B830-8FEB-4360-A988-647CD053F615}"/>
    <cellStyle name="Normal 4 2 2 3 2 2 7 3" xfId="11016" xr:uid="{110D2C25-77A9-4A43-A2E3-885B734234AF}"/>
    <cellStyle name="Normal 4 2 2 3 2 2 8" xfId="4719" xr:uid="{00000000-0005-0000-0000-00001C120000}"/>
    <cellStyle name="Normal 4 2 2 3 2 2 8 2" xfId="13169" xr:uid="{689472F7-0462-4C73-A112-0859550EB6DE}"/>
    <cellStyle name="Normal 4 2 2 3 2 2 9" xfId="8951" xr:uid="{B8A285D7-52C5-4867-8EC8-9AF6202B6EC9}"/>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2 2 2" xfId="15729" xr:uid="{9F25A778-FBBB-4E7B-BF1E-3EB83849349F}"/>
    <cellStyle name="Normal 4 2 2 3 2 3 2 2 3" xfId="11511" xr:uid="{DBDB156E-114C-4FDC-BB6C-AB7BA681F3BC}"/>
    <cellStyle name="Normal 4 2 2 3 2 3 2 3" xfId="5134" xr:uid="{00000000-0005-0000-0000-000021120000}"/>
    <cellStyle name="Normal 4 2 2 3 2 3 2 3 2" xfId="13584" xr:uid="{A4019808-BB59-4FC7-BA66-3AA913EF11E8}"/>
    <cellStyle name="Normal 4 2 2 3 2 3 2 4" xfId="9366" xr:uid="{E339CDBD-41C8-4CBF-BD09-20C8B33A3DF5}"/>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2 2 2" xfId="16142" xr:uid="{7F13A6E8-FFFD-4B83-9A32-46BA5EF785D1}"/>
    <cellStyle name="Normal 4 2 2 3 2 3 3 2 3" xfId="11924" xr:uid="{0155626F-2920-4389-A13B-1E698590EC6D}"/>
    <cellStyle name="Normal 4 2 2 3 2 3 3 3" xfId="5547" xr:uid="{00000000-0005-0000-0000-000025120000}"/>
    <cellStyle name="Normal 4 2 2 3 2 3 3 3 2" xfId="13997" xr:uid="{27C9A188-1EB9-4E40-9530-B224959FFC54}"/>
    <cellStyle name="Normal 4 2 2 3 2 3 3 4" xfId="9779" xr:uid="{0C398D3F-C3FD-4076-B2F0-9E50BE0886BC}"/>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2 2 2" xfId="16555" xr:uid="{FC51AE9D-F1A7-4361-B652-983797EBBA9A}"/>
    <cellStyle name="Normal 4 2 2 3 2 3 4 2 3" xfId="12337" xr:uid="{EA863968-085D-423E-8423-97561E47583B}"/>
    <cellStyle name="Normal 4 2 2 3 2 3 4 3" xfId="5960" xr:uid="{00000000-0005-0000-0000-000029120000}"/>
    <cellStyle name="Normal 4 2 2 3 2 3 4 3 2" xfId="14410" xr:uid="{E44C405E-8DB2-4AA6-8A4B-358A5175A69B}"/>
    <cellStyle name="Normal 4 2 2 3 2 3 4 4" xfId="10192" xr:uid="{4B2E0367-19E9-40A8-9B97-27DAC560DCBF}"/>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2 2 2" xfId="16968" xr:uid="{E3AFF7E9-4E4D-4B5D-97D0-E5EB904DA55B}"/>
    <cellStyle name="Normal 4 2 2 3 2 3 5 2 3" xfId="12750" xr:uid="{364A510A-C743-4F52-87F9-102BC723CA8F}"/>
    <cellStyle name="Normal 4 2 2 3 2 3 5 3" xfId="6373" xr:uid="{00000000-0005-0000-0000-00002D120000}"/>
    <cellStyle name="Normal 4 2 2 3 2 3 5 3 2" xfId="14823" xr:uid="{6E47407D-179C-4FD4-8CCA-4AC2E01485DC}"/>
    <cellStyle name="Normal 4 2 2 3 2 3 5 4" xfId="10605" xr:uid="{CF51AAC1-7676-4F1B-BEFF-3DC73A2DC252}"/>
    <cellStyle name="Normal 4 2 2 3 2 3 6" xfId="2503" xr:uid="{00000000-0005-0000-0000-00002E120000}"/>
    <cellStyle name="Normal 4 2 2 3 2 3 6 2" xfId="6786" xr:uid="{00000000-0005-0000-0000-00002F120000}"/>
    <cellStyle name="Normal 4 2 2 3 2 3 6 2 2" xfId="15236" xr:uid="{8B789345-E184-4CA1-A22F-17708E0AB5DC}"/>
    <cellStyle name="Normal 4 2 2 3 2 3 6 3" xfId="11018" xr:uid="{57FEAB5A-7A92-4897-9F12-20773C96B2B1}"/>
    <cellStyle name="Normal 4 2 2 3 2 3 7" xfId="4721" xr:uid="{00000000-0005-0000-0000-000030120000}"/>
    <cellStyle name="Normal 4 2 2 3 2 3 7 2" xfId="13171" xr:uid="{73DBFD46-B53B-44BF-9481-8517F803DE4F}"/>
    <cellStyle name="Normal 4 2 2 3 2 3 8" xfId="8953" xr:uid="{5EF41563-0AB0-42BA-984E-61A75DFDB4C5}"/>
    <cellStyle name="Normal 4 2 2 3 2 4" xfId="817" xr:uid="{00000000-0005-0000-0000-000031120000}"/>
    <cellStyle name="Normal 4 2 2 3 2 4 2" xfId="3054" xr:uid="{00000000-0005-0000-0000-000032120000}"/>
    <cellStyle name="Normal 4 2 2 3 2 4 2 2" xfId="7276" xr:uid="{00000000-0005-0000-0000-000033120000}"/>
    <cellStyle name="Normal 4 2 2 3 2 4 2 2 2" xfId="15726" xr:uid="{4439DCC5-174A-4139-8561-0C7FB0F09292}"/>
    <cellStyle name="Normal 4 2 2 3 2 4 2 3" xfId="11508" xr:uid="{2E28B239-6F76-4099-9F6A-B8B729F01AEF}"/>
    <cellStyle name="Normal 4 2 2 3 2 4 3" xfId="5131" xr:uid="{00000000-0005-0000-0000-000034120000}"/>
    <cellStyle name="Normal 4 2 2 3 2 4 3 2" xfId="13581" xr:uid="{746A52E7-B622-4214-A820-DA4547BF4876}"/>
    <cellStyle name="Normal 4 2 2 3 2 4 4" xfId="9363" xr:uid="{AC5DA669-E134-4BE9-89C1-9D4AE871A131}"/>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2 2 2" xfId="16139" xr:uid="{E1537782-6DDD-40F7-9C5B-1799C3CCF7C1}"/>
    <cellStyle name="Normal 4 2 2 3 2 5 2 3" xfId="11921" xr:uid="{0F3E8D43-0FB7-467D-B3D7-783075988062}"/>
    <cellStyle name="Normal 4 2 2 3 2 5 3" xfId="5544" xr:uid="{00000000-0005-0000-0000-000038120000}"/>
    <cellStyle name="Normal 4 2 2 3 2 5 3 2" xfId="13994" xr:uid="{6BCAC779-0E94-40E8-944F-814B237908AD}"/>
    <cellStyle name="Normal 4 2 2 3 2 5 4" xfId="9776" xr:uid="{8A01AACB-CAA0-491C-B1C7-545916B18D3A}"/>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2 2 2" xfId="16552" xr:uid="{D95DA4B4-7456-44AF-B6E7-064787A064CC}"/>
    <cellStyle name="Normal 4 2 2 3 2 6 2 3" xfId="12334" xr:uid="{91FF58A1-3495-4A3E-9D45-C1DF6748B5E0}"/>
    <cellStyle name="Normal 4 2 2 3 2 6 3" xfId="5957" xr:uid="{00000000-0005-0000-0000-00003C120000}"/>
    <cellStyle name="Normal 4 2 2 3 2 6 3 2" xfId="14407" xr:uid="{0877B648-879D-44C1-9DEB-53D264C1AA9F}"/>
    <cellStyle name="Normal 4 2 2 3 2 6 4" xfId="10189" xr:uid="{0B067305-DC87-4D7F-8DB9-AEE29E6B6E3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2 2 2" xfId="16965" xr:uid="{26B30243-AC00-428D-AA74-D1221CC59A21}"/>
    <cellStyle name="Normal 4 2 2 3 2 7 2 3" xfId="12747" xr:uid="{A6CD8C52-4992-431C-A938-7C43922ADEA3}"/>
    <cellStyle name="Normal 4 2 2 3 2 7 3" xfId="6370" xr:uid="{00000000-0005-0000-0000-000040120000}"/>
    <cellStyle name="Normal 4 2 2 3 2 7 3 2" xfId="14820" xr:uid="{0A4BE7FC-3FCE-468E-8921-8C6F8067FE18}"/>
    <cellStyle name="Normal 4 2 2 3 2 7 4" xfId="10602" xr:uid="{BA983435-48B0-4C21-B110-1F1BE25D21F9}"/>
    <cellStyle name="Normal 4 2 2 3 2 8" xfId="2500" xr:uid="{00000000-0005-0000-0000-000041120000}"/>
    <cellStyle name="Normal 4 2 2 3 2 8 2" xfId="6783" xr:uid="{00000000-0005-0000-0000-000042120000}"/>
    <cellStyle name="Normal 4 2 2 3 2 8 2 2" xfId="15233" xr:uid="{934E8399-54BA-4571-AD91-A1DE6E07C61F}"/>
    <cellStyle name="Normal 4 2 2 3 2 8 3" xfId="11015" xr:uid="{53E3AE8D-2354-45D8-8396-B29489EB6419}"/>
    <cellStyle name="Normal 4 2 2 3 2 9" xfId="4718" xr:uid="{00000000-0005-0000-0000-000043120000}"/>
    <cellStyle name="Normal 4 2 2 3 2 9 2" xfId="13168" xr:uid="{AA5612D2-B737-4C30-AB5D-E03F93727A33}"/>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2 2 2" xfId="15731" xr:uid="{BC3B2617-9999-49FD-A46A-DEA8132B8E7B}"/>
    <cellStyle name="Normal 4 2 2 3 3 2 2 2 3" xfId="11513" xr:uid="{6CA1ACF7-3654-4EDA-8D99-AF125DF92266}"/>
    <cellStyle name="Normal 4 2 2 3 3 2 2 3" xfId="5136" xr:uid="{00000000-0005-0000-0000-000049120000}"/>
    <cellStyle name="Normal 4 2 2 3 3 2 2 3 2" xfId="13586" xr:uid="{D5FE0F97-F9ED-487E-9497-DEECE5CD974C}"/>
    <cellStyle name="Normal 4 2 2 3 3 2 2 4" xfId="9368" xr:uid="{7398A9A2-14E8-44B3-A93E-1DE6963E530E}"/>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2 2 2" xfId="16144" xr:uid="{6AA8728F-4146-4A72-8C6B-880A5AB49339}"/>
    <cellStyle name="Normal 4 2 2 3 3 2 3 2 3" xfId="11926" xr:uid="{96C0648A-24EC-4B77-81D3-DAE1530C0E7B}"/>
    <cellStyle name="Normal 4 2 2 3 3 2 3 3" xfId="5549" xr:uid="{00000000-0005-0000-0000-00004D120000}"/>
    <cellStyle name="Normal 4 2 2 3 3 2 3 3 2" xfId="13999" xr:uid="{BC5A1139-5C64-4BB7-9AF2-4EAA0EDD6885}"/>
    <cellStyle name="Normal 4 2 2 3 3 2 3 4" xfId="9781" xr:uid="{8044CB18-D7B7-429E-9340-434A3F2DA382}"/>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2 2 2" xfId="16557" xr:uid="{A8A0DA48-1D75-4F03-8BA9-C3F705B31DF4}"/>
    <cellStyle name="Normal 4 2 2 3 3 2 4 2 3" xfId="12339" xr:uid="{6E5307F4-0108-4D6A-8232-621C50194840}"/>
    <cellStyle name="Normal 4 2 2 3 3 2 4 3" xfId="5962" xr:uid="{00000000-0005-0000-0000-000051120000}"/>
    <cellStyle name="Normal 4 2 2 3 3 2 4 3 2" xfId="14412" xr:uid="{756816C8-320A-484D-9508-299DA8604F00}"/>
    <cellStyle name="Normal 4 2 2 3 3 2 4 4" xfId="10194" xr:uid="{4862557D-A8C5-476E-A562-E020C50F91A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2 2 2" xfId="16970" xr:uid="{74366795-28EB-471D-A655-37005C13A980}"/>
    <cellStyle name="Normal 4 2 2 3 3 2 5 2 3" xfId="12752" xr:uid="{AEEA07CA-311C-4B58-AAAF-75602C3BEDEB}"/>
    <cellStyle name="Normal 4 2 2 3 3 2 5 3" xfId="6375" xr:uid="{00000000-0005-0000-0000-000055120000}"/>
    <cellStyle name="Normal 4 2 2 3 3 2 5 3 2" xfId="14825" xr:uid="{1498B1C7-5414-441B-9BF5-2C433F369C2C}"/>
    <cellStyle name="Normal 4 2 2 3 3 2 5 4" xfId="10607" xr:uid="{827985BA-EC7E-4BFF-A129-4962FCD8FADC}"/>
    <cellStyle name="Normal 4 2 2 3 3 2 6" xfId="2505" xr:uid="{00000000-0005-0000-0000-000056120000}"/>
    <cellStyle name="Normal 4 2 2 3 3 2 6 2" xfId="6788" xr:uid="{00000000-0005-0000-0000-000057120000}"/>
    <cellStyle name="Normal 4 2 2 3 3 2 6 2 2" xfId="15238" xr:uid="{81063CDD-0FA7-45D5-885F-0C2275A85C19}"/>
    <cellStyle name="Normal 4 2 2 3 3 2 6 3" xfId="11020" xr:uid="{60043BFB-F772-44EB-B178-23691123E316}"/>
    <cellStyle name="Normal 4 2 2 3 3 2 7" xfId="4723" xr:uid="{00000000-0005-0000-0000-000058120000}"/>
    <cellStyle name="Normal 4 2 2 3 3 2 7 2" xfId="13173" xr:uid="{DF98C0AD-0B04-4884-8844-AB4FC3BC8AD2}"/>
    <cellStyle name="Normal 4 2 2 3 3 2 8" xfId="8955" xr:uid="{5A6C3B8A-6116-4A57-8ACC-ECC5E5AB832A}"/>
    <cellStyle name="Normal 4 2 2 3 3 3" xfId="821" xr:uid="{00000000-0005-0000-0000-000059120000}"/>
    <cellStyle name="Normal 4 2 2 3 3 3 2" xfId="3058" xr:uid="{00000000-0005-0000-0000-00005A120000}"/>
    <cellStyle name="Normal 4 2 2 3 3 3 2 2" xfId="7280" xr:uid="{00000000-0005-0000-0000-00005B120000}"/>
    <cellStyle name="Normal 4 2 2 3 3 3 2 2 2" xfId="15730" xr:uid="{A84AADED-B66F-4894-BFD3-55F942C02D41}"/>
    <cellStyle name="Normal 4 2 2 3 3 3 2 3" xfId="11512" xr:uid="{813F2F3C-2A33-411B-8464-76CC14DBAB42}"/>
    <cellStyle name="Normal 4 2 2 3 3 3 3" xfId="5135" xr:uid="{00000000-0005-0000-0000-00005C120000}"/>
    <cellStyle name="Normal 4 2 2 3 3 3 3 2" xfId="13585" xr:uid="{6A666743-9A86-4997-A9C0-CF1DF7CDEC26}"/>
    <cellStyle name="Normal 4 2 2 3 3 3 4" xfId="9367" xr:uid="{AF3F733F-C5C8-4D91-8B20-6B5B690B3C17}"/>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2 2 2" xfId="16143" xr:uid="{72C5BB96-33E5-4697-90D4-74CEBB1FE53F}"/>
    <cellStyle name="Normal 4 2 2 3 3 4 2 3" xfId="11925" xr:uid="{CCBC7376-C142-41B5-8519-001840AA79AF}"/>
    <cellStyle name="Normal 4 2 2 3 3 4 3" xfId="5548" xr:uid="{00000000-0005-0000-0000-000060120000}"/>
    <cellStyle name="Normal 4 2 2 3 3 4 3 2" xfId="13998" xr:uid="{E49804A7-1F2F-41C9-9894-FCE2FDDFDA01}"/>
    <cellStyle name="Normal 4 2 2 3 3 4 4" xfId="9780" xr:uid="{BC01BC3B-657C-4BA1-8B25-2D6CC55AE239}"/>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2 2 2" xfId="16556" xr:uid="{D3170D55-6FAE-46A7-8717-BA07E7E81E9F}"/>
    <cellStyle name="Normal 4 2 2 3 3 5 2 3" xfId="12338" xr:uid="{76C37CCD-979A-4A0F-B371-1292B5D8DA0E}"/>
    <cellStyle name="Normal 4 2 2 3 3 5 3" xfId="5961" xr:uid="{00000000-0005-0000-0000-000064120000}"/>
    <cellStyle name="Normal 4 2 2 3 3 5 3 2" xfId="14411" xr:uid="{4E3B2F43-01A2-457E-807C-BEB19AF2A622}"/>
    <cellStyle name="Normal 4 2 2 3 3 5 4" xfId="10193" xr:uid="{3A7A329E-877C-4D4D-B5D6-6587962B7CA7}"/>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2 2 2" xfId="16969" xr:uid="{D404B5D4-589D-429F-AB0C-A9EAAB87DE28}"/>
    <cellStyle name="Normal 4 2 2 3 3 6 2 3" xfId="12751" xr:uid="{48BEC68A-EFAF-4E34-B728-2C233F6809FF}"/>
    <cellStyle name="Normal 4 2 2 3 3 6 3" xfId="6374" xr:uid="{00000000-0005-0000-0000-000068120000}"/>
    <cellStyle name="Normal 4 2 2 3 3 6 3 2" xfId="14824" xr:uid="{9547146B-45BA-479D-AE90-43645168FB45}"/>
    <cellStyle name="Normal 4 2 2 3 3 6 4" xfId="10606" xr:uid="{547DDF48-C988-4E4F-AE4A-4B64D0CCD2DB}"/>
    <cellStyle name="Normal 4 2 2 3 3 7" xfId="2504" xr:uid="{00000000-0005-0000-0000-000069120000}"/>
    <cellStyle name="Normal 4 2 2 3 3 7 2" xfId="6787" xr:uid="{00000000-0005-0000-0000-00006A120000}"/>
    <cellStyle name="Normal 4 2 2 3 3 7 2 2" xfId="15237" xr:uid="{440BD844-78B9-4AE6-BE2A-5E9F679068AF}"/>
    <cellStyle name="Normal 4 2 2 3 3 7 3" xfId="11019" xr:uid="{057EC56D-9A3A-4F93-86E9-793867C7341F}"/>
    <cellStyle name="Normal 4 2 2 3 3 8" xfId="4722" xr:uid="{00000000-0005-0000-0000-00006B120000}"/>
    <cellStyle name="Normal 4 2 2 3 3 8 2" xfId="13172" xr:uid="{7EC7F294-6912-4C09-8C35-5AB93284E209}"/>
    <cellStyle name="Normal 4 2 2 3 3 9" xfId="8954" xr:uid="{9A510A9E-D4B8-4C00-AB95-93293D90D7F2}"/>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2 2 2" xfId="15732" xr:uid="{1DF35DC4-4894-4888-8361-A4DAABE33460}"/>
    <cellStyle name="Normal 4 2 2 3 4 2 2 3" xfId="11514" xr:uid="{45008C95-F8FA-411C-A589-C0B8B66E4907}"/>
    <cellStyle name="Normal 4 2 2 3 4 2 3" xfId="5137" xr:uid="{00000000-0005-0000-0000-000070120000}"/>
    <cellStyle name="Normal 4 2 2 3 4 2 3 2" xfId="13587" xr:uid="{26A41E4D-9F9A-4839-9A82-0608B0C1D49D}"/>
    <cellStyle name="Normal 4 2 2 3 4 2 4" xfId="9369" xr:uid="{60887C28-F8F3-44B8-AC8E-FD9C2724CF52}"/>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2 2 2" xfId="16145" xr:uid="{02784933-A72B-4C36-AE93-EB4E60D39352}"/>
    <cellStyle name="Normal 4 2 2 3 4 3 2 3" xfId="11927" xr:uid="{54FF2C22-95D2-487A-AC69-05E6E74B0B4B}"/>
    <cellStyle name="Normal 4 2 2 3 4 3 3" xfId="5550" xr:uid="{00000000-0005-0000-0000-000074120000}"/>
    <cellStyle name="Normal 4 2 2 3 4 3 3 2" xfId="14000" xr:uid="{6EDC1928-4A1D-4B83-A1D4-94F6956B2DFD}"/>
    <cellStyle name="Normal 4 2 2 3 4 3 4" xfId="9782" xr:uid="{49FB3DFF-EAA6-427E-B6CC-478B32C0031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2 2 2" xfId="16558" xr:uid="{9F3CCF2F-A831-4928-9321-2E7B9974A30A}"/>
    <cellStyle name="Normal 4 2 2 3 4 4 2 3" xfId="12340" xr:uid="{B144433A-51BF-4303-BEC7-284F48DCBC44}"/>
    <cellStyle name="Normal 4 2 2 3 4 4 3" xfId="5963" xr:uid="{00000000-0005-0000-0000-000078120000}"/>
    <cellStyle name="Normal 4 2 2 3 4 4 3 2" xfId="14413" xr:uid="{0900146D-31FA-4B47-9412-5A525BF49FBA}"/>
    <cellStyle name="Normal 4 2 2 3 4 4 4" xfId="10195" xr:uid="{B3B401F0-28F1-4AD0-B568-3FB196D55CFC}"/>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2 2 2" xfId="16971" xr:uid="{04EC9E1C-D39C-45A8-A25F-89762557F169}"/>
    <cellStyle name="Normal 4 2 2 3 4 5 2 3" xfId="12753" xr:uid="{9D4F237D-28C6-4518-B9CD-8FCC8C819E1E}"/>
    <cellStyle name="Normal 4 2 2 3 4 5 3" xfId="6376" xr:uid="{00000000-0005-0000-0000-00007C120000}"/>
    <cellStyle name="Normal 4 2 2 3 4 5 3 2" xfId="14826" xr:uid="{6780349D-5499-4693-BE0E-165A5D207ABF}"/>
    <cellStyle name="Normal 4 2 2 3 4 5 4" xfId="10608" xr:uid="{B441EF50-8D8F-4680-99CC-D5C929CB414D}"/>
    <cellStyle name="Normal 4 2 2 3 4 6" xfId="2506" xr:uid="{00000000-0005-0000-0000-00007D120000}"/>
    <cellStyle name="Normal 4 2 2 3 4 6 2" xfId="6789" xr:uid="{00000000-0005-0000-0000-00007E120000}"/>
    <cellStyle name="Normal 4 2 2 3 4 6 2 2" xfId="15239" xr:uid="{BBA288DD-6C05-4A13-BBEC-A6F6A5A5D1B4}"/>
    <cellStyle name="Normal 4 2 2 3 4 6 3" xfId="11021" xr:uid="{BE65AAD6-B6BC-4708-9127-711547951B89}"/>
    <cellStyle name="Normal 4 2 2 3 4 7" xfId="4724" xr:uid="{00000000-0005-0000-0000-00007F120000}"/>
    <cellStyle name="Normal 4 2 2 3 4 7 2" xfId="13174" xr:uid="{1A0163F7-0BED-4B17-B6BB-4924C6E1C449}"/>
    <cellStyle name="Normal 4 2 2 3 4 8" xfId="8956" xr:uid="{A2E8E324-60E7-4542-B494-198467BB5DA5}"/>
    <cellStyle name="Normal 4 2 2 3 5" xfId="816" xr:uid="{00000000-0005-0000-0000-000080120000}"/>
    <cellStyle name="Normal 4 2 2 3 5 2" xfId="3053" xr:uid="{00000000-0005-0000-0000-000081120000}"/>
    <cellStyle name="Normal 4 2 2 3 5 2 2" xfId="7275" xr:uid="{00000000-0005-0000-0000-000082120000}"/>
    <cellStyle name="Normal 4 2 2 3 5 2 2 2" xfId="15725" xr:uid="{2F526AD1-872E-496A-AB8D-A38902F026A9}"/>
    <cellStyle name="Normal 4 2 2 3 5 2 3" xfId="11507" xr:uid="{D18AA6C1-62CE-480A-A5C4-327D0288FED4}"/>
    <cellStyle name="Normal 4 2 2 3 5 3" xfId="5130" xr:uid="{00000000-0005-0000-0000-000083120000}"/>
    <cellStyle name="Normal 4 2 2 3 5 3 2" xfId="13580" xr:uid="{2A906BE8-5ECE-422D-8201-D55D4EA50459}"/>
    <cellStyle name="Normal 4 2 2 3 5 4" xfId="9362" xr:uid="{98D7CF8A-B67B-4D0A-8DA5-6FE985123215}"/>
    <cellStyle name="Normal 4 2 2 3 6" xfId="1236" xr:uid="{00000000-0005-0000-0000-000084120000}"/>
    <cellStyle name="Normal 4 2 2 3 6 2" xfId="3466" xr:uid="{00000000-0005-0000-0000-000085120000}"/>
    <cellStyle name="Normal 4 2 2 3 6 2 2" xfId="7688" xr:uid="{00000000-0005-0000-0000-000086120000}"/>
    <cellStyle name="Normal 4 2 2 3 6 2 2 2" xfId="16138" xr:uid="{FE0288B4-0625-4D84-97F6-761979889867}"/>
    <cellStyle name="Normal 4 2 2 3 6 2 3" xfId="11920" xr:uid="{395DEA59-3EE0-437C-B295-8456627741FE}"/>
    <cellStyle name="Normal 4 2 2 3 6 3" xfId="5543" xr:uid="{00000000-0005-0000-0000-000087120000}"/>
    <cellStyle name="Normal 4 2 2 3 6 3 2" xfId="13993" xr:uid="{536D88F6-CDD9-451C-B8B5-743E1D9F62ED}"/>
    <cellStyle name="Normal 4 2 2 3 6 4" xfId="9775" xr:uid="{9D8E1A1E-8493-4202-817C-433966BB0F0C}"/>
    <cellStyle name="Normal 4 2 2 3 7" xfId="1649" xr:uid="{00000000-0005-0000-0000-000088120000}"/>
    <cellStyle name="Normal 4 2 2 3 7 2" xfId="3879" xr:uid="{00000000-0005-0000-0000-000089120000}"/>
    <cellStyle name="Normal 4 2 2 3 7 2 2" xfId="8101" xr:uid="{00000000-0005-0000-0000-00008A120000}"/>
    <cellStyle name="Normal 4 2 2 3 7 2 2 2" xfId="16551" xr:uid="{55590B47-76D7-4D17-B58D-B441C39A4FAB}"/>
    <cellStyle name="Normal 4 2 2 3 7 2 3" xfId="12333" xr:uid="{70C68FD2-54AA-44C2-A5F3-FECAD577016C}"/>
    <cellStyle name="Normal 4 2 2 3 7 3" xfId="5956" xr:uid="{00000000-0005-0000-0000-00008B120000}"/>
    <cellStyle name="Normal 4 2 2 3 7 3 2" xfId="14406" xr:uid="{B2ECABB4-0E4A-4B51-8F3F-AE3AB30131D4}"/>
    <cellStyle name="Normal 4 2 2 3 7 4" xfId="10188" xr:uid="{80DA1E76-A022-4582-B523-AF1B1DC322AE}"/>
    <cellStyle name="Normal 4 2 2 3 8" xfId="2063" xr:uid="{00000000-0005-0000-0000-00008C120000}"/>
    <cellStyle name="Normal 4 2 2 3 8 2" xfId="4292" xr:uid="{00000000-0005-0000-0000-00008D120000}"/>
    <cellStyle name="Normal 4 2 2 3 8 2 2" xfId="8514" xr:uid="{00000000-0005-0000-0000-00008E120000}"/>
    <cellStyle name="Normal 4 2 2 3 8 2 2 2" xfId="16964" xr:uid="{06DAAC82-6B9D-4739-8898-63FD56BB8FBD}"/>
    <cellStyle name="Normal 4 2 2 3 8 2 3" xfId="12746" xr:uid="{457B3DE6-13D4-4745-B254-85A035B8CA2C}"/>
    <cellStyle name="Normal 4 2 2 3 8 3" xfId="6369" xr:uid="{00000000-0005-0000-0000-00008F120000}"/>
    <cellStyle name="Normal 4 2 2 3 8 3 2" xfId="14819" xr:uid="{97E5E968-3F08-443B-A947-CD304CD1D05C}"/>
    <cellStyle name="Normal 4 2 2 3 8 4" xfId="10601" xr:uid="{B6566BC2-28EE-43E8-96B0-CD7DE25AE03A}"/>
    <cellStyle name="Normal 4 2 2 3 9" xfId="2499" xr:uid="{00000000-0005-0000-0000-000090120000}"/>
    <cellStyle name="Normal 4 2 2 3 9 2" xfId="6782" xr:uid="{00000000-0005-0000-0000-000091120000}"/>
    <cellStyle name="Normal 4 2 2 3 9 2 2" xfId="15232" xr:uid="{35E21B6F-E321-4CE8-AF89-E83188DCFD32}"/>
    <cellStyle name="Normal 4 2 2 3 9 3" xfId="11014" xr:uid="{98A2B6DC-9BAB-43F6-8C2D-3C76201F70D9}"/>
    <cellStyle name="Normal 4 2 2 4" xfId="347" xr:uid="{00000000-0005-0000-0000-000092120000}"/>
    <cellStyle name="Normal 4 2 2 4 10" xfId="8957" xr:uid="{26ABC8D5-C91C-4D8C-AF5A-89B0C256BD9F}"/>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2 2 2" xfId="15735" xr:uid="{EF05C00B-2BEF-4BED-8647-2745C28F751E}"/>
    <cellStyle name="Normal 4 2 2 4 2 2 2 2 3" xfId="11517" xr:uid="{C01BE1C8-17B8-44BA-B263-C28E27C624AD}"/>
    <cellStyle name="Normal 4 2 2 4 2 2 2 3" xfId="5140" xr:uid="{00000000-0005-0000-0000-000098120000}"/>
    <cellStyle name="Normal 4 2 2 4 2 2 2 3 2" xfId="13590" xr:uid="{DD37BBEE-927A-478F-9C87-AED38B13F764}"/>
    <cellStyle name="Normal 4 2 2 4 2 2 2 4" xfId="9372" xr:uid="{BAF9AD2D-BE4C-47A4-907F-83057238982B}"/>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2 2 2" xfId="16148" xr:uid="{5C24EA35-2185-4016-96B3-B68297B11566}"/>
    <cellStyle name="Normal 4 2 2 4 2 2 3 2 3" xfId="11930" xr:uid="{E5B70470-050F-41F2-8992-58BDF87D549D}"/>
    <cellStyle name="Normal 4 2 2 4 2 2 3 3" xfId="5553" xr:uid="{00000000-0005-0000-0000-00009C120000}"/>
    <cellStyle name="Normal 4 2 2 4 2 2 3 3 2" xfId="14003" xr:uid="{37E02CDF-2FD2-4682-A698-1B7AD7DAA999}"/>
    <cellStyle name="Normal 4 2 2 4 2 2 3 4" xfId="9785" xr:uid="{DA355F27-37E7-45DA-9C26-A8C3E57A353D}"/>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2 2 2" xfId="16561" xr:uid="{B4812AF6-08E3-4F88-AED1-F5E157E2E359}"/>
    <cellStyle name="Normal 4 2 2 4 2 2 4 2 3" xfId="12343" xr:uid="{07BFEE64-02D7-47C6-A034-400EC551526D}"/>
    <cellStyle name="Normal 4 2 2 4 2 2 4 3" xfId="5966" xr:uid="{00000000-0005-0000-0000-0000A0120000}"/>
    <cellStyle name="Normal 4 2 2 4 2 2 4 3 2" xfId="14416" xr:uid="{2CC22650-5CBB-4B38-970A-3D86A2E31877}"/>
    <cellStyle name="Normal 4 2 2 4 2 2 4 4" xfId="10198" xr:uid="{7447D86C-322C-404C-A907-91AB1D85E7F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2 2 2" xfId="16974" xr:uid="{44A6C875-4E7D-4C96-BA8E-9BDE772C5A2A}"/>
    <cellStyle name="Normal 4 2 2 4 2 2 5 2 3" xfId="12756" xr:uid="{5057D49B-3B45-4751-BE82-A49AE3E921E2}"/>
    <cellStyle name="Normal 4 2 2 4 2 2 5 3" xfId="6379" xr:uid="{00000000-0005-0000-0000-0000A4120000}"/>
    <cellStyle name="Normal 4 2 2 4 2 2 5 3 2" xfId="14829" xr:uid="{FBB07822-A732-4B47-A5E7-EE97D7DB7764}"/>
    <cellStyle name="Normal 4 2 2 4 2 2 5 4" xfId="10611" xr:uid="{DDDB26FB-E0E8-489A-B57E-5265ABACFBD8}"/>
    <cellStyle name="Normal 4 2 2 4 2 2 6" xfId="2509" xr:uid="{00000000-0005-0000-0000-0000A5120000}"/>
    <cellStyle name="Normal 4 2 2 4 2 2 6 2" xfId="6792" xr:uid="{00000000-0005-0000-0000-0000A6120000}"/>
    <cellStyle name="Normal 4 2 2 4 2 2 6 2 2" xfId="15242" xr:uid="{EDB26C31-C56B-4CC5-B836-27C776B30170}"/>
    <cellStyle name="Normal 4 2 2 4 2 2 6 3" xfId="11024" xr:uid="{2F9F768B-4422-404D-89BE-274D9049E681}"/>
    <cellStyle name="Normal 4 2 2 4 2 2 7" xfId="4727" xr:uid="{00000000-0005-0000-0000-0000A7120000}"/>
    <cellStyle name="Normal 4 2 2 4 2 2 7 2" xfId="13177" xr:uid="{EDC0508F-AD83-4D94-AC9C-1538237D0356}"/>
    <cellStyle name="Normal 4 2 2 4 2 2 8" xfId="8959" xr:uid="{68E447C8-AC93-481D-A4D9-EB17C44F478F}"/>
    <cellStyle name="Normal 4 2 2 4 2 3" xfId="825" xr:uid="{00000000-0005-0000-0000-0000A8120000}"/>
    <cellStyle name="Normal 4 2 2 4 2 3 2" xfId="3062" xr:uid="{00000000-0005-0000-0000-0000A9120000}"/>
    <cellStyle name="Normal 4 2 2 4 2 3 2 2" xfId="7284" xr:uid="{00000000-0005-0000-0000-0000AA120000}"/>
    <cellStyle name="Normal 4 2 2 4 2 3 2 2 2" xfId="15734" xr:uid="{EA8D0890-02C0-43EE-833B-4582226A4C38}"/>
    <cellStyle name="Normal 4 2 2 4 2 3 2 3" xfId="11516" xr:uid="{335EF3F6-931C-4D0D-A2C9-223913BDA1AE}"/>
    <cellStyle name="Normal 4 2 2 4 2 3 3" xfId="5139" xr:uid="{00000000-0005-0000-0000-0000AB120000}"/>
    <cellStyle name="Normal 4 2 2 4 2 3 3 2" xfId="13589" xr:uid="{4061493A-E55B-4904-9C88-278B6845C61F}"/>
    <cellStyle name="Normal 4 2 2 4 2 3 4" xfId="9371" xr:uid="{05CFF003-CD39-42F7-9949-F4196F5BD7C4}"/>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2 2 2" xfId="16147" xr:uid="{CA989CED-115D-46C7-A86F-2431F7053FA7}"/>
    <cellStyle name="Normal 4 2 2 4 2 4 2 3" xfId="11929" xr:uid="{6E3166E2-C1E9-403F-8696-7279EF4A2396}"/>
    <cellStyle name="Normal 4 2 2 4 2 4 3" xfId="5552" xr:uid="{00000000-0005-0000-0000-0000AF120000}"/>
    <cellStyle name="Normal 4 2 2 4 2 4 3 2" xfId="14002" xr:uid="{69F28DD3-92E9-4BD0-B36E-D7E096434075}"/>
    <cellStyle name="Normal 4 2 2 4 2 4 4" xfId="9784" xr:uid="{CA91BD3D-8796-49D2-B1D9-2E9C34BED78E}"/>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2 2 2" xfId="16560" xr:uid="{7924BE32-FB8A-438B-B8EA-DA9FD1C733D1}"/>
    <cellStyle name="Normal 4 2 2 4 2 5 2 3" xfId="12342" xr:uid="{5F9DB356-BBA0-4F95-BD89-F9900CDFB19D}"/>
    <cellStyle name="Normal 4 2 2 4 2 5 3" xfId="5965" xr:uid="{00000000-0005-0000-0000-0000B3120000}"/>
    <cellStyle name="Normal 4 2 2 4 2 5 3 2" xfId="14415" xr:uid="{22A08BAD-851D-4B2E-A43B-80023EC44480}"/>
    <cellStyle name="Normal 4 2 2 4 2 5 4" xfId="10197" xr:uid="{1CD6303E-D80B-4ED5-A377-FD366D8FFBED}"/>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2 2 2" xfId="16973" xr:uid="{AB0C23EA-F0B3-4C04-9FDB-8CA02DD523D4}"/>
    <cellStyle name="Normal 4 2 2 4 2 6 2 3" xfId="12755" xr:uid="{A80604DC-CCDB-44F1-A7C5-53A076E4C575}"/>
    <cellStyle name="Normal 4 2 2 4 2 6 3" xfId="6378" xr:uid="{00000000-0005-0000-0000-0000B7120000}"/>
    <cellStyle name="Normal 4 2 2 4 2 6 3 2" xfId="14828" xr:uid="{3414ABFE-D25F-4816-8A92-27139E92A898}"/>
    <cellStyle name="Normal 4 2 2 4 2 6 4" xfId="10610" xr:uid="{318D322F-A9E9-4407-91DA-BCFC9EF273A8}"/>
    <cellStyle name="Normal 4 2 2 4 2 7" xfId="2508" xr:uid="{00000000-0005-0000-0000-0000B8120000}"/>
    <cellStyle name="Normal 4 2 2 4 2 7 2" xfId="6791" xr:uid="{00000000-0005-0000-0000-0000B9120000}"/>
    <cellStyle name="Normal 4 2 2 4 2 7 2 2" xfId="15241" xr:uid="{83084AB2-0DC5-4387-85CF-98A6BA3169EB}"/>
    <cellStyle name="Normal 4 2 2 4 2 7 3" xfId="11023" xr:uid="{9F945762-EB04-4871-9DEF-AD41EF313999}"/>
    <cellStyle name="Normal 4 2 2 4 2 8" xfId="4726" xr:uid="{00000000-0005-0000-0000-0000BA120000}"/>
    <cellStyle name="Normal 4 2 2 4 2 8 2" xfId="13176" xr:uid="{485969C3-02E8-495A-B9C0-7DEE6197C9D3}"/>
    <cellStyle name="Normal 4 2 2 4 2 9" xfId="8958" xr:uid="{C93C4736-E74D-476E-AA2E-91984CD1B7F4}"/>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2 2 2" xfId="15736" xr:uid="{BDCC99C6-E6F7-4E15-B27E-BEA7388FC587}"/>
    <cellStyle name="Normal 4 2 2 4 3 2 2 3" xfId="11518" xr:uid="{EF36E898-7B39-4E7F-916D-90B09A1370C6}"/>
    <cellStyle name="Normal 4 2 2 4 3 2 3" xfId="5141" xr:uid="{00000000-0005-0000-0000-0000BF120000}"/>
    <cellStyle name="Normal 4 2 2 4 3 2 3 2" xfId="13591" xr:uid="{618A4E05-88C8-4312-AEA9-55B7A8E3C1DC}"/>
    <cellStyle name="Normal 4 2 2 4 3 2 4" xfId="9373" xr:uid="{04C1BAB3-E4E7-4980-B197-0A4D4E3AF010}"/>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2 2 2" xfId="16149" xr:uid="{48F4FB23-FBE6-4DFF-BE58-2423FDF1B258}"/>
    <cellStyle name="Normal 4 2 2 4 3 3 2 3" xfId="11931" xr:uid="{F1C3BD93-6A3B-4BDC-8BC5-B4888E146CA3}"/>
    <cellStyle name="Normal 4 2 2 4 3 3 3" xfId="5554" xr:uid="{00000000-0005-0000-0000-0000C3120000}"/>
    <cellStyle name="Normal 4 2 2 4 3 3 3 2" xfId="14004" xr:uid="{156EB0E8-E5CA-46C7-94B9-2340B11B92AB}"/>
    <cellStyle name="Normal 4 2 2 4 3 3 4" xfId="9786" xr:uid="{EBB92D70-B8D8-4D86-A96A-16DC87382669}"/>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2 2 2" xfId="16562" xr:uid="{2CD0F964-515F-47E4-9F55-3F2AFDEC2774}"/>
    <cellStyle name="Normal 4 2 2 4 3 4 2 3" xfId="12344" xr:uid="{D22894D9-30C7-4818-938B-F8C498FFA198}"/>
    <cellStyle name="Normal 4 2 2 4 3 4 3" xfId="5967" xr:uid="{00000000-0005-0000-0000-0000C7120000}"/>
    <cellStyle name="Normal 4 2 2 4 3 4 3 2" xfId="14417" xr:uid="{EE0F086F-61C5-4B8C-9BAF-54BB86D7827D}"/>
    <cellStyle name="Normal 4 2 2 4 3 4 4" xfId="10199" xr:uid="{9723F14B-5389-490B-90BB-A26325C97231}"/>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2 2 2" xfId="16975" xr:uid="{9B81981A-84C5-4C8E-9915-3EF5F292081F}"/>
    <cellStyle name="Normal 4 2 2 4 3 5 2 3" xfId="12757" xr:uid="{CF72DF4B-7FA8-49D5-B75B-28010844F66F}"/>
    <cellStyle name="Normal 4 2 2 4 3 5 3" xfId="6380" xr:uid="{00000000-0005-0000-0000-0000CB120000}"/>
    <cellStyle name="Normal 4 2 2 4 3 5 3 2" xfId="14830" xr:uid="{9935B307-16CD-49CF-9A96-49D36B5E7DD2}"/>
    <cellStyle name="Normal 4 2 2 4 3 5 4" xfId="10612" xr:uid="{54B8E4A8-6FFE-488E-A5D7-817953A20F2C}"/>
    <cellStyle name="Normal 4 2 2 4 3 6" xfId="2510" xr:uid="{00000000-0005-0000-0000-0000CC120000}"/>
    <cellStyle name="Normal 4 2 2 4 3 6 2" xfId="6793" xr:uid="{00000000-0005-0000-0000-0000CD120000}"/>
    <cellStyle name="Normal 4 2 2 4 3 6 2 2" xfId="15243" xr:uid="{BCCBD110-7104-4291-AB1A-A5EB00748AD9}"/>
    <cellStyle name="Normal 4 2 2 4 3 6 3" xfId="11025" xr:uid="{C26FB143-4315-4A2A-8225-5F6BB130F7DA}"/>
    <cellStyle name="Normal 4 2 2 4 3 7" xfId="4728" xr:uid="{00000000-0005-0000-0000-0000CE120000}"/>
    <cellStyle name="Normal 4 2 2 4 3 7 2" xfId="13178" xr:uid="{1B245A39-3D3D-4D21-8BFE-7188EA43FCA5}"/>
    <cellStyle name="Normal 4 2 2 4 3 8" xfId="8960" xr:uid="{AEF2AF80-2080-48D8-BA29-A39D7130CD3F}"/>
    <cellStyle name="Normal 4 2 2 4 4" xfId="824" xr:uid="{00000000-0005-0000-0000-0000CF120000}"/>
    <cellStyle name="Normal 4 2 2 4 4 2" xfId="3061" xr:uid="{00000000-0005-0000-0000-0000D0120000}"/>
    <cellStyle name="Normal 4 2 2 4 4 2 2" xfId="7283" xr:uid="{00000000-0005-0000-0000-0000D1120000}"/>
    <cellStyle name="Normal 4 2 2 4 4 2 2 2" xfId="15733" xr:uid="{CAADB30A-BC94-47B9-B609-808B70A1166A}"/>
    <cellStyle name="Normal 4 2 2 4 4 2 3" xfId="11515" xr:uid="{A395B976-53AA-46D1-A6ED-7B4B8FED6FFB}"/>
    <cellStyle name="Normal 4 2 2 4 4 3" xfId="5138" xr:uid="{00000000-0005-0000-0000-0000D2120000}"/>
    <cellStyle name="Normal 4 2 2 4 4 3 2" xfId="13588" xr:uid="{8991BE31-6E05-40AE-BD14-89E6828D6E2C}"/>
    <cellStyle name="Normal 4 2 2 4 4 4" xfId="9370" xr:uid="{DBEC6C32-6F42-4F9A-BC11-A0A8D238FA63}"/>
    <cellStyle name="Normal 4 2 2 4 5" xfId="1244" xr:uid="{00000000-0005-0000-0000-0000D3120000}"/>
    <cellStyle name="Normal 4 2 2 4 5 2" xfId="3474" xr:uid="{00000000-0005-0000-0000-0000D4120000}"/>
    <cellStyle name="Normal 4 2 2 4 5 2 2" xfId="7696" xr:uid="{00000000-0005-0000-0000-0000D5120000}"/>
    <cellStyle name="Normal 4 2 2 4 5 2 2 2" xfId="16146" xr:uid="{2BA0A356-4673-47D5-BF0A-3032AB96A77F}"/>
    <cellStyle name="Normal 4 2 2 4 5 2 3" xfId="11928" xr:uid="{0343F08F-980B-4314-96BB-3DE595BE2638}"/>
    <cellStyle name="Normal 4 2 2 4 5 3" xfId="5551" xr:uid="{00000000-0005-0000-0000-0000D6120000}"/>
    <cellStyle name="Normal 4 2 2 4 5 3 2" xfId="14001" xr:uid="{03E13CD2-EE84-4259-AAE6-E6E0241E8F44}"/>
    <cellStyle name="Normal 4 2 2 4 5 4" xfId="9783" xr:uid="{2116F708-C511-4E78-925D-FFBDEBCE1B88}"/>
    <cellStyle name="Normal 4 2 2 4 6" xfId="1657" xr:uid="{00000000-0005-0000-0000-0000D7120000}"/>
    <cellStyle name="Normal 4 2 2 4 6 2" xfId="3887" xr:uid="{00000000-0005-0000-0000-0000D8120000}"/>
    <cellStyle name="Normal 4 2 2 4 6 2 2" xfId="8109" xr:uid="{00000000-0005-0000-0000-0000D9120000}"/>
    <cellStyle name="Normal 4 2 2 4 6 2 2 2" xfId="16559" xr:uid="{881A923E-76FD-467A-AC96-2132BF73708B}"/>
    <cellStyle name="Normal 4 2 2 4 6 2 3" xfId="12341" xr:uid="{80D8403C-A0EE-4A58-80E0-F78758FECB2D}"/>
    <cellStyle name="Normal 4 2 2 4 6 3" xfId="5964" xr:uid="{00000000-0005-0000-0000-0000DA120000}"/>
    <cellStyle name="Normal 4 2 2 4 6 3 2" xfId="14414" xr:uid="{29126D38-BDF4-489A-A7F4-3CA527467135}"/>
    <cellStyle name="Normal 4 2 2 4 6 4" xfId="10196" xr:uid="{ADAA49D4-A8BF-49BB-AE7E-5BE42A15BED4}"/>
    <cellStyle name="Normal 4 2 2 4 7" xfId="2071" xr:uid="{00000000-0005-0000-0000-0000DB120000}"/>
    <cellStyle name="Normal 4 2 2 4 7 2" xfId="4300" xr:uid="{00000000-0005-0000-0000-0000DC120000}"/>
    <cellStyle name="Normal 4 2 2 4 7 2 2" xfId="8522" xr:uid="{00000000-0005-0000-0000-0000DD120000}"/>
    <cellStyle name="Normal 4 2 2 4 7 2 2 2" xfId="16972" xr:uid="{ECCC9966-9A4D-43E4-ADD4-2EDEA894DAE1}"/>
    <cellStyle name="Normal 4 2 2 4 7 2 3" xfId="12754" xr:uid="{A25FF2B2-48FD-463D-8DC2-7E6FDCA4DF6B}"/>
    <cellStyle name="Normal 4 2 2 4 7 3" xfId="6377" xr:uid="{00000000-0005-0000-0000-0000DE120000}"/>
    <cellStyle name="Normal 4 2 2 4 7 3 2" xfId="14827" xr:uid="{22E9566F-16D0-4E66-AF62-61F37BBFF658}"/>
    <cellStyle name="Normal 4 2 2 4 7 4" xfId="10609" xr:uid="{2A875877-B7F5-4CCB-8333-04762BEC963C}"/>
    <cellStyle name="Normal 4 2 2 4 8" xfId="2507" xr:uid="{00000000-0005-0000-0000-0000DF120000}"/>
    <cellStyle name="Normal 4 2 2 4 8 2" xfId="6790" xr:uid="{00000000-0005-0000-0000-0000E0120000}"/>
    <cellStyle name="Normal 4 2 2 4 8 2 2" xfId="15240" xr:uid="{E35C4DCB-EF03-4D09-A461-9F3AABC17A6E}"/>
    <cellStyle name="Normal 4 2 2 4 8 3" xfId="11022" xr:uid="{C3E51C20-22BD-472C-84DE-EEEA88E1923A}"/>
    <cellStyle name="Normal 4 2 2 4 9" xfId="4725" xr:uid="{00000000-0005-0000-0000-0000E1120000}"/>
    <cellStyle name="Normal 4 2 2 4 9 2" xfId="13175" xr:uid="{66099AC3-7AFA-47BA-B04B-34272965F13A}"/>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2 2 2" xfId="15738" xr:uid="{58E9A1EE-B783-40E5-ADFC-C9F6A059D01E}"/>
    <cellStyle name="Normal 4 2 2 5 2 2 2 3" xfId="11520" xr:uid="{F3C6DAE7-CF33-4965-B986-229A819986C8}"/>
    <cellStyle name="Normal 4 2 2 5 2 2 3" xfId="5143" xr:uid="{00000000-0005-0000-0000-0000E7120000}"/>
    <cellStyle name="Normal 4 2 2 5 2 2 3 2" xfId="13593" xr:uid="{459629C4-E332-4472-8A89-21965AED99F7}"/>
    <cellStyle name="Normal 4 2 2 5 2 2 4" xfId="9375" xr:uid="{380055DE-34A4-4580-A8BF-6DF28A4CC24B}"/>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2 2 2" xfId="16151" xr:uid="{C2A62592-60B3-41A5-B67B-2FE6FE1802F6}"/>
    <cellStyle name="Normal 4 2 2 5 2 3 2 3" xfId="11933" xr:uid="{19DC7644-8B98-4DDF-AD53-F6C43D811C85}"/>
    <cellStyle name="Normal 4 2 2 5 2 3 3" xfId="5556" xr:uid="{00000000-0005-0000-0000-0000EB120000}"/>
    <cellStyle name="Normal 4 2 2 5 2 3 3 2" xfId="14006" xr:uid="{F5EA7486-D3DE-464F-B7FC-78E5C504BF4B}"/>
    <cellStyle name="Normal 4 2 2 5 2 3 4" xfId="9788" xr:uid="{D5EDE8FC-9439-4A11-A610-5B0EF6F9F15E}"/>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2 2 2" xfId="16564" xr:uid="{EF4EFFEB-F97D-4ED2-BDD1-E6096F110617}"/>
    <cellStyle name="Normal 4 2 2 5 2 4 2 3" xfId="12346" xr:uid="{6DF52902-E5CA-4FAC-A9D7-BFEC63EA5214}"/>
    <cellStyle name="Normal 4 2 2 5 2 4 3" xfId="5969" xr:uid="{00000000-0005-0000-0000-0000EF120000}"/>
    <cellStyle name="Normal 4 2 2 5 2 4 3 2" xfId="14419" xr:uid="{2402E1A3-5847-4366-8DC1-F0A006F37F91}"/>
    <cellStyle name="Normal 4 2 2 5 2 4 4" xfId="10201" xr:uid="{8CECF3DD-3FEB-4C67-828E-9F4E4385B3F3}"/>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2 2 2" xfId="16977" xr:uid="{32105719-1190-4AA9-88D9-9AA5DA4F7B1C}"/>
    <cellStyle name="Normal 4 2 2 5 2 5 2 3" xfId="12759" xr:uid="{A18F501D-249D-4412-9CE8-A90D59F4C72B}"/>
    <cellStyle name="Normal 4 2 2 5 2 5 3" xfId="6382" xr:uid="{00000000-0005-0000-0000-0000F3120000}"/>
    <cellStyle name="Normal 4 2 2 5 2 5 3 2" xfId="14832" xr:uid="{46A0E539-98E9-4EE6-AEFC-9A212072F9EB}"/>
    <cellStyle name="Normal 4 2 2 5 2 5 4" xfId="10614" xr:uid="{7F6F4DFF-5C3E-4790-A190-1B06E84D47DF}"/>
    <cellStyle name="Normal 4 2 2 5 2 6" xfId="2512" xr:uid="{00000000-0005-0000-0000-0000F4120000}"/>
    <cellStyle name="Normal 4 2 2 5 2 6 2" xfId="6795" xr:uid="{00000000-0005-0000-0000-0000F5120000}"/>
    <cellStyle name="Normal 4 2 2 5 2 6 2 2" xfId="15245" xr:uid="{2DBC7D2D-9DBE-444E-BB51-F46E4BD5CDEA}"/>
    <cellStyle name="Normal 4 2 2 5 2 6 3" xfId="11027" xr:uid="{9780135E-4CF7-45FD-8000-2D8A3DDF9A5B}"/>
    <cellStyle name="Normal 4 2 2 5 2 7" xfId="4730" xr:uid="{00000000-0005-0000-0000-0000F6120000}"/>
    <cellStyle name="Normal 4 2 2 5 2 7 2" xfId="13180" xr:uid="{B3148957-5E5E-4E7D-B606-76CC3816CD45}"/>
    <cellStyle name="Normal 4 2 2 5 2 8" xfId="8962" xr:uid="{CF24A6EC-FC89-4FE1-9BA1-E47FD8636B45}"/>
    <cellStyle name="Normal 4 2 2 5 3" xfId="828" xr:uid="{00000000-0005-0000-0000-0000F7120000}"/>
    <cellStyle name="Normal 4 2 2 5 3 2" xfId="3065" xr:uid="{00000000-0005-0000-0000-0000F8120000}"/>
    <cellStyle name="Normal 4 2 2 5 3 2 2" xfId="7287" xr:uid="{00000000-0005-0000-0000-0000F9120000}"/>
    <cellStyle name="Normal 4 2 2 5 3 2 2 2" xfId="15737" xr:uid="{B2FF02F5-2D95-4635-81EC-479D2C4C185C}"/>
    <cellStyle name="Normal 4 2 2 5 3 2 3" xfId="11519" xr:uid="{F6CB708C-2016-46E0-8533-EF58560E2209}"/>
    <cellStyle name="Normal 4 2 2 5 3 3" xfId="5142" xr:uid="{00000000-0005-0000-0000-0000FA120000}"/>
    <cellStyle name="Normal 4 2 2 5 3 3 2" xfId="13592" xr:uid="{4D1D06FC-A2ED-47FF-BAF3-6E6A469DFAAB}"/>
    <cellStyle name="Normal 4 2 2 5 3 4" xfId="9374" xr:uid="{10033007-CAA9-4E6E-A847-EF2932190278}"/>
    <cellStyle name="Normal 4 2 2 5 4" xfId="1248" xr:uid="{00000000-0005-0000-0000-0000FB120000}"/>
    <cellStyle name="Normal 4 2 2 5 4 2" xfId="3478" xr:uid="{00000000-0005-0000-0000-0000FC120000}"/>
    <cellStyle name="Normal 4 2 2 5 4 2 2" xfId="7700" xr:uid="{00000000-0005-0000-0000-0000FD120000}"/>
    <cellStyle name="Normal 4 2 2 5 4 2 2 2" xfId="16150" xr:uid="{28454DCC-481F-4E85-9914-F79716273C59}"/>
    <cellStyle name="Normal 4 2 2 5 4 2 3" xfId="11932" xr:uid="{8ABA9B6B-33A6-450E-AD11-4E658F2BA1CA}"/>
    <cellStyle name="Normal 4 2 2 5 4 3" xfId="5555" xr:uid="{00000000-0005-0000-0000-0000FE120000}"/>
    <cellStyle name="Normal 4 2 2 5 4 3 2" xfId="14005" xr:uid="{CB69030F-C460-4854-87E1-D497B50B963A}"/>
    <cellStyle name="Normal 4 2 2 5 4 4" xfId="9787" xr:uid="{70D77FBD-1403-42C3-A3BB-6635AE76C241}"/>
    <cellStyle name="Normal 4 2 2 5 5" xfId="1661" xr:uid="{00000000-0005-0000-0000-0000FF120000}"/>
    <cellStyle name="Normal 4 2 2 5 5 2" xfId="3891" xr:uid="{00000000-0005-0000-0000-000000130000}"/>
    <cellStyle name="Normal 4 2 2 5 5 2 2" xfId="8113" xr:uid="{00000000-0005-0000-0000-000001130000}"/>
    <cellStyle name="Normal 4 2 2 5 5 2 2 2" xfId="16563" xr:uid="{8BF40B60-EA45-413E-B7B5-DEAE549F7D4E}"/>
    <cellStyle name="Normal 4 2 2 5 5 2 3" xfId="12345" xr:uid="{F25FDCEF-F46B-4340-9466-FD1AAB4D8313}"/>
    <cellStyle name="Normal 4 2 2 5 5 3" xfId="5968" xr:uid="{00000000-0005-0000-0000-000002130000}"/>
    <cellStyle name="Normal 4 2 2 5 5 3 2" xfId="14418" xr:uid="{91ACBAE3-73DD-47BC-AAB7-C06825088107}"/>
    <cellStyle name="Normal 4 2 2 5 5 4" xfId="10200" xr:uid="{F4900C0B-E896-4A3E-86BC-7491A6F93834}"/>
    <cellStyle name="Normal 4 2 2 5 6" xfId="2075" xr:uid="{00000000-0005-0000-0000-000003130000}"/>
    <cellStyle name="Normal 4 2 2 5 6 2" xfId="4304" xr:uid="{00000000-0005-0000-0000-000004130000}"/>
    <cellStyle name="Normal 4 2 2 5 6 2 2" xfId="8526" xr:uid="{00000000-0005-0000-0000-000005130000}"/>
    <cellStyle name="Normal 4 2 2 5 6 2 2 2" xfId="16976" xr:uid="{2BA431ED-A30B-457F-A97F-1E95D0E9EC1F}"/>
    <cellStyle name="Normal 4 2 2 5 6 2 3" xfId="12758" xr:uid="{70BB0E88-ED14-4578-ADE0-5CE0010D4E1B}"/>
    <cellStyle name="Normal 4 2 2 5 6 3" xfId="6381" xr:uid="{00000000-0005-0000-0000-000006130000}"/>
    <cellStyle name="Normal 4 2 2 5 6 3 2" xfId="14831" xr:uid="{457B1F6F-38D8-4A01-AEBD-85995CD239C0}"/>
    <cellStyle name="Normal 4 2 2 5 6 4" xfId="10613" xr:uid="{99F022BF-261E-4FAE-9410-68D0C76765EC}"/>
    <cellStyle name="Normal 4 2 2 5 7" xfId="2511" xr:uid="{00000000-0005-0000-0000-000007130000}"/>
    <cellStyle name="Normal 4 2 2 5 7 2" xfId="6794" xr:uid="{00000000-0005-0000-0000-000008130000}"/>
    <cellStyle name="Normal 4 2 2 5 7 2 2" xfId="15244" xr:uid="{784D2E32-AC47-4DB6-85DF-8E1F137B191F}"/>
    <cellStyle name="Normal 4 2 2 5 7 3" xfId="11026" xr:uid="{5AC85599-7F51-4EC5-B299-B782A61B1A94}"/>
    <cellStyle name="Normal 4 2 2 5 8" xfId="4729" xr:uid="{00000000-0005-0000-0000-000009130000}"/>
    <cellStyle name="Normal 4 2 2 5 8 2" xfId="13179" xr:uid="{304D0C62-0543-4581-A127-16FD46BC789E}"/>
    <cellStyle name="Normal 4 2 2 5 9" xfId="8961" xr:uid="{5E9AD928-7EB6-4492-970F-B20ABAF3B627}"/>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2 2 2" xfId="15739" xr:uid="{3121198D-D8B0-434D-91B7-6F108447D0AA}"/>
    <cellStyle name="Normal 4 2 2 6 2 2 3" xfId="11521" xr:uid="{E2BBF98B-1CAA-465F-AF54-2BC2EE054E64}"/>
    <cellStyle name="Normal 4 2 2 6 2 3" xfId="5144" xr:uid="{00000000-0005-0000-0000-00000E130000}"/>
    <cellStyle name="Normal 4 2 2 6 2 3 2" xfId="13594" xr:uid="{6F28A2C2-DB5D-43E0-AFA3-ABF459178090}"/>
    <cellStyle name="Normal 4 2 2 6 2 4" xfId="9376" xr:uid="{E4479F76-1471-4729-AD48-802E109767E2}"/>
    <cellStyle name="Normal 4 2 2 6 3" xfId="1250" xr:uid="{00000000-0005-0000-0000-00000F130000}"/>
    <cellStyle name="Normal 4 2 2 6 3 2" xfId="3480" xr:uid="{00000000-0005-0000-0000-000010130000}"/>
    <cellStyle name="Normal 4 2 2 6 3 2 2" xfId="7702" xr:uid="{00000000-0005-0000-0000-000011130000}"/>
    <cellStyle name="Normal 4 2 2 6 3 2 2 2" xfId="16152" xr:uid="{E80BC13E-7F40-412E-A0E5-7856D678AF0A}"/>
    <cellStyle name="Normal 4 2 2 6 3 2 3" xfId="11934" xr:uid="{EAFCCA19-9281-4AE7-9A7B-D59664579CFA}"/>
    <cellStyle name="Normal 4 2 2 6 3 3" xfId="5557" xr:uid="{00000000-0005-0000-0000-000012130000}"/>
    <cellStyle name="Normal 4 2 2 6 3 3 2" xfId="14007" xr:uid="{C5864829-7ED6-4F82-AC90-97F2BE8F2A40}"/>
    <cellStyle name="Normal 4 2 2 6 3 4" xfId="9789" xr:uid="{08873060-433A-47B2-8ACA-6D4353E697D2}"/>
    <cellStyle name="Normal 4 2 2 6 4" xfId="1663" xr:uid="{00000000-0005-0000-0000-000013130000}"/>
    <cellStyle name="Normal 4 2 2 6 4 2" xfId="3893" xr:uid="{00000000-0005-0000-0000-000014130000}"/>
    <cellStyle name="Normal 4 2 2 6 4 2 2" xfId="8115" xr:uid="{00000000-0005-0000-0000-000015130000}"/>
    <cellStyle name="Normal 4 2 2 6 4 2 2 2" xfId="16565" xr:uid="{E909B612-D93D-4EF8-8B84-84BC12D56017}"/>
    <cellStyle name="Normal 4 2 2 6 4 2 3" xfId="12347" xr:uid="{093A4692-4AA0-449C-989C-295F499BE689}"/>
    <cellStyle name="Normal 4 2 2 6 4 3" xfId="5970" xr:uid="{00000000-0005-0000-0000-000016130000}"/>
    <cellStyle name="Normal 4 2 2 6 4 3 2" xfId="14420" xr:uid="{8A08F384-7D1F-42E3-B09D-E49F3D5A4DD6}"/>
    <cellStyle name="Normal 4 2 2 6 4 4" xfId="10202" xr:uid="{E1C3DDB1-EA11-4C30-86A8-5E6D23E6A18E}"/>
    <cellStyle name="Normal 4 2 2 6 5" xfId="2077" xr:uid="{00000000-0005-0000-0000-000017130000}"/>
    <cellStyle name="Normal 4 2 2 6 5 2" xfId="4306" xr:uid="{00000000-0005-0000-0000-000018130000}"/>
    <cellStyle name="Normal 4 2 2 6 5 2 2" xfId="8528" xr:uid="{00000000-0005-0000-0000-000019130000}"/>
    <cellStyle name="Normal 4 2 2 6 5 2 2 2" xfId="16978" xr:uid="{A3A4C9BF-82BF-4541-BF48-7F33FB666423}"/>
    <cellStyle name="Normal 4 2 2 6 5 2 3" xfId="12760" xr:uid="{13B30510-8521-45D7-81EF-2FB8274F7AA9}"/>
    <cellStyle name="Normal 4 2 2 6 5 3" xfId="6383" xr:uid="{00000000-0005-0000-0000-00001A130000}"/>
    <cellStyle name="Normal 4 2 2 6 5 3 2" xfId="14833" xr:uid="{BFEFC05E-F595-4BEA-B41D-A235B0D34444}"/>
    <cellStyle name="Normal 4 2 2 6 5 4" xfId="10615" xr:uid="{123AFDC7-DA1F-4C45-8659-4E417D460990}"/>
    <cellStyle name="Normal 4 2 2 6 6" xfId="2513" xr:uid="{00000000-0005-0000-0000-00001B130000}"/>
    <cellStyle name="Normal 4 2 2 6 6 2" xfId="6796" xr:uid="{00000000-0005-0000-0000-00001C130000}"/>
    <cellStyle name="Normal 4 2 2 6 6 2 2" xfId="15246" xr:uid="{60D7F3C8-9F11-4A07-B0C6-C6DE64C83AA0}"/>
    <cellStyle name="Normal 4 2 2 6 6 3" xfId="11028" xr:uid="{2F280E9F-A934-4523-A0C3-8AF7CADC3FA2}"/>
    <cellStyle name="Normal 4 2 2 6 7" xfId="4731" xr:uid="{00000000-0005-0000-0000-00001D130000}"/>
    <cellStyle name="Normal 4 2 2 6 7 2" xfId="13181" xr:uid="{C351B4E0-40B6-4EE3-B189-4E42B8A6B28D}"/>
    <cellStyle name="Normal 4 2 2 6 8" xfId="8963" xr:uid="{62A99B72-A021-48EB-B82B-8C6456BC207E}"/>
    <cellStyle name="Normal 4 2 2 7" xfId="815" xr:uid="{00000000-0005-0000-0000-00001E130000}"/>
    <cellStyle name="Normal 4 2 2 7 2" xfId="3052" xr:uid="{00000000-0005-0000-0000-00001F130000}"/>
    <cellStyle name="Normal 4 2 2 7 2 2" xfId="7274" xr:uid="{00000000-0005-0000-0000-000020130000}"/>
    <cellStyle name="Normal 4 2 2 7 2 2 2" xfId="15724" xr:uid="{99B5393C-CAF3-42A8-80DB-39157AD2AC04}"/>
    <cellStyle name="Normal 4 2 2 7 2 3" xfId="11506" xr:uid="{9B16E6E8-C3E0-4648-8D19-B206821C480F}"/>
    <cellStyle name="Normal 4 2 2 7 3" xfId="5129" xr:uid="{00000000-0005-0000-0000-000021130000}"/>
    <cellStyle name="Normal 4 2 2 7 3 2" xfId="13579" xr:uid="{A37C2DA7-6A89-4A39-9A2E-3FF7C47DDE05}"/>
    <cellStyle name="Normal 4 2 2 7 4" xfId="9361" xr:uid="{2E257656-A61D-4E80-A217-6D0F6A48DABA}"/>
    <cellStyle name="Normal 4 2 2 8" xfId="1235" xr:uid="{00000000-0005-0000-0000-000022130000}"/>
    <cellStyle name="Normal 4 2 2 8 2" xfId="3465" xr:uid="{00000000-0005-0000-0000-000023130000}"/>
    <cellStyle name="Normal 4 2 2 8 2 2" xfId="7687" xr:uid="{00000000-0005-0000-0000-000024130000}"/>
    <cellStyle name="Normal 4 2 2 8 2 2 2" xfId="16137" xr:uid="{BD9BDA0B-C437-4CF1-9C0C-09CBBE127C68}"/>
    <cellStyle name="Normal 4 2 2 8 2 3" xfId="11919" xr:uid="{5E6194DA-E109-439E-9C90-46EB8A27F58C}"/>
    <cellStyle name="Normal 4 2 2 8 3" xfId="5542" xr:uid="{00000000-0005-0000-0000-000025130000}"/>
    <cellStyle name="Normal 4 2 2 8 3 2" xfId="13992" xr:uid="{54E21B89-CFE2-4A9C-8F77-C83A2E1B006C}"/>
    <cellStyle name="Normal 4 2 2 8 4" xfId="9774" xr:uid="{63726448-3AFE-46F1-8922-8177DE710254}"/>
    <cellStyle name="Normal 4 2 2 9" xfId="1648" xr:uid="{00000000-0005-0000-0000-000026130000}"/>
    <cellStyle name="Normal 4 2 2 9 2" xfId="3878" xr:uid="{00000000-0005-0000-0000-000027130000}"/>
    <cellStyle name="Normal 4 2 2 9 2 2" xfId="8100" xr:uid="{00000000-0005-0000-0000-000028130000}"/>
    <cellStyle name="Normal 4 2 2 9 2 2 2" xfId="16550" xr:uid="{32278B77-D7D3-4ACA-8BC8-CD31D2B85682}"/>
    <cellStyle name="Normal 4 2 2 9 2 3" xfId="12332" xr:uid="{DF48BADE-27C4-405F-B1B7-B3AF9DD7B202}"/>
    <cellStyle name="Normal 4 2 2 9 3" xfId="5955" xr:uid="{00000000-0005-0000-0000-000029130000}"/>
    <cellStyle name="Normal 4 2 2 9 3 2" xfId="14405" xr:uid="{5BF1C4B6-2599-4C33-99B1-1E3072219F56}"/>
    <cellStyle name="Normal 4 2 2 9 4" xfId="10187" xr:uid="{14028FBB-6522-4FF7-B43B-658BA8BD7AA3}"/>
    <cellStyle name="Normal 4 2 3" xfId="354" xr:uid="{00000000-0005-0000-0000-00002A130000}"/>
    <cellStyle name="Normal 4 2 4" xfId="355" xr:uid="{00000000-0005-0000-0000-00002B130000}"/>
    <cellStyle name="Normal 4 2 4 10" xfId="4732" xr:uid="{00000000-0005-0000-0000-00002C130000}"/>
    <cellStyle name="Normal 4 2 4 10 2" xfId="13182" xr:uid="{619CA1A9-8109-4A4B-BE6E-80FF64B21427}"/>
    <cellStyle name="Normal 4 2 4 11" xfId="8964" xr:uid="{BCDAE199-C396-4540-8385-1CE4877F8D7E}"/>
    <cellStyle name="Normal 4 2 4 2" xfId="356" xr:uid="{00000000-0005-0000-0000-00002D130000}"/>
    <cellStyle name="Normal 4 2 4 2 10" xfId="8965" xr:uid="{186D3457-78DF-4D36-89F3-C9BB0613A975}"/>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2 2 2" xfId="15743" xr:uid="{C211B2CB-9B19-4D05-A6A8-E06AC03A7140}"/>
    <cellStyle name="Normal 4 2 4 2 2 2 2 2 3" xfId="11525" xr:uid="{4FE65664-4BD3-4121-925F-D44B687FE4E9}"/>
    <cellStyle name="Normal 4 2 4 2 2 2 2 3" xfId="5148" xr:uid="{00000000-0005-0000-0000-000033130000}"/>
    <cellStyle name="Normal 4 2 4 2 2 2 2 3 2" xfId="13598" xr:uid="{42EF809D-A16C-4677-B842-A870F52BE5F4}"/>
    <cellStyle name="Normal 4 2 4 2 2 2 2 4" xfId="9380" xr:uid="{5F3EE1D5-99E3-43E1-9D70-B26167F32DFB}"/>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2 2 2" xfId="16156" xr:uid="{0A102B59-3E16-4A6B-84AF-5060909623EE}"/>
    <cellStyle name="Normal 4 2 4 2 2 2 3 2 3" xfId="11938" xr:uid="{0B605411-E2F7-40E3-ACE7-1062693B5FD4}"/>
    <cellStyle name="Normal 4 2 4 2 2 2 3 3" xfId="5561" xr:uid="{00000000-0005-0000-0000-000037130000}"/>
    <cellStyle name="Normal 4 2 4 2 2 2 3 3 2" xfId="14011" xr:uid="{691CE184-8C82-4154-9C48-EFD89E728D91}"/>
    <cellStyle name="Normal 4 2 4 2 2 2 3 4" xfId="9793" xr:uid="{B0C9D413-D031-4A66-A6C7-F60E127E7774}"/>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2 2 2" xfId="16569" xr:uid="{E6F28290-0DFA-447A-8C87-7440E24E83CF}"/>
    <cellStyle name="Normal 4 2 4 2 2 2 4 2 3" xfId="12351" xr:uid="{04651FB3-97F4-4A8F-A6CB-2593E4EB85D3}"/>
    <cellStyle name="Normal 4 2 4 2 2 2 4 3" xfId="5974" xr:uid="{00000000-0005-0000-0000-00003B130000}"/>
    <cellStyle name="Normal 4 2 4 2 2 2 4 3 2" xfId="14424" xr:uid="{A4703591-942F-4682-A82B-CC90F580E3A1}"/>
    <cellStyle name="Normal 4 2 4 2 2 2 4 4" xfId="10206" xr:uid="{33914870-FB31-42C0-AA60-7A33AF90C1FB}"/>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2 2 2" xfId="16982" xr:uid="{B5274D56-0CFF-42AA-9268-2901C9871130}"/>
    <cellStyle name="Normal 4 2 4 2 2 2 5 2 3" xfId="12764" xr:uid="{1E7338A2-8585-421D-B708-B559668DE3CA}"/>
    <cellStyle name="Normal 4 2 4 2 2 2 5 3" xfId="6387" xr:uid="{00000000-0005-0000-0000-00003F130000}"/>
    <cellStyle name="Normal 4 2 4 2 2 2 5 3 2" xfId="14837" xr:uid="{8590D5A0-81AF-4B65-843A-CD105DFE2127}"/>
    <cellStyle name="Normal 4 2 4 2 2 2 5 4" xfId="10619" xr:uid="{E378691F-37C7-42B8-9DB9-46AF906378A3}"/>
    <cellStyle name="Normal 4 2 4 2 2 2 6" xfId="2517" xr:uid="{00000000-0005-0000-0000-000040130000}"/>
    <cellStyle name="Normal 4 2 4 2 2 2 6 2" xfId="6800" xr:uid="{00000000-0005-0000-0000-000041130000}"/>
    <cellStyle name="Normal 4 2 4 2 2 2 6 2 2" xfId="15250" xr:uid="{A132648A-EF5F-4F39-A749-67202CCF29BB}"/>
    <cellStyle name="Normal 4 2 4 2 2 2 6 3" xfId="11032" xr:uid="{DBA4668A-A953-4A34-B3E9-EAB2023E60C1}"/>
    <cellStyle name="Normal 4 2 4 2 2 2 7" xfId="4735" xr:uid="{00000000-0005-0000-0000-000042130000}"/>
    <cellStyle name="Normal 4 2 4 2 2 2 7 2" xfId="13185" xr:uid="{5C1B2029-24EC-4ECA-80E7-D1DA7086246C}"/>
    <cellStyle name="Normal 4 2 4 2 2 2 8" xfId="8967" xr:uid="{7BA20984-685E-4017-8D61-8D1C7929D7AA}"/>
    <cellStyle name="Normal 4 2 4 2 2 3" xfId="833" xr:uid="{00000000-0005-0000-0000-000043130000}"/>
    <cellStyle name="Normal 4 2 4 2 2 3 2" xfId="3070" xr:uid="{00000000-0005-0000-0000-000044130000}"/>
    <cellStyle name="Normal 4 2 4 2 2 3 2 2" xfId="7292" xr:uid="{00000000-0005-0000-0000-000045130000}"/>
    <cellStyle name="Normal 4 2 4 2 2 3 2 2 2" xfId="15742" xr:uid="{0F4FD50E-29D9-4653-93F7-DB7FA1D961DF}"/>
    <cellStyle name="Normal 4 2 4 2 2 3 2 3" xfId="11524" xr:uid="{56557BDB-2DFA-4431-9BEF-7A740770B1E4}"/>
    <cellStyle name="Normal 4 2 4 2 2 3 3" xfId="5147" xr:uid="{00000000-0005-0000-0000-000046130000}"/>
    <cellStyle name="Normal 4 2 4 2 2 3 3 2" xfId="13597" xr:uid="{51090733-4244-40C6-B93B-3CF02311A8F8}"/>
    <cellStyle name="Normal 4 2 4 2 2 3 4" xfId="9379" xr:uid="{AFBE6EA9-34AD-414E-AF56-E1118963078F}"/>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2 2 2" xfId="16155" xr:uid="{185B644D-8114-4691-9A43-E9A9AFC54A73}"/>
    <cellStyle name="Normal 4 2 4 2 2 4 2 3" xfId="11937" xr:uid="{357F321D-1DB4-49DD-8C56-A02883A2EC7A}"/>
    <cellStyle name="Normal 4 2 4 2 2 4 3" xfId="5560" xr:uid="{00000000-0005-0000-0000-00004A130000}"/>
    <cellStyle name="Normal 4 2 4 2 2 4 3 2" xfId="14010" xr:uid="{F92F6A34-3E97-4890-B40B-9E6B68D9FF9E}"/>
    <cellStyle name="Normal 4 2 4 2 2 4 4" xfId="9792" xr:uid="{99DBBFE0-FF7E-4836-823F-C0201602DF2C}"/>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2 2 2" xfId="16568" xr:uid="{3FFD70A3-5322-41BA-85B0-427D5F54DFFB}"/>
    <cellStyle name="Normal 4 2 4 2 2 5 2 3" xfId="12350" xr:uid="{71F70B3B-7089-4740-928E-39FDB9E3157D}"/>
    <cellStyle name="Normal 4 2 4 2 2 5 3" xfId="5973" xr:uid="{00000000-0005-0000-0000-00004E130000}"/>
    <cellStyle name="Normal 4 2 4 2 2 5 3 2" xfId="14423" xr:uid="{9454839C-42AB-454B-906B-1D96B4A806BD}"/>
    <cellStyle name="Normal 4 2 4 2 2 5 4" xfId="10205" xr:uid="{E95C5D7E-156D-4FDE-B480-F196DD891987}"/>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2 2 2" xfId="16981" xr:uid="{6709F652-A499-41E3-9DB8-4B636958810C}"/>
    <cellStyle name="Normal 4 2 4 2 2 6 2 3" xfId="12763" xr:uid="{EAA9B90D-625E-4991-BF6B-E56FEA4509E5}"/>
    <cellStyle name="Normal 4 2 4 2 2 6 3" xfId="6386" xr:uid="{00000000-0005-0000-0000-000052130000}"/>
    <cellStyle name="Normal 4 2 4 2 2 6 3 2" xfId="14836" xr:uid="{E1F3C7E8-1F3C-4252-8DCB-8315F68617B6}"/>
    <cellStyle name="Normal 4 2 4 2 2 6 4" xfId="10618" xr:uid="{C815FBB9-A600-470C-91F5-52C8C3B50182}"/>
    <cellStyle name="Normal 4 2 4 2 2 7" xfId="2516" xr:uid="{00000000-0005-0000-0000-000053130000}"/>
    <cellStyle name="Normal 4 2 4 2 2 7 2" xfId="6799" xr:uid="{00000000-0005-0000-0000-000054130000}"/>
    <cellStyle name="Normal 4 2 4 2 2 7 2 2" xfId="15249" xr:uid="{2DA4CA19-0A57-4EC0-9BE6-41D2E0402B60}"/>
    <cellStyle name="Normal 4 2 4 2 2 7 3" xfId="11031" xr:uid="{0840A025-AC0C-4379-958C-6D36460F787C}"/>
    <cellStyle name="Normal 4 2 4 2 2 8" xfId="4734" xr:uid="{00000000-0005-0000-0000-000055130000}"/>
    <cellStyle name="Normal 4 2 4 2 2 8 2" xfId="13184" xr:uid="{E9A6BD66-D877-4438-81A3-4F2D618A500A}"/>
    <cellStyle name="Normal 4 2 4 2 2 9" xfId="8966" xr:uid="{94963FE3-8E45-4096-91F7-613FCDF21FF9}"/>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2 2 2" xfId="15744" xr:uid="{E67AEB86-922D-415A-9480-603BCA931726}"/>
    <cellStyle name="Normal 4 2 4 2 3 2 2 3" xfId="11526" xr:uid="{FF253D6C-01C1-4B12-91D7-70E68340C428}"/>
    <cellStyle name="Normal 4 2 4 2 3 2 3" xfId="5149" xr:uid="{00000000-0005-0000-0000-00005A130000}"/>
    <cellStyle name="Normal 4 2 4 2 3 2 3 2" xfId="13599" xr:uid="{258E3FA6-297E-4377-8373-3C41D44F79E8}"/>
    <cellStyle name="Normal 4 2 4 2 3 2 4" xfId="9381" xr:uid="{DAEB82B6-0D9E-492E-ABA4-8A531632F1FC}"/>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2 2 2" xfId="16157" xr:uid="{5C390F77-3EBD-41FB-A3F2-57BBBB3B34FD}"/>
    <cellStyle name="Normal 4 2 4 2 3 3 2 3" xfId="11939" xr:uid="{43A34FE6-986A-4CA9-B9DB-2B1C39743D24}"/>
    <cellStyle name="Normal 4 2 4 2 3 3 3" xfId="5562" xr:uid="{00000000-0005-0000-0000-00005E130000}"/>
    <cellStyle name="Normal 4 2 4 2 3 3 3 2" xfId="14012" xr:uid="{00585407-61F2-4F61-8B90-0A14C4259315}"/>
    <cellStyle name="Normal 4 2 4 2 3 3 4" xfId="9794" xr:uid="{CCEA27DC-EFED-480E-8E8E-7105827E19FC}"/>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2 2 2" xfId="16570" xr:uid="{65C7FBF3-138D-4DBC-AACD-BF251B96226E}"/>
    <cellStyle name="Normal 4 2 4 2 3 4 2 3" xfId="12352" xr:uid="{9AF22453-3670-4A65-AF21-C1FFBC03FFB6}"/>
    <cellStyle name="Normal 4 2 4 2 3 4 3" xfId="5975" xr:uid="{00000000-0005-0000-0000-000062130000}"/>
    <cellStyle name="Normal 4 2 4 2 3 4 3 2" xfId="14425" xr:uid="{82B748D3-2CC1-49C5-BA92-1D3E1B5C0E40}"/>
    <cellStyle name="Normal 4 2 4 2 3 4 4" xfId="10207" xr:uid="{C985DC77-BA51-493B-AAB6-C985D4020959}"/>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2 2 2" xfId="16983" xr:uid="{96AE5D41-FB8F-4DD7-A232-A80EFB4959D7}"/>
    <cellStyle name="Normal 4 2 4 2 3 5 2 3" xfId="12765" xr:uid="{3148CA72-E025-4AA5-A934-390B07B65199}"/>
    <cellStyle name="Normal 4 2 4 2 3 5 3" xfId="6388" xr:uid="{00000000-0005-0000-0000-000066130000}"/>
    <cellStyle name="Normal 4 2 4 2 3 5 3 2" xfId="14838" xr:uid="{5065128C-2CBC-48C7-A186-83584A9807FC}"/>
    <cellStyle name="Normal 4 2 4 2 3 5 4" xfId="10620" xr:uid="{20C53B51-6932-43EB-8AE4-AD7A4D7AD51D}"/>
    <cellStyle name="Normal 4 2 4 2 3 6" xfId="2518" xr:uid="{00000000-0005-0000-0000-000067130000}"/>
    <cellStyle name="Normal 4 2 4 2 3 6 2" xfId="6801" xr:uid="{00000000-0005-0000-0000-000068130000}"/>
    <cellStyle name="Normal 4 2 4 2 3 6 2 2" xfId="15251" xr:uid="{42210D7E-B558-4C21-9306-D542574E96E7}"/>
    <cellStyle name="Normal 4 2 4 2 3 6 3" xfId="11033" xr:uid="{A3D51EF5-F98A-49C4-8A06-F65E6F786808}"/>
    <cellStyle name="Normal 4 2 4 2 3 7" xfId="4736" xr:uid="{00000000-0005-0000-0000-000069130000}"/>
    <cellStyle name="Normal 4 2 4 2 3 7 2" xfId="13186" xr:uid="{16E6870A-5BF2-43FF-BF80-AABFE1EB6EE5}"/>
    <cellStyle name="Normal 4 2 4 2 3 8" xfId="8968" xr:uid="{613DB771-1764-4B7E-9569-12F01303CDDB}"/>
    <cellStyle name="Normal 4 2 4 2 4" xfId="832" xr:uid="{00000000-0005-0000-0000-00006A130000}"/>
    <cellStyle name="Normal 4 2 4 2 4 2" xfId="3069" xr:uid="{00000000-0005-0000-0000-00006B130000}"/>
    <cellStyle name="Normal 4 2 4 2 4 2 2" xfId="7291" xr:uid="{00000000-0005-0000-0000-00006C130000}"/>
    <cellStyle name="Normal 4 2 4 2 4 2 2 2" xfId="15741" xr:uid="{957BFFDA-F672-4B63-AF28-680747990101}"/>
    <cellStyle name="Normal 4 2 4 2 4 2 3" xfId="11523" xr:uid="{88399DE7-A93A-4B79-867F-69114C16C86D}"/>
    <cellStyle name="Normal 4 2 4 2 4 3" xfId="5146" xr:uid="{00000000-0005-0000-0000-00006D130000}"/>
    <cellStyle name="Normal 4 2 4 2 4 3 2" xfId="13596" xr:uid="{AB7EAA62-2E04-485E-9DA2-0CF5DEC9A784}"/>
    <cellStyle name="Normal 4 2 4 2 4 4" xfId="9378" xr:uid="{3D11D49F-7210-4A0D-B1FA-AF5B025E8446}"/>
    <cellStyle name="Normal 4 2 4 2 5" xfId="1252" xr:uid="{00000000-0005-0000-0000-00006E130000}"/>
    <cellStyle name="Normal 4 2 4 2 5 2" xfId="3482" xr:uid="{00000000-0005-0000-0000-00006F130000}"/>
    <cellStyle name="Normal 4 2 4 2 5 2 2" xfId="7704" xr:uid="{00000000-0005-0000-0000-000070130000}"/>
    <cellStyle name="Normal 4 2 4 2 5 2 2 2" xfId="16154" xr:uid="{A74572F3-EA12-45F1-B40B-C866C16C1CB7}"/>
    <cellStyle name="Normal 4 2 4 2 5 2 3" xfId="11936" xr:uid="{730D7578-2460-47CE-B588-EFA1861E1A0B}"/>
    <cellStyle name="Normal 4 2 4 2 5 3" xfId="5559" xr:uid="{00000000-0005-0000-0000-000071130000}"/>
    <cellStyle name="Normal 4 2 4 2 5 3 2" xfId="14009" xr:uid="{82344E44-F10B-4C04-B383-4905E83C5718}"/>
    <cellStyle name="Normal 4 2 4 2 5 4" xfId="9791" xr:uid="{331AF5FD-318C-43E0-B6A4-F336B7D1C436}"/>
    <cellStyle name="Normal 4 2 4 2 6" xfId="1665" xr:uid="{00000000-0005-0000-0000-000072130000}"/>
    <cellStyle name="Normal 4 2 4 2 6 2" xfId="3895" xr:uid="{00000000-0005-0000-0000-000073130000}"/>
    <cellStyle name="Normal 4 2 4 2 6 2 2" xfId="8117" xr:uid="{00000000-0005-0000-0000-000074130000}"/>
    <cellStyle name="Normal 4 2 4 2 6 2 2 2" xfId="16567" xr:uid="{C951079B-7752-4EC1-AEBD-4B061632FC8F}"/>
    <cellStyle name="Normal 4 2 4 2 6 2 3" xfId="12349" xr:uid="{5E6E46EE-0CD4-4B03-BC6D-3137455CB8A4}"/>
    <cellStyle name="Normal 4 2 4 2 6 3" xfId="5972" xr:uid="{00000000-0005-0000-0000-000075130000}"/>
    <cellStyle name="Normal 4 2 4 2 6 3 2" xfId="14422" xr:uid="{19FC8432-F688-40E2-B500-D663945BF2D8}"/>
    <cellStyle name="Normal 4 2 4 2 6 4" xfId="10204" xr:uid="{F76C3FCA-09B0-43A1-BB7B-3AD0168034B9}"/>
    <cellStyle name="Normal 4 2 4 2 7" xfId="2079" xr:uid="{00000000-0005-0000-0000-000076130000}"/>
    <cellStyle name="Normal 4 2 4 2 7 2" xfId="4308" xr:uid="{00000000-0005-0000-0000-000077130000}"/>
    <cellStyle name="Normal 4 2 4 2 7 2 2" xfId="8530" xr:uid="{00000000-0005-0000-0000-000078130000}"/>
    <cellStyle name="Normal 4 2 4 2 7 2 2 2" xfId="16980" xr:uid="{E402A9F2-BBD7-469C-A42A-E43AFD20EED4}"/>
    <cellStyle name="Normal 4 2 4 2 7 2 3" xfId="12762" xr:uid="{1985E588-54E2-4F62-BDE3-192523AB4FB7}"/>
    <cellStyle name="Normal 4 2 4 2 7 3" xfId="6385" xr:uid="{00000000-0005-0000-0000-000079130000}"/>
    <cellStyle name="Normal 4 2 4 2 7 3 2" xfId="14835" xr:uid="{B954282D-0F74-4873-A993-7B696C5489EE}"/>
    <cellStyle name="Normal 4 2 4 2 7 4" xfId="10617" xr:uid="{5CCEC181-3363-4E18-AE7D-577EA9945BDD}"/>
    <cellStyle name="Normal 4 2 4 2 8" xfId="2515" xr:uid="{00000000-0005-0000-0000-00007A130000}"/>
    <cellStyle name="Normal 4 2 4 2 8 2" xfId="6798" xr:uid="{00000000-0005-0000-0000-00007B130000}"/>
    <cellStyle name="Normal 4 2 4 2 8 2 2" xfId="15248" xr:uid="{EEE7F6B9-EFE9-4CEA-B1AF-0E3EBD5D73F6}"/>
    <cellStyle name="Normal 4 2 4 2 8 3" xfId="11030" xr:uid="{4C1E60BE-DBED-4CBA-BC0E-491ABFA82D57}"/>
    <cellStyle name="Normal 4 2 4 2 9" xfId="4733" xr:uid="{00000000-0005-0000-0000-00007C130000}"/>
    <cellStyle name="Normal 4 2 4 2 9 2" xfId="13183" xr:uid="{BF9CEA1B-9D7C-4A7F-AE14-7B06C8DA1601}"/>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2 2 2" xfId="15746" xr:uid="{932F1DE7-2148-43DE-BEE7-2971AB8E372C}"/>
    <cellStyle name="Normal 4 2 4 3 2 2 2 3" xfId="11528" xr:uid="{72845209-E268-4C65-8498-9CCC34512BC3}"/>
    <cellStyle name="Normal 4 2 4 3 2 2 3" xfId="5151" xr:uid="{00000000-0005-0000-0000-000082130000}"/>
    <cellStyle name="Normal 4 2 4 3 2 2 3 2" xfId="13601" xr:uid="{50C6020E-0DB3-419A-939F-8FA43B43B1F1}"/>
    <cellStyle name="Normal 4 2 4 3 2 2 4" xfId="9383" xr:uid="{C85DEE79-EA96-4DDB-B667-BEA0EC1B106F}"/>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2 2 2" xfId="16159" xr:uid="{8A4AC2B4-8D6C-4F18-9E84-370F46B3CCFA}"/>
    <cellStyle name="Normal 4 2 4 3 2 3 2 3" xfId="11941" xr:uid="{BE0FC6A2-126C-462F-B65D-82828D5C7CAB}"/>
    <cellStyle name="Normal 4 2 4 3 2 3 3" xfId="5564" xr:uid="{00000000-0005-0000-0000-000086130000}"/>
    <cellStyle name="Normal 4 2 4 3 2 3 3 2" xfId="14014" xr:uid="{BEB16DEB-8C1E-4918-8759-C208CAEBFB7E}"/>
    <cellStyle name="Normal 4 2 4 3 2 3 4" xfId="9796" xr:uid="{B2FAA37A-A58B-4D81-ADE1-BBAA11966C4A}"/>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2 2 2" xfId="16572" xr:uid="{10B089DD-018B-4241-BAF0-8112C17C40EA}"/>
    <cellStyle name="Normal 4 2 4 3 2 4 2 3" xfId="12354" xr:uid="{3145C9D8-804E-47F1-9FA2-BD99644CB71D}"/>
    <cellStyle name="Normal 4 2 4 3 2 4 3" xfId="5977" xr:uid="{00000000-0005-0000-0000-00008A130000}"/>
    <cellStyle name="Normal 4 2 4 3 2 4 3 2" xfId="14427" xr:uid="{71D4BFC6-BAAD-4096-A570-6B32312C9D83}"/>
    <cellStyle name="Normal 4 2 4 3 2 4 4" xfId="10209" xr:uid="{07835137-992C-4987-8D93-04300F510493}"/>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2 2 2" xfId="16985" xr:uid="{AE1498F9-38A9-4DA1-907E-8B249F436121}"/>
    <cellStyle name="Normal 4 2 4 3 2 5 2 3" xfId="12767" xr:uid="{04EC3DDE-09EB-4C4E-9483-508226A723B1}"/>
    <cellStyle name="Normal 4 2 4 3 2 5 3" xfId="6390" xr:uid="{00000000-0005-0000-0000-00008E130000}"/>
    <cellStyle name="Normal 4 2 4 3 2 5 3 2" xfId="14840" xr:uid="{DAA8FA2D-D83E-4F82-9FCB-1BD9CEBE1CF5}"/>
    <cellStyle name="Normal 4 2 4 3 2 5 4" xfId="10622" xr:uid="{FBB3550A-CCAD-4597-A026-B78BAD1DA1F3}"/>
    <cellStyle name="Normal 4 2 4 3 2 6" xfId="2520" xr:uid="{00000000-0005-0000-0000-00008F130000}"/>
    <cellStyle name="Normal 4 2 4 3 2 6 2" xfId="6803" xr:uid="{00000000-0005-0000-0000-000090130000}"/>
    <cellStyle name="Normal 4 2 4 3 2 6 2 2" xfId="15253" xr:uid="{36A38AA3-C14A-4315-898C-C6873F1A9626}"/>
    <cellStyle name="Normal 4 2 4 3 2 6 3" xfId="11035" xr:uid="{82200101-B16E-451D-A110-9435A356C9B3}"/>
    <cellStyle name="Normal 4 2 4 3 2 7" xfId="4738" xr:uid="{00000000-0005-0000-0000-000091130000}"/>
    <cellStyle name="Normal 4 2 4 3 2 7 2" xfId="13188" xr:uid="{DEC80D69-570F-46C8-B10B-6D97D61B75F7}"/>
    <cellStyle name="Normal 4 2 4 3 2 8" xfId="8970" xr:uid="{6A79743A-5BF3-48FA-80A7-B9E142B1CFC6}"/>
    <cellStyle name="Normal 4 2 4 3 3" xfId="836" xr:uid="{00000000-0005-0000-0000-000092130000}"/>
    <cellStyle name="Normal 4 2 4 3 3 2" xfId="3073" xr:uid="{00000000-0005-0000-0000-000093130000}"/>
    <cellStyle name="Normal 4 2 4 3 3 2 2" xfId="7295" xr:uid="{00000000-0005-0000-0000-000094130000}"/>
    <cellStyle name="Normal 4 2 4 3 3 2 2 2" xfId="15745" xr:uid="{33D86839-D3F2-48B7-B243-A6F085CB2C68}"/>
    <cellStyle name="Normal 4 2 4 3 3 2 3" xfId="11527" xr:uid="{08C1E02B-C8F6-4FFA-9FBC-311DD4BA99EF}"/>
    <cellStyle name="Normal 4 2 4 3 3 3" xfId="5150" xr:uid="{00000000-0005-0000-0000-000095130000}"/>
    <cellStyle name="Normal 4 2 4 3 3 3 2" xfId="13600" xr:uid="{5E3A910C-9135-4B35-9EF2-B9C13F046B2F}"/>
    <cellStyle name="Normal 4 2 4 3 3 4" xfId="9382" xr:uid="{3F5F12B4-30E0-4C38-9160-1D86A4BA34F1}"/>
    <cellStyle name="Normal 4 2 4 3 4" xfId="1256" xr:uid="{00000000-0005-0000-0000-000096130000}"/>
    <cellStyle name="Normal 4 2 4 3 4 2" xfId="3486" xr:uid="{00000000-0005-0000-0000-000097130000}"/>
    <cellStyle name="Normal 4 2 4 3 4 2 2" xfId="7708" xr:uid="{00000000-0005-0000-0000-000098130000}"/>
    <cellStyle name="Normal 4 2 4 3 4 2 2 2" xfId="16158" xr:uid="{B98E2424-5A61-42F1-BD0C-1897EF582464}"/>
    <cellStyle name="Normal 4 2 4 3 4 2 3" xfId="11940" xr:uid="{BA5F2B48-3DC0-4835-B241-BACA50AD313C}"/>
    <cellStyle name="Normal 4 2 4 3 4 3" xfId="5563" xr:uid="{00000000-0005-0000-0000-000099130000}"/>
    <cellStyle name="Normal 4 2 4 3 4 3 2" xfId="14013" xr:uid="{092D0E9B-6E79-4F49-9484-55C1E0C960D1}"/>
    <cellStyle name="Normal 4 2 4 3 4 4" xfId="9795" xr:uid="{19D45066-4461-41A8-8F0A-0BDD89C6C2A3}"/>
    <cellStyle name="Normal 4 2 4 3 5" xfId="1669" xr:uid="{00000000-0005-0000-0000-00009A130000}"/>
    <cellStyle name="Normal 4 2 4 3 5 2" xfId="3899" xr:uid="{00000000-0005-0000-0000-00009B130000}"/>
    <cellStyle name="Normal 4 2 4 3 5 2 2" xfId="8121" xr:uid="{00000000-0005-0000-0000-00009C130000}"/>
    <cellStyle name="Normal 4 2 4 3 5 2 2 2" xfId="16571" xr:uid="{508DD660-A8D4-4587-A386-DF7B77E2B8BE}"/>
    <cellStyle name="Normal 4 2 4 3 5 2 3" xfId="12353" xr:uid="{239F1D96-64EC-4B21-873A-913828EB6EAC}"/>
    <cellStyle name="Normal 4 2 4 3 5 3" xfId="5976" xr:uid="{00000000-0005-0000-0000-00009D130000}"/>
    <cellStyle name="Normal 4 2 4 3 5 3 2" xfId="14426" xr:uid="{61A8AE20-CED2-4D72-8166-70D12BF4D3A7}"/>
    <cellStyle name="Normal 4 2 4 3 5 4" xfId="10208" xr:uid="{B459B6DF-A77C-4AD0-BA8E-290D505DB3DB}"/>
    <cellStyle name="Normal 4 2 4 3 6" xfId="2083" xr:uid="{00000000-0005-0000-0000-00009E130000}"/>
    <cellStyle name="Normal 4 2 4 3 6 2" xfId="4312" xr:uid="{00000000-0005-0000-0000-00009F130000}"/>
    <cellStyle name="Normal 4 2 4 3 6 2 2" xfId="8534" xr:uid="{00000000-0005-0000-0000-0000A0130000}"/>
    <cellStyle name="Normal 4 2 4 3 6 2 2 2" xfId="16984" xr:uid="{6A1ED1F9-2EB4-437E-95BE-F6202A6A5D83}"/>
    <cellStyle name="Normal 4 2 4 3 6 2 3" xfId="12766" xr:uid="{77F37CF6-67DD-4E6E-9DF8-E4BC7CAA4ED0}"/>
    <cellStyle name="Normal 4 2 4 3 6 3" xfId="6389" xr:uid="{00000000-0005-0000-0000-0000A1130000}"/>
    <cellStyle name="Normal 4 2 4 3 6 3 2" xfId="14839" xr:uid="{6042B33A-0CB4-4014-A34F-7C1C724219CA}"/>
    <cellStyle name="Normal 4 2 4 3 6 4" xfId="10621" xr:uid="{3C7E4E5C-8A91-4509-AB36-1138DC4741FC}"/>
    <cellStyle name="Normal 4 2 4 3 7" xfId="2519" xr:uid="{00000000-0005-0000-0000-0000A2130000}"/>
    <cellStyle name="Normal 4 2 4 3 7 2" xfId="6802" xr:uid="{00000000-0005-0000-0000-0000A3130000}"/>
    <cellStyle name="Normal 4 2 4 3 7 2 2" xfId="15252" xr:uid="{5CBDCD57-A360-4129-B175-A21F176111F8}"/>
    <cellStyle name="Normal 4 2 4 3 7 3" xfId="11034" xr:uid="{DC9F8471-B899-47EA-A756-71EF0E2D2B65}"/>
    <cellStyle name="Normal 4 2 4 3 8" xfId="4737" xr:uid="{00000000-0005-0000-0000-0000A4130000}"/>
    <cellStyle name="Normal 4 2 4 3 8 2" xfId="13187" xr:uid="{EB7023CF-D9B2-4C79-A118-2A79C5B298C0}"/>
    <cellStyle name="Normal 4 2 4 3 9" xfId="8969" xr:uid="{312C9B0B-F321-4C8E-A9B3-1FE13E3D9AA4}"/>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2 2 2" xfId="15747" xr:uid="{0D04B03C-51F8-4B7B-83AF-D632DFD6A975}"/>
    <cellStyle name="Normal 4 2 4 4 2 2 3" xfId="11529" xr:uid="{6A20407C-BCA0-4DAD-948B-86C351ECF55D}"/>
    <cellStyle name="Normal 4 2 4 4 2 3" xfId="5152" xr:uid="{00000000-0005-0000-0000-0000A9130000}"/>
    <cellStyle name="Normal 4 2 4 4 2 3 2" xfId="13602" xr:uid="{FE639E44-2979-431E-9A0C-A79C87554B00}"/>
    <cellStyle name="Normal 4 2 4 4 2 4" xfId="9384" xr:uid="{6111350A-CCA2-4121-BB7A-EB4C4A101034}"/>
    <cellStyle name="Normal 4 2 4 4 3" xfId="1258" xr:uid="{00000000-0005-0000-0000-0000AA130000}"/>
    <cellStyle name="Normal 4 2 4 4 3 2" xfId="3488" xr:uid="{00000000-0005-0000-0000-0000AB130000}"/>
    <cellStyle name="Normal 4 2 4 4 3 2 2" xfId="7710" xr:uid="{00000000-0005-0000-0000-0000AC130000}"/>
    <cellStyle name="Normal 4 2 4 4 3 2 2 2" xfId="16160" xr:uid="{ED4F7C12-7632-4410-8B4B-E07DD9FD3492}"/>
    <cellStyle name="Normal 4 2 4 4 3 2 3" xfId="11942" xr:uid="{0A38C789-ED56-4EA0-A92D-FA82B8333CD6}"/>
    <cellStyle name="Normal 4 2 4 4 3 3" xfId="5565" xr:uid="{00000000-0005-0000-0000-0000AD130000}"/>
    <cellStyle name="Normal 4 2 4 4 3 3 2" xfId="14015" xr:uid="{6BB0E5CB-7C80-4719-ABE2-4A61340F642F}"/>
    <cellStyle name="Normal 4 2 4 4 3 4" xfId="9797" xr:uid="{1F02D30F-6F69-4033-B293-F98E3DC433A5}"/>
    <cellStyle name="Normal 4 2 4 4 4" xfId="1671" xr:uid="{00000000-0005-0000-0000-0000AE130000}"/>
    <cellStyle name="Normal 4 2 4 4 4 2" xfId="3901" xr:uid="{00000000-0005-0000-0000-0000AF130000}"/>
    <cellStyle name="Normal 4 2 4 4 4 2 2" xfId="8123" xr:uid="{00000000-0005-0000-0000-0000B0130000}"/>
    <cellStyle name="Normal 4 2 4 4 4 2 2 2" xfId="16573" xr:uid="{763A04B0-1580-4C00-9542-181D8B23C261}"/>
    <cellStyle name="Normal 4 2 4 4 4 2 3" xfId="12355" xr:uid="{E8D49ADE-2C53-4B03-9926-6A386A4DC940}"/>
    <cellStyle name="Normal 4 2 4 4 4 3" xfId="5978" xr:uid="{00000000-0005-0000-0000-0000B1130000}"/>
    <cellStyle name="Normal 4 2 4 4 4 3 2" xfId="14428" xr:uid="{80D2B4EB-876B-483F-BA52-FA73886AD811}"/>
    <cellStyle name="Normal 4 2 4 4 4 4" xfId="10210" xr:uid="{6F9DB812-92D6-448F-B223-5A7CB76DCECF}"/>
    <cellStyle name="Normal 4 2 4 4 5" xfId="2085" xr:uid="{00000000-0005-0000-0000-0000B2130000}"/>
    <cellStyle name="Normal 4 2 4 4 5 2" xfId="4314" xr:uid="{00000000-0005-0000-0000-0000B3130000}"/>
    <cellStyle name="Normal 4 2 4 4 5 2 2" xfId="8536" xr:uid="{00000000-0005-0000-0000-0000B4130000}"/>
    <cellStyle name="Normal 4 2 4 4 5 2 2 2" xfId="16986" xr:uid="{619DFE2A-CB55-4AF4-9381-8DEF512710FB}"/>
    <cellStyle name="Normal 4 2 4 4 5 2 3" xfId="12768" xr:uid="{499BB2AA-2C5E-452E-8877-92AE81594F21}"/>
    <cellStyle name="Normal 4 2 4 4 5 3" xfId="6391" xr:uid="{00000000-0005-0000-0000-0000B5130000}"/>
    <cellStyle name="Normal 4 2 4 4 5 3 2" xfId="14841" xr:uid="{A6CBB6CB-ABA0-4E50-8DC4-3293FEE825AC}"/>
    <cellStyle name="Normal 4 2 4 4 5 4" xfId="10623" xr:uid="{4A8C2109-5914-4537-93E4-6EB57AEEF34F}"/>
    <cellStyle name="Normal 4 2 4 4 6" xfId="2521" xr:uid="{00000000-0005-0000-0000-0000B6130000}"/>
    <cellStyle name="Normal 4 2 4 4 6 2" xfId="6804" xr:uid="{00000000-0005-0000-0000-0000B7130000}"/>
    <cellStyle name="Normal 4 2 4 4 6 2 2" xfId="15254" xr:uid="{713815B8-B317-489D-BA5C-DF2337BF56BD}"/>
    <cellStyle name="Normal 4 2 4 4 6 3" xfId="11036" xr:uid="{CB39249A-35E7-4DF7-A683-B65E959BBAFF}"/>
    <cellStyle name="Normal 4 2 4 4 7" xfId="4739" xr:uid="{00000000-0005-0000-0000-0000B8130000}"/>
    <cellStyle name="Normal 4 2 4 4 7 2" xfId="13189" xr:uid="{AE0F0A68-FD24-4067-8193-2A34FDC5F248}"/>
    <cellStyle name="Normal 4 2 4 4 8" xfId="8971" xr:uid="{DA969F1F-01DC-478D-9A72-D23FC9F8EDA6}"/>
    <cellStyle name="Normal 4 2 4 5" xfId="831" xr:uid="{00000000-0005-0000-0000-0000B9130000}"/>
    <cellStyle name="Normal 4 2 4 5 2" xfId="3068" xr:uid="{00000000-0005-0000-0000-0000BA130000}"/>
    <cellStyle name="Normal 4 2 4 5 2 2" xfId="7290" xr:uid="{00000000-0005-0000-0000-0000BB130000}"/>
    <cellStyle name="Normal 4 2 4 5 2 2 2" xfId="15740" xr:uid="{D7393773-E0D6-4F70-B6E1-C11D518E5CE2}"/>
    <cellStyle name="Normal 4 2 4 5 2 3" xfId="11522" xr:uid="{439494F6-30B9-4AF8-9EFF-67989322395A}"/>
    <cellStyle name="Normal 4 2 4 5 3" xfId="5145" xr:uid="{00000000-0005-0000-0000-0000BC130000}"/>
    <cellStyle name="Normal 4 2 4 5 3 2" xfId="13595" xr:uid="{F0C9DC44-E46A-46AE-9D03-B19D5ED33F46}"/>
    <cellStyle name="Normal 4 2 4 5 4" xfId="9377" xr:uid="{BA309E27-1DB3-4BC0-B7A2-841D096DE7AC}"/>
    <cellStyle name="Normal 4 2 4 6" xfId="1251" xr:uid="{00000000-0005-0000-0000-0000BD130000}"/>
    <cellStyle name="Normal 4 2 4 6 2" xfId="3481" xr:uid="{00000000-0005-0000-0000-0000BE130000}"/>
    <cellStyle name="Normal 4 2 4 6 2 2" xfId="7703" xr:uid="{00000000-0005-0000-0000-0000BF130000}"/>
    <cellStyle name="Normal 4 2 4 6 2 2 2" xfId="16153" xr:uid="{B615F2BE-0D19-426E-B6BF-D2836B0955AB}"/>
    <cellStyle name="Normal 4 2 4 6 2 3" xfId="11935" xr:uid="{6955EF0C-4ABD-4573-9D03-2C2118E3789D}"/>
    <cellStyle name="Normal 4 2 4 6 3" xfId="5558" xr:uid="{00000000-0005-0000-0000-0000C0130000}"/>
    <cellStyle name="Normal 4 2 4 6 3 2" xfId="14008" xr:uid="{470BB0BC-F704-4F66-92AA-C887461F7487}"/>
    <cellStyle name="Normal 4 2 4 6 4" xfId="9790" xr:uid="{86E8EF68-374D-49B3-8A78-7B9CE2F5EEED}"/>
    <cellStyle name="Normal 4 2 4 7" xfId="1664" xr:uid="{00000000-0005-0000-0000-0000C1130000}"/>
    <cellStyle name="Normal 4 2 4 7 2" xfId="3894" xr:uid="{00000000-0005-0000-0000-0000C2130000}"/>
    <cellStyle name="Normal 4 2 4 7 2 2" xfId="8116" xr:uid="{00000000-0005-0000-0000-0000C3130000}"/>
    <cellStyle name="Normal 4 2 4 7 2 2 2" xfId="16566" xr:uid="{D0A5511E-44A9-4773-8DCE-6A565C2BFD28}"/>
    <cellStyle name="Normal 4 2 4 7 2 3" xfId="12348" xr:uid="{85161180-C141-420A-9DF3-EB7ECF54A8BD}"/>
    <cellStyle name="Normal 4 2 4 7 3" xfId="5971" xr:uid="{00000000-0005-0000-0000-0000C4130000}"/>
    <cellStyle name="Normal 4 2 4 7 3 2" xfId="14421" xr:uid="{FED83D8B-DAAB-4657-8586-A7B5A3CA2FF5}"/>
    <cellStyle name="Normal 4 2 4 7 4" xfId="10203" xr:uid="{03D7FF85-2897-47B3-A846-CDB9E4CA93F9}"/>
    <cellStyle name="Normal 4 2 4 8" xfId="2078" xr:uid="{00000000-0005-0000-0000-0000C5130000}"/>
    <cellStyle name="Normal 4 2 4 8 2" xfId="4307" xr:uid="{00000000-0005-0000-0000-0000C6130000}"/>
    <cellStyle name="Normal 4 2 4 8 2 2" xfId="8529" xr:uid="{00000000-0005-0000-0000-0000C7130000}"/>
    <cellStyle name="Normal 4 2 4 8 2 2 2" xfId="16979" xr:uid="{0C069EF7-D8E5-417C-A0D2-BBB201628C31}"/>
    <cellStyle name="Normal 4 2 4 8 2 3" xfId="12761" xr:uid="{3C6AD65D-4AE6-47FC-A7D4-541586A8F500}"/>
    <cellStyle name="Normal 4 2 4 8 3" xfId="6384" xr:uid="{00000000-0005-0000-0000-0000C8130000}"/>
    <cellStyle name="Normal 4 2 4 8 3 2" xfId="14834" xr:uid="{B49300DB-CFD4-4BFE-8B2B-795322E1170C}"/>
    <cellStyle name="Normal 4 2 4 8 4" xfId="10616" xr:uid="{AF2D9685-5ACA-473D-885C-7024C5C22429}"/>
    <cellStyle name="Normal 4 2 4 9" xfId="2514" xr:uid="{00000000-0005-0000-0000-0000C9130000}"/>
    <cellStyle name="Normal 4 2 4 9 2" xfId="6797" xr:uid="{00000000-0005-0000-0000-0000CA130000}"/>
    <cellStyle name="Normal 4 2 4 9 2 2" xfId="15247" xr:uid="{68735F7B-100E-43A1-9B22-5E860D5EECC5}"/>
    <cellStyle name="Normal 4 2 4 9 3" xfId="11029" xr:uid="{8E9ED14E-9453-4495-B912-225F9EB0C3ED}"/>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2 2 2" xfId="15749" xr:uid="{CD25D6D7-8D33-47BD-BCAC-1C2098F6E28A}"/>
    <cellStyle name="Normal 4 2 5 2 2 2 3" xfId="11531" xr:uid="{79E4494E-A41A-47FD-977B-76EFADBADD7E}"/>
    <cellStyle name="Normal 4 2 5 2 2 3" xfId="5154" xr:uid="{00000000-0005-0000-0000-0000D0130000}"/>
    <cellStyle name="Normal 4 2 5 2 2 3 2" xfId="13604" xr:uid="{0186A025-4767-4D5D-9DD0-3CC6F6DC7D48}"/>
    <cellStyle name="Normal 4 2 5 2 2 4" xfId="9386" xr:uid="{B12F6C18-2300-470D-8365-BA6DD2C2B3D6}"/>
    <cellStyle name="Normal 4 2 5 2 3" xfId="1260" xr:uid="{00000000-0005-0000-0000-0000D1130000}"/>
    <cellStyle name="Normal 4 2 5 2 3 2" xfId="3490" xr:uid="{00000000-0005-0000-0000-0000D2130000}"/>
    <cellStyle name="Normal 4 2 5 2 3 2 2" xfId="7712" xr:uid="{00000000-0005-0000-0000-0000D3130000}"/>
    <cellStyle name="Normal 4 2 5 2 3 2 2 2" xfId="16162" xr:uid="{C54FB834-1254-40DB-8CB7-16B4B2797BA3}"/>
    <cellStyle name="Normal 4 2 5 2 3 2 3" xfId="11944" xr:uid="{2C72E4FA-9695-4EAF-870C-A5AC4BAB6493}"/>
    <cellStyle name="Normal 4 2 5 2 3 3" xfId="5567" xr:uid="{00000000-0005-0000-0000-0000D4130000}"/>
    <cellStyle name="Normal 4 2 5 2 3 3 2" xfId="14017" xr:uid="{D54C1DF6-2696-4A46-9B63-3F4008037318}"/>
    <cellStyle name="Normal 4 2 5 2 3 4" xfId="9799" xr:uid="{7946D67E-C340-47C6-ABD0-7E1F6B8313A4}"/>
    <cellStyle name="Normal 4 2 5 2 4" xfId="1673" xr:uid="{00000000-0005-0000-0000-0000D5130000}"/>
    <cellStyle name="Normal 4 2 5 2 4 2" xfId="3903" xr:uid="{00000000-0005-0000-0000-0000D6130000}"/>
    <cellStyle name="Normal 4 2 5 2 4 2 2" xfId="8125" xr:uid="{00000000-0005-0000-0000-0000D7130000}"/>
    <cellStyle name="Normal 4 2 5 2 4 2 2 2" xfId="16575" xr:uid="{438E4AF8-7DFC-4F9F-88B0-CEC08E3549A0}"/>
    <cellStyle name="Normal 4 2 5 2 4 2 3" xfId="12357" xr:uid="{72B5C4E3-2453-4527-B49F-DD6131798384}"/>
    <cellStyle name="Normal 4 2 5 2 4 3" xfId="5980" xr:uid="{00000000-0005-0000-0000-0000D8130000}"/>
    <cellStyle name="Normal 4 2 5 2 4 3 2" xfId="14430" xr:uid="{521B0367-8B9E-4002-9C30-886BBE4C8181}"/>
    <cellStyle name="Normal 4 2 5 2 4 4" xfId="10212" xr:uid="{875E75FA-2EB9-4D8D-893D-7DDB3D5854E3}"/>
    <cellStyle name="Normal 4 2 5 2 5" xfId="2087" xr:uid="{00000000-0005-0000-0000-0000D9130000}"/>
    <cellStyle name="Normal 4 2 5 2 5 2" xfId="4316" xr:uid="{00000000-0005-0000-0000-0000DA130000}"/>
    <cellStyle name="Normal 4 2 5 2 5 2 2" xfId="8538" xr:uid="{00000000-0005-0000-0000-0000DB130000}"/>
    <cellStyle name="Normal 4 2 5 2 5 2 2 2" xfId="16988" xr:uid="{794188AB-1AFC-4A3A-BFFA-F877485576AF}"/>
    <cellStyle name="Normal 4 2 5 2 5 2 3" xfId="12770" xr:uid="{A8BBADF0-C65C-4AFC-BE2C-628F9990AC2B}"/>
    <cellStyle name="Normal 4 2 5 2 5 3" xfId="6393" xr:uid="{00000000-0005-0000-0000-0000DC130000}"/>
    <cellStyle name="Normal 4 2 5 2 5 3 2" xfId="14843" xr:uid="{88AB4A1D-C7C3-402A-9D18-79CBB64FFCCE}"/>
    <cellStyle name="Normal 4 2 5 2 5 4" xfId="10625" xr:uid="{6E4D0790-0472-419E-8FE7-63943FCAD7E6}"/>
    <cellStyle name="Normal 4 2 5 2 6" xfId="2523" xr:uid="{00000000-0005-0000-0000-0000DD130000}"/>
    <cellStyle name="Normal 4 2 5 2 6 2" xfId="6806" xr:uid="{00000000-0005-0000-0000-0000DE130000}"/>
    <cellStyle name="Normal 4 2 5 2 6 2 2" xfId="15256" xr:uid="{02DE07B3-41DC-471F-A6FE-D973EE390D69}"/>
    <cellStyle name="Normal 4 2 5 2 6 3" xfId="11038" xr:uid="{EDC0371D-80E2-4A7C-A4F5-35B05699D71F}"/>
    <cellStyle name="Normal 4 2 5 2 7" xfId="4741" xr:uid="{00000000-0005-0000-0000-0000DF130000}"/>
    <cellStyle name="Normal 4 2 5 2 7 2" xfId="13191" xr:uid="{39AB1DF3-3A09-4045-A636-F42BED5FE290}"/>
    <cellStyle name="Normal 4 2 5 2 8" xfId="8973" xr:uid="{1C180859-B838-43E1-BD95-26FBD59F4EA8}"/>
    <cellStyle name="Normal 4 2 5 3" xfId="839" xr:uid="{00000000-0005-0000-0000-0000E0130000}"/>
    <cellStyle name="Normal 4 2 5 3 2" xfId="3076" xr:uid="{00000000-0005-0000-0000-0000E1130000}"/>
    <cellStyle name="Normal 4 2 5 3 2 2" xfId="7298" xr:uid="{00000000-0005-0000-0000-0000E2130000}"/>
    <cellStyle name="Normal 4 2 5 3 2 2 2" xfId="15748" xr:uid="{91643E24-C05F-47E4-94AC-C8E83C6786E8}"/>
    <cellStyle name="Normal 4 2 5 3 2 3" xfId="11530" xr:uid="{7C4C848C-A577-43CF-97F4-A5BFD37D90D0}"/>
    <cellStyle name="Normal 4 2 5 3 3" xfId="5153" xr:uid="{00000000-0005-0000-0000-0000E3130000}"/>
    <cellStyle name="Normal 4 2 5 3 3 2" xfId="13603" xr:uid="{E7B329CE-E0AA-4E77-A41B-7C61641313C6}"/>
    <cellStyle name="Normal 4 2 5 3 4" xfId="9385" xr:uid="{0739F4EF-BBF2-4BF6-8E9C-70C23AF52E78}"/>
    <cellStyle name="Normal 4 2 5 4" xfId="1259" xr:uid="{00000000-0005-0000-0000-0000E4130000}"/>
    <cellStyle name="Normal 4 2 5 4 2" xfId="3489" xr:uid="{00000000-0005-0000-0000-0000E5130000}"/>
    <cellStyle name="Normal 4 2 5 4 2 2" xfId="7711" xr:uid="{00000000-0005-0000-0000-0000E6130000}"/>
    <cellStyle name="Normal 4 2 5 4 2 2 2" xfId="16161" xr:uid="{5932EC72-1C2D-4DF1-9547-41BB86961EF7}"/>
    <cellStyle name="Normal 4 2 5 4 2 3" xfId="11943" xr:uid="{C1410DA9-3638-4BB6-A8DC-2B9A9C610259}"/>
    <cellStyle name="Normal 4 2 5 4 3" xfId="5566" xr:uid="{00000000-0005-0000-0000-0000E7130000}"/>
    <cellStyle name="Normal 4 2 5 4 3 2" xfId="14016" xr:uid="{CD93DC72-8F47-4EC2-90E0-5EB41E94F815}"/>
    <cellStyle name="Normal 4 2 5 4 4" xfId="9798" xr:uid="{B8568B0B-585F-4874-A80D-2453693329F1}"/>
    <cellStyle name="Normal 4 2 5 5" xfId="1672" xr:uid="{00000000-0005-0000-0000-0000E8130000}"/>
    <cellStyle name="Normal 4 2 5 5 2" xfId="3902" xr:uid="{00000000-0005-0000-0000-0000E9130000}"/>
    <cellStyle name="Normal 4 2 5 5 2 2" xfId="8124" xr:uid="{00000000-0005-0000-0000-0000EA130000}"/>
    <cellStyle name="Normal 4 2 5 5 2 2 2" xfId="16574" xr:uid="{00FC8378-8B2D-43BD-8548-992C11971FCD}"/>
    <cellStyle name="Normal 4 2 5 5 2 3" xfId="12356" xr:uid="{BE97EACF-8D36-47C4-8C42-D6CE98D2EFBF}"/>
    <cellStyle name="Normal 4 2 5 5 3" xfId="5979" xr:uid="{00000000-0005-0000-0000-0000EB130000}"/>
    <cellStyle name="Normal 4 2 5 5 3 2" xfId="14429" xr:uid="{2E573B3B-8E9C-4B21-90D5-9CCE2EFC13C4}"/>
    <cellStyle name="Normal 4 2 5 5 4" xfId="10211" xr:uid="{BB616533-2EF6-4121-AC2A-575A20FA9EFE}"/>
    <cellStyle name="Normal 4 2 5 6" xfId="2086" xr:uid="{00000000-0005-0000-0000-0000EC130000}"/>
    <cellStyle name="Normal 4 2 5 6 2" xfId="4315" xr:uid="{00000000-0005-0000-0000-0000ED130000}"/>
    <cellStyle name="Normal 4 2 5 6 2 2" xfId="8537" xr:uid="{00000000-0005-0000-0000-0000EE130000}"/>
    <cellStyle name="Normal 4 2 5 6 2 2 2" xfId="16987" xr:uid="{4F233D18-E249-43EA-9A22-0C148D7CCD2A}"/>
    <cellStyle name="Normal 4 2 5 6 2 3" xfId="12769" xr:uid="{26AFBB7F-72AA-4E1D-91D6-21DDE87DBC16}"/>
    <cellStyle name="Normal 4 2 5 6 3" xfId="6392" xr:uid="{00000000-0005-0000-0000-0000EF130000}"/>
    <cellStyle name="Normal 4 2 5 6 3 2" xfId="14842" xr:uid="{A99A21CC-C22D-4B3B-88EF-506730CF863B}"/>
    <cellStyle name="Normal 4 2 5 6 4" xfId="10624" xr:uid="{BF211A5D-E84A-44B9-975F-D41748C34A51}"/>
    <cellStyle name="Normal 4 2 5 7" xfId="2522" xr:uid="{00000000-0005-0000-0000-0000F0130000}"/>
    <cellStyle name="Normal 4 2 5 7 2" xfId="6805" xr:uid="{00000000-0005-0000-0000-0000F1130000}"/>
    <cellStyle name="Normal 4 2 5 7 2 2" xfId="15255" xr:uid="{DFE54F01-B457-4708-A8F0-1A7A9CDC9452}"/>
    <cellStyle name="Normal 4 2 5 7 3" xfId="11037" xr:uid="{8FEB76FB-E334-4252-A7A9-CEF7CC33E750}"/>
    <cellStyle name="Normal 4 2 5 8" xfId="4740" xr:uid="{00000000-0005-0000-0000-0000F2130000}"/>
    <cellStyle name="Normal 4 2 5 8 2" xfId="13190" xr:uid="{23DD0950-F632-4482-B783-81CE22C8BB81}"/>
    <cellStyle name="Normal 4 2 5 9" xfId="8972" xr:uid="{A7E991A1-3BAC-49A1-A8B8-E9A0A6E45439}"/>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2 2 2" xfId="15750" xr:uid="{F34179AD-9CBF-4CEB-8BD0-64C0354A723A}"/>
    <cellStyle name="Normal 4 2 6 2 2 3" xfId="11532" xr:uid="{85EF844C-E005-49EE-B3AE-31B310C14CCB}"/>
    <cellStyle name="Normal 4 2 6 2 3" xfId="5155" xr:uid="{00000000-0005-0000-0000-0000F7130000}"/>
    <cellStyle name="Normal 4 2 6 2 3 2" xfId="13605" xr:uid="{05FB4A6D-B597-40CF-8425-B39180D4571E}"/>
    <cellStyle name="Normal 4 2 6 2 4" xfId="9387" xr:uid="{205CF896-2E03-4897-A083-662A90DA4295}"/>
    <cellStyle name="Normal 4 2 6 3" xfId="1261" xr:uid="{00000000-0005-0000-0000-0000F8130000}"/>
    <cellStyle name="Normal 4 2 6 3 2" xfId="3491" xr:uid="{00000000-0005-0000-0000-0000F9130000}"/>
    <cellStyle name="Normal 4 2 6 3 2 2" xfId="7713" xr:uid="{00000000-0005-0000-0000-0000FA130000}"/>
    <cellStyle name="Normal 4 2 6 3 2 2 2" xfId="16163" xr:uid="{D020E53D-2401-481A-9922-C5138B07DD3A}"/>
    <cellStyle name="Normal 4 2 6 3 2 3" xfId="11945" xr:uid="{197AC7B3-46FE-4B79-B506-7A916B1CC613}"/>
    <cellStyle name="Normal 4 2 6 3 3" xfId="5568" xr:uid="{00000000-0005-0000-0000-0000FB130000}"/>
    <cellStyle name="Normal 4 2 6 3 3 2" xfId="14018" xr:uid="{E6EAD9B9-B998-40DF-9E02-1403F3E35F11}"/>
    <cellStyle name="Normal 4 2 6 3 4" xfId="9800" xr:uid="{4553C06F-6B2E-4408-AFEC-B4697F688D30}"/>
    <cellStyle name="Normal 4 2 6 4" xfId="1674" xr:uid="{00000000-0005-0000-0000-0000FC130000}"/>
    <cellStyle name="Normal 4 2 6 4 2" xfId="3904" xr:uid="{00000000-0005-0000-0000-0000FD130000}"/>
    <cellStyle name="Normal 4 2 6 4 2 2" xfId="8126" xr:uid="{00000000-0005-0000-0000-0000FE130000}"/>
    <cellStyle name="Normal 4 2 6 4 2 2 2" xfId="16576" xr:uid="{9FEADD4A-0632-41D6-A7BB-E8BB395E4246}"/>
    <cellStyle name="Normal 4 2 6 4 2 3" xfId="12358" xr:uid="{70F30336-F600-4382-9674-D07BD8E36906}"/>
    <cellStyle name="Normal 4 2 6 4 3" xfId="5981" xr:uid="{00000000-0005-0000-0000-0000FF130000}"/>
    <cellStyle name="Normal 4 2 6 4 3 2" xfId="14431" xr:uid="{AD3D1677-57D5-496D-AA14-135829272E35}"/>
    <cellStyle name="Normal 4 2 6 4 4" xfId="10213" xr:uid="{B07EB519-3C8A-4421-A686-CCD20FFF0DC2}"/>
    <cellStyle name="Normal 4 2 6 5" xfId="2088" xr:uid="{00000000-0005-0000-0000-000000140000}"/>
    <cellStyle name="Normal 4 2 6 5 2" xfId="4317" xr:uid="{00000000-0005-0000-0000-000001140000}"/>
    <cellStyle name="Normal 4 2 6 5 2 2" xfId="8539" xr:uid="{00000000-0005-0000-0000-000002140000}"/>
    <cellStyle name="Normal 4 2 6 5 2 2 2" xfId="16989" xr:uid="{64B7D1E2-3628-44FB-A250-3318F13E9460}"/>
    <cellStyle name="Normal 4 2 6 5 2 3" xfId="12771" xr:uid="{05D84E72-F2C8-448F-9BDB-D1C39B876CA8}"/>
    <cellStyle name="Normal 4 2 6 5 3" xfId="6394" xr:uid="{00000000-0005-0000-0000-000003140000}"/>
    <cellStyle name="Normal 4 2 6 5 3 2" xfId="14844" xr:uid="{AAB968FF-AEA5-4AFB-ABA3-56E9E613D506}"/>
    <cellStyle name="Normal 4 2 6 5 4" xfId="10626" xr:uid="{5308B203-3FC6-4437-B2FE-E12C610BC51C}"/>
    <cellStyle name="Normal 4 2 6 6" xfId="2524" xr:uid="{00000000-0005-0000-0000-000004140000}"/>
    <cellStyle name="Normal 4 2 6 6 2" xfId="6807" xr:uid="{00000000-0005-0000-0000-000005140000}"/>
    <cellStyle name="Normal 4 2 6 6 2 2" xfId="15257" xr:uid="{F08FBF08-3642-4C8C-8153-2538E7FFF5E4}"/>
    <cellStyle name="Normal 4 2 6 6 3" xfId="11039" xr:uid="{8A7C03FA-DAFB-41D0-BFF1-13F57CDAFC26}"/>
    <cellStyle name="Normal 4 2 6 7" xfId="4742" xr:uid="{00000000-0005-0000-0000-000006140000}"/>
    <cellStyle name="Normal 4 2 6 7 2" xfId="13192" xr:uid="{3E1DA0CD-9641-4923-8F8E-0A6E43C52005}"/>
    <cellStyle name="Normal 4 2 6 8" xfId="8974" xr:uid="{68BF47B8-FC02-47B0-8A14-8136A838C81F}"/>
    <cellStyle name="Normal 4 3" xfId="366" xr:uid="{00000000-0005-0000-0000-000007140000}"/>
    <cellStyle name="Normal 4 3 10" xfId="8975" xr:uid="{C0990AB1-4A49-4FF1-9EE2-A18B5A758992}"/>
    <cellStyle name="Normal 4 3 2" xfId="367" xr:uid="{00000000-0005-0000-0000-000008140000}"/>
    <cellStyle name="Normal 4 3 2 2" xfId="368" xr:uid="{00000000-0005-0000-0000-000009140000}"/>
    <cellStyle name="Normal 4 3 2 2 2" xfId="369" xr:uid="{00000000-0005-0000-0000-00000A140000}"/>
    <cellStyle name="Normal 4 3 2 2 2 10" xfId="8976" xr:uid="{43F31766-D809-4641-9C1B-3BEEAA0CA6CE}"/>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2 2 2" xfId="15754" xr:uid="{F22F2E63-A1A5-42CD-BBFE-BEC3C7441ADE}"/>
    <cellStyle name="Normal 4 3 2 2 2 2 2 2 2 3" xfId="11536" xr:uid="{2F686499-8696-41CD-BEA6-06F5BE506D9C}"/>
    <cellStyle name="Normal 4 3 2 2 2 2 2 2 3" xfId="5159" xr:uid="{00000000-0005-0000-0000-000010140000}"/>
    <cellStyle name="Normal 4 3 2 2 2 2 2 2 3 2" xfId="13609" xr:uid="{F4C3BAB1-95E7-49A1-AF86-8CEBC4D8C70D}"/>
    <cellStyle name="Normal 4 3 2 2 2 2 2 2 4" xfId="9391" xr:uid="{EEEF2FBB-8810-4DF9-8A4A-5ECD7245C28D}"/>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2 2 2" xfId="16167" xr:uid="{7255138B-A56F-4964-8044-50C75CA54C96}"/>
    <cellStyle name="Normal 4 3 2 2 2 2 2 3 2 3" xfId="11949" xr:uid="{5BB04ED2-7748-460C-A4CC-4D645B488CA1}"/>
    <cellStyle name="Normal 4 3 2 2 2 2 2 3 3" xfId="5572" xr:uid="{00000000-0005-0000-0000-000014140000}"/>
    <cellStyle name="Normal 4 3 2 2 2 2 2 3 3 2" xfId="14022" xr:uid="{7FD463F3-53ED-46C3-BA77-F0D6FC4E357C}"/>
    <cellStyle name="Normal 4 3 2 2 2 2 2 3 4" xfId="9804" xr:uid="{EC85F2CA-FA20-40E0-9C95-C6194E7D38C1}"/>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2 2 2" xfId="16580" xr:uid="{8B1705A0-4301-44A5-8917-571E841B75CF}"/>
    <cellStyle name="Normal 4 3 2 2 2 2 2 4 2 3" xfId="12362" xr:uid="{DC664F0B-C565-413E-B69C-409E864787DF}"/>
    <cellStyle name="Normal 4 3 2 2 2 2 2 4 3" xfId="5985" xr:uid="{00000000-0005-0000-0000-000018140000}"/>
    <cellStyle name="Normal 4 3 2 2 2 2 2 4 3 2" xfId="14435" xr:uid="{F228B5D8-991C-46F0-830D-5CAF07EF481B}"/>
    <cellStyle name="Normal 4 3 2 2 2 2 2 4 4" xfId="10217" xr:uid="{E9CCBF5D-2282-4906-A6E0-42A0EDBFCB25}"/>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2 2 2" xfId="16993" xr:uid="{6A3BCB7B-E0ED-4403-B032-E81B0C382A08}"/>
    <cellStyle name="Normal 4 3 2 2 2 2 2 5 2 3" xfId="12775" xr:uid="{DDEA9116-66AC-4D01-A437-9264F2A17B44}"/>
    <cellStyle name="Normal 4 3 2 2 2 2 2 5 3" xfId="6398" xr:uid="{00000000-0005-0000-0000-00001C140000}"/>
    <cellStyle name="Normal 4 3 2 2 2 2 2 5 3 2" xfId="14848" xr:uid="{94527D00-EC0E-4E29-8686-A0974BCB2259}"/>
    <cellStyle name="Normal 4 3 2 2 2 2 2 5 4" xfId="10630" xr:uid="{31CB515A-EF04-4FE9-B74F-CB3E3C510433}"/>
    <cellStyle name="Normal 4 3 2 2 2 2 2 6" xfId="2528" xr:uid="{00000000-0005-0000-0000-00001D140000}"/>
    <cellStyle name="Normal 4 3 2 2 2 2 2 6 2" xfId="6811" xr:uid="{00000000-0005-0000-0000-00001E140000}"/>
    <cellStyle name="Normal 4 3 2 2 2 2 2 6 2 2" xfId="15261" xr:uid="{7F164C04-1D18-40FD-98D6-9DE53E81839E}"/>
    <cellStyle name="Normal 4 3 2 2 2 2 2 6 3" xfId="11043" xr:uid="{03C9B3A1-42AD-44E4-919C-02CDAB843BC1}"/>
    <cellStyle name="Normal 4 3 2 2 2 2 2 7" xfId="4746" xr:uid="{00000000-0005-0000-0000-00001F140000}"/>
    <cellStyle name="Normal 4 3 2 2 2 2 2 7 2" xfId="13196" xr:uid="{E3AFC383-92C9-436A-866F-E72BEDAF6BDC}"/>
    <cellStyle name="Normal 4 3 2 2 2 2 2 8" xfId="8978" xr:uid="{13941D26-4067-49BE-9FAC-89A9C1F97D6B}"/>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2 2 2" xfId="15753" xr:uid="{576A684A-97D1-4EB6-B582-6BAE955CF48D}"/>
    <cellStyle name="Normal 4 3 2 2 2 2 3 2 3" xfId="11535" xr:uid="{A6116C6B-4451-4C6F-B7FB-F744679A4D15}"/>
    <cellStyle name="Normal 4 3 2 2 2 2 3 3" xfId="5158" xr:uid="{00000000-0005-0000-0000-000023140000}"/>
    <cellStyle name="Normal 4 3 2 2 2 2 3 3 2" xfId="13608" xr:uid="{A853A31A-DD1A-48B0-B7BB-80F98AABD55A}"/>
    <cellStyle name="Normal 4 3 2 2 2 2 3 4" xfId="9390" xr:uid="{1D6D8492-FF29-4465-9489-F194C178AE58}"/>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2 2 2" xfId="16166" xr:uid="{F30E5249-FFF0-43DF-BF4D-3D6B5CB091BD}"/>
    <cellStyle name="Normal 4 3 2 2 2 2 4 2 3" xfId="11948" xr:uid="{416CE54C-DB59-4B76-9C16-DE860167FB9E}"/>
    <cellStyle name="Normal 4 3 2 2 2 2 4 3" xfId="5571" xr:uid="{00000000-0005-0000-0000-000027140000}"/>
    <cellStyle name="Normal 4 3 2 2 2 2 4 3 2" xfId="14021" xr:uid="{EC990C46-280B-43A3-8A8D-D8C780545BBF}"/>
    <cellStyle name="Normal 4 3 2 2 2 2 4 4" xfId="9803" xr:uid="{A1250833-DEAF-42F5-9C42-1AA5C1A28B84}"/>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2 2 2" xfId="16579" xr:uid="{6DB3BE54-37D7-43FC-B389-5199640157C1}"/>
    <cellStyle name="Normal 4 3 2 2 2 2 5 2 3" xfId="12361" xr:uid="{4B5B0F7C-DBDB-4FB7-AA71-168995F7748B}"/>
    <cellStyle name="Normal 4 3 2 2 2 2 5 3" xfId="5984" xr:uid="{00000000-0005-0000-0000-00002B140000}"/>
    <cellStyle name="Normal 4 3 2 2 2 2 5 3 2" xfId="14434" xr:uid="{25B19665-EC5E-4AD8-B7AF-29B4E2673CF6}"/>
    <cellStyle name="Normal 4 3 2 2 2 2 5 4" xfId="10216" xr:uid="{E3803586-9C3A-45B1-AEED-9080141E3913}"/>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2 2 2" xfId="16992" xr:uid="{BBFDE1EC-D8E7-40E7-949F-09EBDE8D48B0}"/>
    <cellStyle name="Normal 4 3 2 2 2 2 6 2 3" xfId="12774" xr:uid="{B184BCE3-B208-418C-8473-AEC23AF89D55}"/>
    <cellStyle name="Normal 4 3 2 2 2 2 6 3" xfId="6397" xr:uid="{00000000-0005-0000-0000-00002F140000}"/>
    <cellStyle name="Normal 4 3 2 2 2 2 6 3 2" xfId="14847" xr:uid="{D6A9462A-4AFC-4E29-9B64-55AD890B34AB}"/>
    <cellStyle name="Normal 4 3 2 2 2 2 6 4" xfId="10629" xr:uid="{B4D8F64B-7827-454C-AE09-F7172CD03D17}"/>
    <cellStyle name="Normal 4 3 2 2 2 2 7" xfId="2527" xr:uid="{00000000-0005-0000-0000-000030140000}"/>
    <cellStyle name="Normal 4 3 2 2 2 2 7 2" xfId="6810" xr:uid="{00000000-0005-0000-0000-000031140000}"/>
    <cellStyle name="Normal 4 3 2 2 2 2 7 2 2" xfId="15260" xr:uid="{18606F80-9833-4979-8D23-C0F27A4BA628}"/>
    <cellStyle name="Normal 4 3 2 2 2 2 7 3" xfId="11042" xr:uid="{19494479-7284-48AF-9837-E64BE83C8E99}"/>
    <cellStyle name="Normal 4 3 2 2 2 2 8" xfId="4745" xr:uid="{00000000-0005-0000-0000-000032140000}"/>
    <cellStyle name="Normal 4 3 2 2 2 2 8 2" xfId="13195" xr:uid="{4DEA69A9-0B5A-4E31-B198-B7EF911B4D72}"/>
    <cellStyle name="Normal 4 3 2 2 2 2 9" xfId="8977" xr:uid="{C7E7ADCF-C2E6-4BB0-A04C-E08878223E9A}"/>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2 2 2" xfId="15755" xr:uid="{6C88FD7D-D95B-4DC9-A3F9-45FDB513021C}"/>
    <cellStyle name="Normal 4 3 2 2 2 3 2 2 3" xfId="11537" xr:uid="{50AC0739-144C-447A-AF38-44B54F267FD7}"/>
    <cellStyle name="Normal 4 3 2 2 2 3 2 3" xfId="5160" xr:uid="{00000000-0005-0000-0000-000037140000}"/>
    <cellStyle name="Normal 4 3 2 2 2 3 2 3 2" xfId="13610" xr:uid="{E264D1E1-41BC-47D3-8029-3702D5A0A0C5}"/>
    <cellStyle name="Normal 4 3 2 2 2 3 2 4" xfId="9392" xr:uid="{F33D3EAA-8BCF-4786-88A6-195A6F46CE9F}"/>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2 2 2" xfId="16168" xr:uid="{021366C8-B315-44C8-A4AC-BAC1EBBBDDC1}"/>
    <cellStyle name="Normal 4 3 2 2 2 3 3 2 3" xfId="11950" xr:uid="{1ED36977-7EBD-4F4D-9BC9-7520864D8D5D}"/>
    <cellStyle name="Normal 4 3 2 2 2 3 3 3" xfId="5573" xr:uid="{00000000-0005-0000-0000-00003B140000}"/>
    <cellStyle name="Normal 4 3 2 2 2 3 3 3 2" xfId="14023" xr:uid="{F8A3529F-C05A-4321-9923-15C9558E205B}"/>
    <cellStyle name="Normal 4 3 2 2 2 3 3 4" xfId="9805" xr:uid="{98D4675F-F4BC-4C28-B7E0-567F9BF2DF86}"/>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2 2 2" xfId="16581" xr:uid="{2770C7A7-F005-4CC8-A760-86783707DE6E}"/>
    <cellStyle name="Normal 4 3 2 2 2 3 4 2 3" xfId="12363" xr:uid="{13352A4B-0FE6-471A-B78D-CCE3D99CBCC4}"/>
    <cellStyle name="Normal 4 3 2 2 2 3 4 3" xfId="5986" xr:uid="{00000000-0005-0000-0000-00003F140000}"/>
    <cellStyle name="Normal 4 3 2 2 2 3 4 3 2" xfId="14436" xr:uid="{00A9D5CB-98AD-4A82-B461-2C73BC698F25}"/>
    <cellStyle name="Normal 4 3 2 2 2 3 4 4" xfId="10218" xr:uid="{B4DF4EF5-C91C-489B-854B-E268EEB8FD82}"/>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2 2 2" xfId="16994" xr:uid="{D31BCC93-12FD-4B1E-BF59-2B6971989BA8}"/>
    <cellStyle name="Normal 4 3 2 2 2 3 5 2 3" xfId="12776" xr:uid="{DD231E76-5117-4A7D-83A3-7669436781FD}"/>
    <cellStyle name="Normal 4 3 2 2 2 3 5 3" xfId="6399" xr:uid="{00000000-0005-0000-0000-000043140000}"/>
    <cellStyle name="Normal 4 3 2 2 2 3 5 3 2" xfId="14849" xr:uid="{AD12E21E-0B7D-401F-B17B-426BB55DF4EA}"/>
    <cellStyle name="Normal 4 3 2 2 2 3 5 4" xfId="10631" xr:uid="{A171D3BC-BD5D-4816-8220-1508F755F1DE}"/>
    <cellStyle name="Normal 4 3 2 2 2 3 6" xfId="2529" xr:uid="{00000000-0005-0000-0000-000044140000}"/>
    <cellStyle name="Normal 4 3 2 2 2 3 6 2" xfId="6812" xr:uid="{00000000-0005-0000-0000-000045140000}"/>
    <cellStyle name="Normal 4 3 2 2 2 3 6 2 2" xfId="15262" xr:uid="{E0F14763-8EC2-4115-A1AA-0646438B0469}"/>
    <cellStyle name="Normal 4 3 2 2 2 3 6 3" xfId="11044" xr:uid="{068C0AE5-8D5E-4DCC-8EAD-0D49CFDEB4DB}"/>
    <cellStyle name="Normal 4 3 2 2 2 3 7" xfId="4747" xr:uid="{00000000-0005-0000-0000-000046140000}"/>
    <cellStyle name="Normal 4 3 2 2 2 3 7 2" xfId="13197" xr:uid="{22F371A5-8A90-40BC-B066-211C2D6B00D0}"/>
    <cellStyle name="Normal 4 3 2 2 2 3 8" xfId="8979" xr:uid="{CDCD87C9-AC33-4772-8571-FDA7DE404B1D}"/>
    <cellStyle name="Normal 4 3 2 2 2 4" xfId="844" xr:uid="{00000000-0005-0000-0000-000047140000}"/>
    <cellStyle name="Normal 4 3 2 2 2 4 2" xfId="3080" xr:uid="{00000000-0005-0000-0000-000048140000}"/>
    <cellStyle name="Normal 4 3 2 2 2 4 2 2" xfId="7302" xr:uid="{00000000-0005-0000-0000-000049140000}"/>
    <cellStyle name="Normal 4 3 2 2 2 4 2 2 2" xfId="15752" xr:uid="{0AA6A3F3-C584-4612-8B96-DB415D74A0FE}"/>
    <cellStyle name="Normal 4 3 2 2 2 4 2 3" xfId="11534" xr:uid="{706985FB-BAB6-42B5-AB46-C7CD7D2F5E92}"/>
    <cellStyle name="Normal 4 3 2 2 2 4 3" xfId="5157" xr:uid="{00000000-0005-0000-0000-00004A140000}"/>
    <cellStyle name="Normal 4 3 2 2 2 4 3 2" xfId="13607" xr:uid="{431E6580-7AB8-4E10-8066-E87B34AE5FED}"/>
    <cellStyle name="Normal 4 3 2 2 2 4 4" xfId="9389" xr:uid="{DC4B8131-4532-499D-AF14-5133A55F020D}"/>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2 2 2" xfId="16165" xr:uid="{C5758082-4212-45B6-A6ED-21B66296BCCD}"/>
    <cellStyle name="Normal 4 3 2 2 2 5 2 3" xfId="11947" xr:uid="{15A3B16B-D182-4A11-BECC-9706543CBF9A}"/>
    <cellStyle name="Normal 4 3 2 2 2 5 3" xfId="5570" xr:uid="{00000000-0005-0000-0000-00004E140000}"/>
    <cellStyle name="Normal 4 3 2 2 2 5 3 2" xfId="14020" xr:uid="{499C8C63-6ECF-405F-A670-1B5521AC482C}"/>
    <cellStyle name="Normal 4 3 2 2 2 5 4" xfId="9802" xr:uid="{4F70F8DA-2F2A-4F56-BC59-3076284D92A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2 2 2" xfId="16578" xr:uid="{FA60357B-EBDD-4E81-94DF-147B1162E8BC}"/>
    <cellStyle name="Normal 4 3 2 2 2 6 2 3" xfId="12360" xr:uid="{C37FE5F7-18CC-4AF8-B11F-A3C225CEA891}"/>
    <cellStyle name="Normal 4 3 2 2 2 6 3" xfId="5983" xr:uid="{00000000-0005-0000-0000-000052140000}"/>
    <cellStyle name="Normal 4 3 2 2 2 6 3 2" xfId="14433" xr:uid="{257586A1-2A02-4658-9F8A-CDD676CD060C}"/>
    <cellStyle name="Normal 4 3 2 2 2 6 4" xfId="10215" xr:uid="{CDFC9354-DBBC-41AB-A50F-4AEB129BB24D}"/>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2 2 2" xfId="16991" xr:uid="{F0851B04-AE74-47A2-B71B-08E5D965891C}"/>
    <cellStyle name="Normal 4 3 2 2 2 7 2 3" xfId="12773" xr:uid="{069B218B-AE1B-40A2-A5DF-F3CEFFF04FF5}"/>
    <cellStyle name="Normal 4 3 2 2 2 7 3" xfId="6396" xr:uid="{00000000-0005-0000-0000-000056140000}"/>
    <cellStyle name="Normal 4 3 2 2 2 7 3 2" xfId="14846" xr:uid="{9031A62A-C19F-4DC7-94B8-AF028382C4DF}"/>
    <cellStyle name="Normal 4 3 2 2 2 7 4" xfId="10628" xr:uid="{1A21FE2F-C908-4342-B281-264FE5A23202}"/>
    <cellStyle name="Normal 4 3 2 2 2 8" xfId="2526" xr:uid="{00000000-0005-0000-0000-000057140000}"/>
    <cellStyle name="Normal 4 3 2 2 2 8 2" xfId="6809" xr:uid="{00000000-0005-0000-0000-000058140000}"/>
    <cellStyle name="Normal 4 3 2 2 2 8 2 2" xfId="15259" xr:uid="{462BDB89-1348-474E-B4BC-891E03B1BA69}"/>
    <cellStyle name="Normal 4 3 2 2 2 8 3" xfId="11041" xr:uid="{7ED4459A-ECDD-4246-B85A-56928E7567A7}"/>
    <cellStyle name="Normal 4 3 2 2 2 9" xfId="4744" xr:uid="{00000000-0005-0000-0000-000059140000}"/>
    <cellStyle name="Normal 4 3 2 2 2 9 2" xfId="13194" xr:uid="{5630722C-AA05-4013-97B5-F397E1CABCED}"/>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10" xfId="8980" xr:uid="{DAF9077E-1191-49FE-AD96-B6760C791446}"/>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2 2 2" xfId="15758" xr:uid="{6023FE85-3A04-419D-8EAE-9246D805FC26}"/>
    <cellStyle name="Normal 4 3 3 2 2 2 2 3" xfId="11540" xr:uid="{553D76F6-329A-4C47-9659-87C2F9A5576E}"/>
    <cellStyle name="Normal 4 3 3 2 2 2 3" xfId="5163" xr:uid="{00000000-0005-0000-0000-000063140000}"/>
    <cellStyle name="Normal 4 3 3 2 2 2 3 2" xfId="13613" xr:uid="{AB5DD862-CFB4-4671-B4A8-48B72EEF3ACF}"/>
    <cellStyle name="Normal 4 3 3 2 2 2 4" xfId="9395" xr:uid="{DF1B963E-B4DC-454D-A5C8-A4EAA66A2AC0}"/>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2 2 2" xfId="16171" xr:uid="{9BE027CE-5900-4CA1-9FCC-82B331895F57}"/>
    <cellStyle name="Normal 4 3 3 2 2 3 2 3" xfId="11953" xr:uid="{8BFFA596-E90A-40B0-AA9B-C35036A3BD79}"/>
    <cellStyle name="Normal 4 3 3 2 2 3 3" xfId="5576" xr:uid="{00000000-0005-0000-0000-000067140000}"/>
    <cellStyle name="Normal 4 3 3 2 2 3 3 2" xfId="14026" xr:uid="{8E2D7AD7-0A9B-4C79-B793-E0934F27470D}"/>
    <cellStyle name="Normal 4 3 3 2 2 3 4" xfId="9808" xr:uid="{24B2EB34-88FF-4058-A3E5-0EAF484FA979}"/>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2 2 2" xfId="16584" xr:uid="{B7D82A21-34FB-40E6-8998-03665D7AF30D}"/>
    <cellStyle name="Normal 4 3 3 2 2 4 2 3" xfId="12366" xr:uid="{FB8F9FDD-5883-4282-BAE5-FEE8CB9A914D}"/>
    <cellStyle name="Normal 4 3 3 2 2 4 3" xfId="5989" xr:uid="{00000000-0005-0000-0000-00006B140000}"/>
    <cellStyle name="Normal 4 3 3 2 2 4 3 2" xfId="14439" xr:uid="{8FA7C84C-D567-4011-A89B-138DF7F6C053}"/>
    <cellStyle name="Normal 4 3 3 2 2 4 4" xfId="10221" xr:uid="{AFD840C5-BC45-455F-A392-54BE9EE0ABDB}"/>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2 2 2" xfId="16997" xr:uid="{CE5D78AF-0910-4E96-8A69-75011214F3C9}"/>
    <cellStyle name="Normal 4 3 3 2 2 5 2 3" xfId="12779" xr:uid="{41839649-0673-43AC-8CA5-F2D8908FE36F}"/>
    <cellStyle name="Normal 4 3 3 2 2 5 3" xfId="6402" xr:uid="{00000000-0005-0000-0000-00006F140000}"/>
    <cellStyle name="Normal 4 3 3 2 2 5 3 2" xfId="14852" xr:uid="{4826340A-5832-4F6E-ABFC-9ABB29AF175A}"/>
    <cellStyle name="Normal 4 3 3 2 2 5 4" xfId="10634" xr:uid="{8D819F30-833B-45A2-BA0A-C55C28E2AD46}"/>
    <cellStyle name="Normal 4 3 3 2 2 6" xfId="2532" xr:uid="{00000000-0005-0000-0000-000070140000}"/>
    <cellStyle name="Normal 4 3 3 2 2 6 2" xfId="6815" xr:uid="{00000000-0005-0000-0000-000071140000}"/>
    <cellStyle name="Normal 4 3 3 2 2 6 2 2" xfId="15265" xr:uid="{CB21ECB5-412B-4CC1-A42C-F25B47275EB3}"/>
    <cellStyle name="Normal 4 3 3 2 2 6 3" xfId="11047" xr:uid="{2DEFDB13-9D96-4806-934B-E90D6F02403B}"/>
    <cellStyle name="Normal 4 3 3 2 2 7" xfId="4750" xr:uid="{00000000-0005-0000-0000-000072140000}"/>
    <cellStyle name="Normal 4 3 3 2 2 7 2" xfId="13200" xr:uid="{FAADAB4B-2737-4EDB-885B-20C24A963D3A}"/>
    <cellStyle name="Normal 4 3 3 2 2 8" xfId="8982" xr:uid="{603E06AD-4D6C-4F62-8EAD-D03AFAE0B1F5}"/>
    <cellStyle name="Normal 4 3 3 2 3" xfId="850" xr:uid="{00000000-0005-0000-0000-000073140000}"/>
    <cellStyle name="Normal 4 3 3 2 3 2" xfId="3085" xr:uid="{00000000-0005-0000-0000-000074140000}"/>
    <cellStyle name="Normal 4 3 3 2 3 2 2" xfId="7307" xr:uid="{00000000-0005-0000-0000-000075140000}"/>
    <cellStyle name="Normal 4 3 3 2 3 2 2 2" xfId="15757" xr:uid="{82E992B2-6DE1-4084-89AA-31DB973EC0B6}"/>
    <cellStyle name="Normal 4 3 3 2 3 2 3" xfId="11539" xr:uid="{8AF994B1-59AF-4D25-9D51-BA9C52FA9CC7}"/>
    <cellStyle name="Normal 4 3 3 2 3 3" xfId="5162" xr:uid="{00000000-0005-0000-0000-000076140000}"/>
    <cellStyle name="Normal 4 3 3 2 3 3 2" xfId="13612" xr:uid="{B2BC856A-A5A4-4D80-867D-DF8CEDD05FC3}"/>
    <cellStyle name="Normal 4 3 3 2 3 4" xfId="9394" xr:uid="{9EAD8859-E30D-4773-93D9-19E7EBB16802}"/>
    <cellStyle name="Normal 4 3 3 2 4" xfId="1268" xr:uid="{00000000-0005-0000-0000-000077140000}"/>
    <cellStyle name="Normal 4 3 3 2 4 2" xfId="3498" xr:uid="{00000000-0005-0000-0000-000078140000}"/>
    <cellStyle name="Normal 4 3 3 2 4 2 2" xfId="7720" xr:uid="{00000000-0005-0000-0000-000079140000}"/>
    <cellStyle name="Normal 4 3 3 2 4 2 2 2" xfId="16170" xr:uid="{31966002-ED45-40EA-8817-C971A2412AAF}"/>
    <cellStyle name="Normal 4 3 3 2 4 2 3" xfId="11952" xr:uid="{0386E5DA-A326-4524-81FC-5054BCF0B872}"/>
    <cellStyle name="Normal 4 3 3 2 4 3" xfId="5575" xr:uid="{00000000-0005-0000-0000-00007A140000}"/>
    <cellStyle name="Normal 4 3 3 2 4 3 2" xfId="14025" xr:uid="{24957E39-942E-426D-98F8-154DAE78ED1A}"/>
    <cellStyle name="Normal 4 3 3 2 4 4" xfId="9807" xr:uid="{B12A71AC-4DD2-4EFF-B669-E10FF1862198}"/>
    <cellStyle name="Normal 4 3 3 2 5" xfId="1681" xr:uid="{00000000-0005-0000-0000-00007B140000}"/>
    <cellStyle name="Normal 4 3 3 2 5 2" xfId="3911" xr:uid="{00000000-0005-0000-0000-00007C140000}"/>
    <cellStyle name="Normal 4 3 3 2 5 2 2" xfId="8133" xr:uid="{00000000-0005-0000-0000-00007D140000}"/>
    <cellStyle name="Normal 4 3 3 2 5 2 2 2" xfId="16583" xr:uid="{3B8A115F-8378-4A40-9C1C-6BF2B36C65EA}"/>
    <cellStyle name="Normal 4 3 3 2 5 2 3" xfId="12365" xr:uid="{81753C61-F0B0-48A2-B59A-D1416918E9EB}"/>
    <cellStyle name="Normal 4 3 3 2 5 3" xfId="5988" xr:uid="{00000000-0005-0000-0000-00007E140000}"/>
    <cellStyle name="Normal 4 3 3 2 5 3 2" xfId="14438" xr:uid="{A6B4431F-E45B-414C-A636-75BE9B89F0CE}"/>
    <cellStyle name="Normal 4 3 3 2 5 4" xfId="10220" xr:uid="{A184D9E2-712E-4F06-B8E9-AE3152DF7F77}"/>
    <cellStyle name="Normal 4 3 3 2 6" xfId="2095" xr:uid="{00000000-0005-0000-0000-00007F140000}"/>
    <cellStyle name="Normal 4 3 3 2 6 2" xfId="4324" xr:uid="{00000000-0005-0000-0000-000080140000}"/>
    <cellStyle name="Normal 4 3 3 2 6 2 2" xfId="8546" xr:uid="{00000000-0005-0000-0000-000081140000}"/>
    <cellStyle name="Normal 4 3 3 2 6 2 2 2" xfId="16996" xr:uid="{57F947C5-8137-4327-87CC-A7D6EA9DE488}"/>
    <cellStyle name="Normal 4 3 3 2 6 2 3" xfId="12778" xr:uid="{1E384490-452B-4AF7-B9EA-2CD0D246C42F}"/>
    <cellStyle name="Normal 4 3 3 2 6 3" xfId="6401" xr:uid="{00000000-0005-0000-0000-000082140000}"/>
    <cellStyle name="Normal 4 3 3 2 6 3 2" xfId="14851" xr:uid="{F7DFECA4-0F0D-47D8-8546-1586BD12A8A3}"/>
    <cellStyle name="Normal 4 3 3 2 6 4" xfId="10633" xr:uid="{2D9BB513-EF23-44B2-A280-76E6CB947737}"/>
    <cellStyle name="Normal 4 3 3 2 7" xfId="2531" xr:uid="{00000000-0005-0000-0000-000083140000}"/>
    <cellStyle name="Normal 4 3 3 2 7 2" xfId="6814" xr:uid="{00000000-0005-0000-0000-000084140000}"/>
    <cellStyle name="Normal 4 3 3 2 7 2 2" xfId="15264" xr:uid="{30D572D8-9688-4F5E-A0EA-1CEE884B1E39}"/>
    <cellStyle name="Normal 4 3 3 2 7 3" xfId="11046" xr:uid="{4113D667-0670-4C75-9AD1-BFF593F2287B}"/>
    <cellStyle name="Normal 4 3 3 2 8" xfId="4749" xr:uid="{00000000-0005-0000-0000-000085140000}"/>
    <cellStyle name="Normal 4 3 3 2 8 2" xfId="13199" xr:uid="{64207039-3813-42EE-9183-3D053094AD20}"/>
    <cellStyle name="Normal 4 3 3 2 9" xfId="8981" xr:uid="{70EF22E9-32F2-48DF-B9E7-6A2F0E13DB2E}"/>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2 2 2" xfId="15759" xr:uid="{B49520B4-A6B0-4F38-A8FF-1FD3849DB2D6}"/>
    <cellStyle name="Normal 4 3 3 3 2 2 3" xfId="11541" xr:uid="{006CE69B-816D-4B22-A9D3-8DE53D50CD5C}"/>
    <cellStyle name="Normal 4 3 3 3 2 3" xfId="5164" xr:uid="{00000000-0005-0000-0000-00008A140000}"/>
    <cellStyle name="Normal 4 3 3 3 2 3 2" xfId="13614" xr:uid="{8C42380C-7B21-4981-937C-532FC9B4EFA0}"/>
    <cellStyle name="Normal 4 3 3 3 2 4" xfId="9396" xr:uid="{DAF27A2E-7D05-4BBC-BBBB-95D54ED0A922}"/>
    <cellStyle name="Normal 4 3 3 3 3" xfId="1270" xr:uid="{00000000-0005-0000-0000-00008B140000}"/>
    <cellStyle name="Normal 4 3 3 3 3 2" xfId="3500" xr:uid="{00000000-0005-0000-0000-00008C140000}"/>
    <cellStyle name="Normal 4 3 3 3 3 2 2" xfId="7722" xr:uid="{00000000-0005-0000-0000-00008D140000}"/>
    <cellStyle name="Normal 4 3 3 3 3 2 2 2" xfId="16172" xr:uid="{6F66CD4E-70A8-473A-B26C-06E1D8D36080}"/>
    <cellStyle name="Normal 4 3 3 3 3 2 3" xfId="11954" xr:uid="{5105C9FD-2824-4BC8-8383-B20B6BB16661}"/>
    <cellStyle name="Normal 4 3 3 3 3 3" xfId="5577" xr:uid="{00000000-0005-0000-0000-00008E140000}"/>
    <cellStyle name="Normal 4 3 3 3 3 3 2" xfId="14027" xr:uid="{7E181F27-CE92-42CC-A0BB-FE1C7D500EF8}"/>
    <cellStyle name="Normal 4 3 3 3 3 4" xfId="9809" xr:uid="{FFE81D78-55E9-4B94-9622-5DBAE2A94EB0}"/>
    <cellStyle name="Normal 4 3 3 3 4" xfId="1683" xr:uid="{00000000-0005-0000-0000-00008F140000}"/>
    <cellStyle name="Normal 4 3 3 3 4 2" xfId="3913" xr:uid="{00000000-0005-0000-0000-000090140000}"/>
    <cellStyle name="Normal 4 3 3 3 4 2 2" xfId="8135" xr:uid="{00000000-0005-0000-0000-000091140000}"/>
    <cellStyle name="Normal 4 3 3 3 4 2 2 2" xfId="16585" xr:uid="{DB231019-F900-449C-9AB5-F30C13BD2A18}"/>
    <cellStyle name="Normal 4 3 3 3 4 2 3" xfId="12367" xr:uid="{759E3F4D-5E50-49FB-B457-538D493FB5D0}"/>
    <cellStyle name="Normal 4 3 3 3 4 3" xfId="5990" xr:uid="{00000000-0005-0000-0000-000092140000}"/>
    <cellStyle name="Normal 4 3 3 3 4 3 2" xfId="14440" xr:uid="{54CF99BD-1AC4-4233-9D1C-E3FA75EA8A43}"/>
    <cellStyle name="Normal 4 3 3 3 4 4" xfId="10222" xr:uid="{41FE5F0D-EEC0-4462-8462-E8E8EB267DAF}"/>
    <cellStyle name="Normal 4 3 3 3 5" xfId="2097" xr:uid="{00000000-0005-0000-0000-000093140000}"/>
    <cellStyle name="Normal 4 3 3 3 5 2" xfId="4326" xr:uid="{00000000-0005-0000-0000-000094140000}"/>
    <cellStyle name="Normal 4 3 3 3 5 2 2" xfId="8548" xr:uid="{00000000-0005-0000-0000-000095140000}"/>
    <cellStyle name="Normal 4 3 3 3 5 2 2 2" xfId="16998" xr:uid="{EBD25AC0-0001-47B9-9A93-6D9E044EF0FF}"/>
    <cellStyle name="Normal 4 3 3 3 5 2 3" xfId="12780" xr:uid="{D0377543-E799-4B4D-B65A-CF141DFC2CCC}"/>
    <cellStyle name="Normal 4 3 3 3 5 3" xfId="6403" xr:uid="{00000000-0005-0000-0000-000096140000}"/>
    <cellStyle name="Normal 4 3 3 3 5 3 2" xfId="14853" xr:uid="{A1D8D864-5E8D-46C8-ACDD-841980CBE9CC}"/>
    <cellStyle name="Normal 4 3 3 3 5 4" xfId="10635" xr:uid="{A2588B9A-FE84-4678-A10A-7CA435CEB90E}"/>
    <cellStyle name="Normal 4 3 3 3 6" xfId="2533" xr:uid="{00000000-0005-0000-0000-000097140000}"/>
    <cellStyle name="Normal 4 3 3 3 6 2" xfId="6816" xr:uid="{00000000-0005-0000-0000-000098140000}"/>
    <cellStyle name="Normal 4 3 3 3 6 2 2" xfId="15266" xr:uid="{B45F455C-E9BB-4247-8A65-4AD96A4E36D7}"/>
    <cellStyle name="Normal 4 3 3 3 6 3" xfId="11048" xr:uid="{73D21E52-7417-44DA-BE97-53E5A3EA2027}"/>
    <cellStyle name="Normal 4 3 3 3 7" xfId="4751" xr:uid="{00000000-0005-0000-0000-000099140000}"/>
    <cellStyle name="Normal 4 3 3 3 7 2" xfId="13201" xr:uid="{11BA97E7-EC17-4483-9341-DB004A6EF7C8}"/>
    <cellStyle name="Normal 4 3 3 3 8" xfId="8983" xr:uid="{C8EA3E5E-AC5F-4444-8938-8DE66A43F08D}"/>
    <cellStyle name="Normal 4 3 3 4" xfId="849" xr:uid="{00000000-0005-0000-0000-00009A140000}"/>
    <cellStyle name="Normal 4 3 3 4 2" xfId="3084" xr:uid="{00000000-0005-0000-0000-00009B140000}"/>
    <cellStyle name="Normal 4 3 3 4 2 2" xfId="7306" xr:uid="{00000000-0005-0000-0000-00009C140000}"/>
    <cellStyle name="Normal 4 3 3 4 2 2 2" xfId="15756" xr:uid="{3CA196D8-EA84-48B6-B7EA-D8A31CC1AABA}"/>
    <cellStyle name="Normal 4 3 3 4 2 3" xfId="11538" xr:uid="{AF505CA9-1711-4CC5-A874-B61780275BE7}"/>
    <cellStyle name="Normal 4 3 3 4 3" xfId="5161" xr:uid="{00000000-0005-0000-0000-00009D140000}"/>
    <cellStyle name="Normal 4 3 3 4 3 2" xfId="13611" xr:uid="{258C8AA8-3F0F-4947-BA29-F51FC3B2AC7E}"/>
    <cellStyle name="Normal 4 3 3 4 4" xfId="9393" xr:uid="{8A35513B-83FB-4A5F-8EF6-363FDD48995E}"/>
    <cellStyle name="Normal 4 3 3 5" xfId="1267" xr:uid="{00000000-0005-0000-0000-00009E140000}"/>
    <cellStyle name="Normal 4 3 3 5 2" xfId="3497" xr:uid="{00000000-0005-0000-0000-00009F140000}"/>
    <cellStyle name="Normal 4 3 3 5 2 2" xfId="7719" xr:uid="{00000000-0005-0000-0000-0000A0140000}"/>
    <cellStyle name="Normal 4 3 3 5 2 2 2" xfId="16169" xr:uid="{08C6CEF1-F979-40B6-8FC6-3604A2239988}"/>
    <cellStyle name="Normal 4 3 3 5 2 3" xfId="11951" xr:uid="{0499CE0E-2F32-4E2D-BEF3-A5DB68406A0D}"/>
    <cellStyle name="Normal 4 3 3 5 3" xfId="5574" xr:uid="{00000000-0005-0000-0000-0000A1140000}"/>
    <cellStyle name="Normal 4 3 3 5 3 2" xfId="14024" xr:uid="{7338F9D9-D77E-4091-B993-31FA76350A89}"/>
    <cellStyle name="Normal 4 3 3 5 4" xfId="9806" xr:uid="{26D0B31E-968D-49E5-B671-BBAC2C22CE52}"/>
    <cellStyle name="Normal 4 3 3 6" xfId="1680" xr:uid="{00000000-0005-0000-0000-0000A2140000}"/>
    <cellStyle name="Normal 4 3 3 6 2" xfId="3910" xr:uid="{00000000-0005-0000-0000-0000A3140000}"/>
    <cellStyle name="Normal 4 3 3 6 2 2" xfId="8132" xr:uid="{00000000-0005-0000-0000-0000A4140000}"/>
    <cellStyle name="Normal 4 3 3 6 2 2 2" xfId="16582" xr:uid="{0CE619BD-26B6-46A7-BD6A-5138B945941A}"/>
    <cellStyle name="Normal 4 3 3 6 2 3" xfId="12364" xr:uid="{AEE8501F-3066-4CF3-B68A-6693C5AD5987}"/>
    <cellStyle name="Normal 4 3 3 6 3" xfId="5987" xr:uid="{00000000-0005-0000-0000-0000A5140000}"/>
    <cellStyle name="Normal 4 3 3 6 3 2" xfId="14437" xr:uid="{9D2AFD17-F247-4A03-8FA6-2686338D23D6}"/>
    <cellStyle name="Normal 4 3 3 6 4" xfId="10219" xr:uid="{638BB3A0-4016-46BA-9995-1D28AA869FC2}"/>
    <cellStyle name="Normal 4 3 3 7" xfId="2094" xr:uid="{00000000-0005-0000-0000-0000A6140000}"/>
    <cellStyle name="Normal 4 3 3 7 2" xfId="4323" xr:uid="{00000000-0005-0000-0000-0000A7140000}"/>
    <cellStyle name="Normal 4 3 3 7 2 2" xfId="8545" xr:uid="{00000000-0005-0000-0000-0000A8140000}"/>
    <cellStyle name="Normal 4 3 3 7 2 2 2" xfId="16995" xr:uid="{B0F0891F-9EFD-4A9A-9E36-F65C6203ADCD}"/>
    <cellStyle name="Normal 4 3 3 7 2 3" xfId="12777" xr:uid="{2D25CEA0-D675-4CE6-8A27-474ACD80FF25}"/>
    <cellStyle name="Normal 4 3 3 7 3" xfId="6400" xr:uid="{00000000-0005-0000-0000-0000A9140000}"/>
    <cellStyle name="Normal 4 3 3 7 3 2" xfId="14850" xr:uid="{15F77DB7-6431-4394-A780-88B4D8FEDDD5}"/>
    <cellStyle name="Normal 4 3 3 7 4" xfId="10632" xr:uid="{242EBAE3-92E4-44FA-A88B-ECF1064559E7}"/>
    <cellStyle name="Normal 4 3 3 8" xfId="2530" xr:uid="{00000000-0005-0000-0000-0000AA140000}"/>
    <cellStyle name="Normal 4 3 3 8 2" xfId="6813" xr:uid="{00000000-0005-0000-0000-0000AB140000}"/>
    <cellStyle name="Normal 4 3 3 8 2 2" xfId="15263" xr:uid="{DDC3CBC7-3102-4AA5-B75B-B594FCA8EE60}"/>
    <cellStyle name="Normal 4 3 3 8 3" xfId="11045" xr:uid="{AADB5FBB-DA1F-4E37-BD0F-25A687DB581E}"/>
    <cellStyle name="Normal 4 3 3 9" xfId="4748" xr:uid="{00000000-0005-0000-0000-0000AC140000}"/>
    <cellStyle name="Normal 4 3 3 9 2" xfId="13198" xr:uid="{CF9D1628-E2C4-48D7-8D8E-F9491CFE84DA}"/>
    <cellStyle name="Normal 4 3 4" xfId="842" xr:uid="{00000000-0005-0000-0000-0000AD140000}"/>
    <cellStyle name="Normal 4 3 4 2" xfId="3079" xr:uid="{00000000-0005-0000-0000-0000AE140000}"/>
    <cellStyle name="Normal 4 3 4 2 2" xfId="7301" xr:uid="{00000000-0005-0000-0000-0000AF140000}"/>
    <cellStyle name="Normal 4 3 4 2 2 2" xfId="15751" xr:uid="{9881BE39-E650-4908-B177-1F38B8C8823E}"/>
    <cellStyle name="Normal 4 3 4 2 3" xfId="11533" xr:uid="{2CA1408F-F0E1-4F26-8DFD-3A5891B140D4}"/>
    <cellStyle name="Normal 4 3 4 3" xfId="5156" xr:uid="{00000000-0005-0000-0000-0000B0140000}"/>
    <cellStyle name="Normal 4 3 4 3 2" xfId="13606" xr:uid="{715890B8-AF61-4EE9-A197-15FD02DB79E9}"/>
    <cellStyle name="Normal 4 3 4 4" xfId="9388" xr:uid="{60C2BF6E-F1F7-48A1-A075-868BC028A0F8}"/>
    <cellStyle name="Normal 4 3 5" xfId="1262" xr:uid="{00000000-0005-0000-0000-0000B1140000}"/>
    <cellStyle name="Normal 4 3 5 2" xfId="3492" xr:uid="{00000000-0005-0000-0000-0000B2140000}"/>
    <cellStyle name="Normal 4 3 5 2 2" xfId="7714" xr:uid="{00000000-0005-0000-0000-0000B3140000}"/>
    <cellStyle name="Normal 4 3 5 2 2 2" xfId="16164" xr:uid="{F132EC6E-1D74-4E42-B51E-1974FF18A16A}"/>
    <cellStyle name="Normal 4 3 5 2 3" xfId="11946" xr:uid="{E70AB842-2309-43BE-B23E-F6170A8355DF}"/>
    <cellStyle name="Normal 4 3 5 3" xfId="5569" xr:uid="{00000000-0005-0000-0000-0000B4140000}"/>
    <cellStyle name="Normal 4 3 5 3 2" xfId="14019" xr:uid="{B75ABCC5-7BB1-4ABB-807A-7555926437E3}"/>
    <cellStyle name="Normal 4 3 5 4" xfId="9801" xr:uid="{7927B3EE-7604-43B6-BEE7-E581177D0F13}"/>
    <cellStyle name="Normal 4 3 6" xfId="1675" xr:uid="{00000000-0005-0000-0000-0000B5140000}"/>
    <cellStyle name="Normal 4 3 6 2" xfId="3905" xr:uid="{00000000-0005-0000-0000-0000B6140000}"/>
    <cellStyle name="Normal 4 3 6 2 2" xfId="8127" xr:uid="{00000000-0005-0000-0000-0000B7140000}"/>
    <cellStyle name="Normal 4 3 6 2 2 2" xfId="16577" xr:uid="{BC90CA62-2BFC-41C9-B6D8-2235324618D4}"/>
    <cellStyle name="Normal 4 3 6 2 3" xfId="12359" xr:uid="{607A68E4-133A-40EB-B6A0-6DB2B135D862}"/>
    <cellStyle name="Normal 4 3 6 3" xfId="5982" xr:uid="{00000000-0005-0000-0000-0000B8140000}"/>
    <cellStyle name="Normal 4 3 6 3 2" xfId="14432" xr:uid="{C91C9057-7C12-42B6-BC44-E8C43BEDECA8}"/>
    <cellStyle name="Normal 4 3 6 4" xfId="10214" xr:uid="{199CDDAC-786C-4287-BAFC-7205E7716EF5}"/>
    <cellStyle name="Normal 4 3 7" xfId="2089" xr:uid="{00000000-0005-0000-0000-0000B9140000}"/>
    <cellStyle name="Normal 4 3 7 2" xfId="4318" xr:uid="{00000000-0005-0000-0000-0000BA140000}"/>
    <cellStyle name="Normal 4 3 7 2 2" xfId="8540" xr:uid="{00000000-0005-0000-0000-0000BB140000}"/>
    <cellStyle name="Normal 4 3 7 2 2 2" xfId="16990" xr:uid="{644FCA06-ACF5-45E7-8AC6-CFAE20D24D16}"/>
    <cellStyle name="Normal 4 3 7 2 3" xfId="12772" xr:uid="{F44CC848-4B62-4A4A-A169-391F448FEAB6}"/>
    <cellStyle name="Normal 4 3 7 3" xfId="6395" xr:uid="{00000000-0005-0000-0000-0000BC140000}"/>
    <cellStyle name="Normal 4 3 7 3 2" xfId="14845" xr:uid="{B202ABD3-7A4E-417F-83C2-CED38550448A}"/>
    <cellStyle name="Normal 4 3 7 4" xfId="10627" xr:uid="{AC692344-4B82-4823-9C4B-47DC14E9D2F8}"/>
    <cellStyle name="Normal 4 3 8" xfId="2525" xr:uid="{00000000-0005-0000-0000-0000BD140000}"/>
    <cellStyle name="Normal 4 3 8 2" xfId="6808" xr:uid="{00000000-0005-0000-0000-0000BE140000}"/>
    <cellStyle name="Normal 4 3 8 2 2" xfId="15258" xr:uid="{5675B945-3E66-480E-A5C7-43318E5E747C}"/>
    <cellStyle name="Normal 4 3 8 3" xfId="11040" xr:uid="{03757EC2-E1EE-448E-860C-029F9382B345}"/>
    <cellStyle name="Normal 4 3 9" xfId="4743" xr:uid="{00000000-0005-0000-0000-0000BF140000}"/>
    <cellStyle name="Normal 4 3 9 2" xfId="13193" xr:uid="{49DC83C7-A092-451B-80A4-5E907BE2D5B4}"/>
    <cellStyle name="Normal 4 4" xfId="378" xr:uid="{00000000-0005-0000-0000-0000C0140000}"/>
    <cellStyle name="Normal 4 4 10" xfId="2534" xr:uid="{00000000-0005-0000-0000-0000C1140000}"/>
    <cellStyle name="Normal 4 4 10 2" xfId="6817" xr:uid="{00000000-0005-0000-0000-0000C2140000}"/>
    <cellStyle name="Normal 4 4 10 2 2" xfId="15267" xr:uid="{AF634644-9F0C-4C0F-8B97-BCCC7DC7C526}"/>
    <cellStyle name="Normal 4 4 10 3" xfId="11049" xr:uid="{0829AA3A-95ED-4C50-A5E7-194984473FE0}"/>
    <cellStyle name="Normal 4 4 11" xfId="4752" xr:uid="{00000000-0005-0000-0000-0000C3140000}"/>
    <cellStyle name="Normal 4 4 11 2" xfId="13202" xr:uid="{477DD7FC-3737-492F-9605-09743998C8E6}"/>
    <cellStyle name="Normal 4 4 12" xfId="8984" xr:uid="{E5839BC2-7486-4BAA-B3B2-2D368CC94D93}"/>
    <cellStyle name="Normal 4 4 2" xfId="379" xr:uid="{00000000-0005-0000-0000-0000C4140000}"/>
    <cellStyle name="Normal 4 4 2 10" xfId="4753" xr:uid="{00000000-0005-0000-0000-0000C5140000}"/>
    <cellStyle name="Normal 4 4 2 10 2" xfId="13203" xr:uid="{C0374BFB-2B9F-4AFF-B2B0-9E1C78D077BE}"/>
    <cellStyle name="Normal 4 4 2 11" xfId="8985" xr:uid="{AB45B770-FD5B-4A4F-B35B-539BA170A77B}"/>
    <cellStyle name="Normal 4 4 2 2" xfId="380" xr:uid="{00000000-0005-0000-0000-0000C6140000}"/>
    <cellStyle name="Normal 4 4 2 2 10" xfId="8986" xr:uid="{7F7A88F8-6050-4690-8FBB-90561024B83D}"/>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2 2 2" xfId="15764" xr:uid="{5DB68AB7-8819-4320-A79B-1EC80E2E86C9}"/>
    <cellStyle name="Normal 4 4 2 2 2 2 2 2 3" xfId="11546" xr:uid="{1FAAFC01-D9D6-435A-9197-3247A95DD627}"/>
    <cellStyle name="Normal 4 4 2 2 2 2 2 3" xfId="5169" xr:uid="{00000000-0005-0000-0000-0000CC140000}"/>
    <cellStyle name="Normal 4 4 2 2 2 2 2 3 2" xfId="13619" xr:uid="{06D85627-0CC8-4F4D-85CC-3AAEE34374B9}"/>
    <cellStyle name="Normal 4 4 2 2 2 2 2 4" xfId="9401" xr:uid="{FE1D2DCE-3B71-449E-969B-3C4F547DD21D}"/>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2 2 2" xfId="16177" xr:uid="{C83D3EE8-6344-40A5-B0A4-980490405FF5}"/>
    <cellStyle name="Normal 4 4 2 2 2 2 3 2 3" xfId="11959" xr:uid="{20698447-578F-4936-8966-CA3A4DEF7237}"/>
    <cellStyle name="Normal 4 4 2 2 2 2 3 3" xfId="5582" xr:uid="{00000000-0005-0000-0000-0000D0140000}"/>
    <cellStyle name="Normal 4 4 2 2 2 2 3 3 2" xfId="14032" xr:uid="{5C52BDE3-1B42-4ADE-8E1C-163879ED7A29}"/>
    <cellStyle name="Normal 4 4 2 2 2 2 3 4" xfId="9814" xr:uid="{792DCBBB-05F8-431F-9E58-AD13E6A34E13}"/>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2 2 2" xfId="16590" xr:uid="{0A6DC092-AE68-4077-B25E-BE844FB2F10F}"/>
    <cellStyle name="Normal 4 4 2 2 2 2 4 2 3" xfId="12372" xr:uid="{9E5D3E82-7160-4429-A021-8E08B7FE8017}"/>
    <cellStyle name="Normal 4 4 2 2 2 2 4 3" xfId="5995" xr:uid="{00000000-0005-0000-0000-0000D4140000}"/>
    <cellStyle name="Normal 4 4 2 2 2 2 4 3 2" xfId="14445" xr:uid="{E774EA42-8D11-4870-9455-6CC13BE36407}"/>
    <cellStyle name="Normal 4 4 2 2 2 2 4 4" xfId="10227" xr:uid="{E5A98F38-AA96-4CFD-9418-41012CB275FB}"/>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2 2 2" xfId="17003" xr:uid="{149F9F78-75AB-4E6D-A7E9-699FC39D62C9}"/>
    <cellStyle name="Normal 4 4 2 2 2 2 5 2 3" xfId="12785" xr:uid="{4B0A701A-BDDA-4E61-A6DD-B327DA8DED95}"/>
    <cellStyle name="Normal 4 4 2 2 2 2 5 3" xfId="6408" xr:uid="{00000000-0005-0000-0000-0000D8140000}"/>
    <cellStyle name="Normal 4 4 2 2 2 2 5 3 2" xfId="14858" xr:uid="{0EEA75EC-F304-42E4-B35A-56187C6E2B77}"/>
    <cellStyle name="Normal 4 4 2 2 2 2 5 4" xfId="10640" xr:uid="{7345AE8F-EA5A-4D34-BA20-964074BF10B0}"/>
    <cellStyle name="Normal 4 4 2 2 2 2 6" xfId="2538" xr:uid="{00000000-0005-0000-0000-0000D9140000}"/>
    <cellStyle name="Normal 4 4 2 2 2 2 6 2" xfId="6821" xr:uid="{00000000-0005-0000-0000-0000DA140000}"/>
    <cellStyle name="Normal 4 4 2 2 2 2 6 2 2" xfId="15271" xr:uid="{0DAAC1AA-A837-48DA-AD28-9D892A1D6FC5}"/>
    <cellStyle name="Normal 4 4 2 2 2 2 6 3" xfId="11053" xr:uid="{5DAA4031-BAB5-4993-B2FB-97726413A21E}"/>
    <cellStyle name="Normal 4 4 2 2 2 2 7" xfId="4756" xr:uid="{00000000-0005-0000-0000-0000DB140000}"/>
    <cellStyle name="Normal 4 4 2 2 2 2 7 2" xfId="13206" xr:uid="{2A76E89C-0A02-46DF-B419-8949FCC0F3F1}"/>
    <cellStyle name="Normal 4 4 2 2 2 2 8" xfId="8988" xr:uid="{1D46E603-864C-46AC-9FC7-FEAAB1631FDD}"/>
    <cellStyle name="Normal 4 4 2 2 2 3" xfId="856" xr:uid="{00000000-0005-0000-0000-0000DC140000}"/>
    <cellStyle name="Normal 4 4 2 2 2 3 2" xfId="3091" xr:uid="{00000000-0005-0000-0000-0000DD140000}"/>
    <cellStyle name="Normal 4 4 2 2 2 3 2 2" xfId="7313" xr:uid="{00000000-0005-0000-0000-0000DE140000}"/>
    <cellStyle name="Normal 4 4 2 2 2 3 2 2 2" xfId="15763" xr:uid="{40B62056-4052-452C-9372-CCCCF954A887}"/>
    <cellStyle name="Normal 4 4 2 2 2 3 2 3" xfId="11545" xr:uid="{91250D58-A63B-4901-A69B-CA797468895D}"/>
    <cellStyle name="Normal 4 4 2 2 2 3 3" xfId="5168" xr:uid="{00000000-0005-0000-0000-0000DF140000}"/>
    <cellStyle name="Normal 4 4 2 2 2 3 3 2" xfId="13618" xr:uid="{2A9F5D0F-D578-4A72-A73D-C28D8AD34398}"/>
    <cellStyle name="Normal 4 4 2 2 2 3 4" xfId="9400" xr:uid="{DC7B129E-BECC-4142-869C-0A9C353B8551}"/>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2 2 2" xfId="16176" xr:uid="{175E6958-9C08-469D-9C5E-5ED94A56245C}"/>
    <cellStyle name="Normal 4 4 2 2 2 4 2 3" xfId="11958" xr:uid="{F774FAF2-5CE8-4759-95F6-5D7004D35027}"/>
    <cellStyle name="Normal 4 4 2 2 2 4 3" xfId="5581" xr:uid="{00000000-0005-0000-0000-0000E3140000}"/>
    <cellStyle name="Normal 4 4 2 2 2 4 3 2" xfId="14031" xr:uid="{21C9AE45-6A3F-41AE-8A23-56F99EE73257}"/>
    <cellStyle name="Normal 4 4 2 2 2 4 4" xfId="9813" xr:uid="{50A0C9A1-F8E1-4A1F-871C-43632C6FD155}"/>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2 2 2" xfId="16589" xr:uid="{5BA5C106-14C4-4ABC-B170-3509010A02B6}"/>
    <cellStyle name="Normal 4 4 2 2 2 5 2 3" xfId="12371" xr:uid="{98F93B2B-7FC0-4598-8632-C2E1E8DD7E06}"/>
    <cellStyle name="Normal 4 4 2 2 2 5 3" xfId="5994" xr:uid="{00000000-0005-0000-0000-0000E7140000}"/>
    <cellStyle name="Normal 4 4 2 2 2 5 3 2" xfId="14444" xr:uid="{6BA2BF48-2AEC-470E-BD67-284843F6D41B}"/>
    <cellStyle name="Normal 4 4 2 2 2 5 4" xfId="10226" xr:uid="{5512AED4-BD04-443C-9FF1-FB1163D0948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2 2 2" xfId="17002" xr:uid="{70112F56-C4F5-43FF-B7E2-75209BB6BBB0}"/>
    <cellStyle name="Normal 4 4 2 2 2 6 2 3" xfId="12784" xr:uid="{EFEA5A03-83C7-4EF0-9FA2-7C0004AB16D4}"/>
    <cellStyle name="Normal 4 4 2 2 2 6 3" xfId="6407" xr:uid="{00000000-0005-0000-0000-0000EB140000}"/>
    <cellStyle name="Normal 4 4 2 2 2 6 3 2" xfId="14857" xr:uid="{4B142783-2F1B-478F-B07E-503316B2DCB2}"/>
    <cellStyle name="Normal 4 4 2 2 2 6 4" xfId="10639" xr:uid="{86327844-54E0-4FAC-AAAD-AE5AD9C4DB26}"/>
    <cellStyle name="Normal 4 4 2 2 2 7" xfId="2537" xr:uid="{00000000-0005-0000-0000-0000EC140000}"/>
    <cellStyle name="Normal 4 4 2 2 2 7 2" xfId="6820" xr:uid="{00000000-0005-0000-0000-0000ED140000}"/>
    <cellStyle name="Normal 4 4 2 2 2 7 2 2" xfId="15270" xr:uid="{944AB1C0-D45C-4F8A-BEB1-03F3BAC3ED56}"/>
    <cellStyle name="Normal 4 4 2 2 2 7 3" xfId="11052" xr:uid="{401A4FD2-2CF2-4D9E-9419-AF531C822657}"/>
    <cellStyle name="Normal 4 4 2 2 2 8" xfId="4755" xr:uid="{00000000-0005-0000-0000-0000EE140000}"/>
    <cellStyle name="Normal 4 4 2 2 2 8 2" xfId="13205" xr:uid="{30AA4E14-4077-494A-92E8-A67E5509406C}"/>
    <cellStyle name="Normal 4 4 2 2 2 9" xfId="8987" xr:uid="{3B77C70A-E6EE-42CB-98D3-F54139F9DAFB}"/>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2 2 2" xfId="15765" xr:uid="{0717330C-1AC3-4ED4-BD6A-C06EC9724F95}"/>
    <cellStyle name="Normal 4 4 2 2 3 2 2 3" xfId="11547" xr:uid="{A889E3FB-8808-4CEF-8EA4-41BA107D16C5}"/>
    <cellStyle name="Normal 4 4 2 2 3 2 3" xfId="5170" xr:uid="{00000000-0005-0000-0000-0000F3140000}"/>
    <cellStyle name="Normal 4 4 2 2 3 2 3 2" xfId="13620" xr:uid="{5B156F47-B494-4BEF-9632-7C62FD97F0FD}"/>
    <cellStyle name="Normal 4 4 2 2 3 2 4" xfId="9402" xr:uid="{9CE36BAF-2E85-482F-BA9B-8D80F9D27B19}"/>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2 2 2" xfId="16178" xr:uid="{575FF8D4-903D-43CD-8577-9325383C45CF}"/>
    <cellStyle name="Normal 4 4 2 2 3 3 2 3" xfId="11960" xr:uid="{316996D5-A473-4262-B408-608D6431B6C2}"/>
    <cellStyle name="Normal 4 4 2 2 3 3 3" xfId="5583" xr:uid="{00000000-0005-0000-0000-0000F7140000}"/>
    <cellStyle name="Normal 4 4 2 2 3 3 3 2" xfId="14033" xr:uid="{AC0E773E-27B3-4392-AF97-56BDDA225B01}"/>
    <cellStyle name="Normal 4 4 2 2 3 3 4" xfId="9815" xr:uid="{7C371429-FCE6-4A71-9741-292DBB82752C}"/>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2 2 2" xfId="16591" xr:uid="{53ECF53B-1256-4957-810B-D409E562ED03}"/>
    <cellStyle name="Normal 4 4 2 2 3 4 2 3" xfId="12373" xr:uid="{3D75EA36-FA2E-4D19-ABCB-AA790C593720}"/>
    <cellStyle name="Normal 4 4 2 2 3 4 3" xfId="5996" xr:uid="{00000000-0005-0000-0000-0000FB140000}"/>
    <cellStyle name="Normal 4 4 2 2 3 4 3 2" xfId="14446" xr:uid="{372B3443-99EF-45BD-A13A-E0C5D8D4129B}"/>
    <cellStyle name="Normal 4 4 2 2 3 4 4" xfId="10228" xr:uid="{6E648E21-69BB-40AB-B04F-2AC2CDB117AF}"/>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2 2 2" xfId="17004" xr:uid="{FC3C9C7F-DA0B-4220-BFCA-964A6FE8A30F}"/>
    <cellStyle name="Normal 4 4 2 2 3 5 2 3" xfId="12786" xr:uid="{0D668E65-DDA1-4F46-B1E7-7643CE6C25EA}"/>
    <cellStyle name="Normal 4 4 2 2 3 5 3" xfId="6409" xr:uid="{00000000-0005-0000-0000-0000FF140000}"/>
    <cellStyle name="Normal 4 4 2 2 3 5 3 2" xfId="14859" xr:uid="{AE38CBC8-E527-4970-8B24-516585420A34}"/>
    <cellStyle name="Normal 4 4 2 2 3 5 4" xfId="10641" xr:uid="{1EC45B53-C767-437B-B1D2-4488F42CE946}"/>
    <cellStyle name="Normal 4 4 2 2 3 6" xfId="2539" xr:uid="{00000000-0005-0000-0000-000000150000}"/>
    <cellStyle name="Normal 4 4 2 2 3 6 2" xfId="6822" xr:uid="{00000000-0005-0000-0000-000001150000}"/>
    <cellStyle name="Normal 4 4 2 2 3 6 2 2" xfId="15272" xr:uid="{2C1C1B22-0B60-4912-AAC6-24CBED41DB4E}"/>
    <cellStyle name="Normal 4 4 2 2 3 6 3" xfId="11054" xr:uid="{01888BDB-20B5-4B04-BF1C-FE602A23E663}"/>
    <cellStyle name="Normal 4 4 2 2 3 7" xfId="4757" xr:uid="{00000000-0005-0000-0000-000002150000}"/>
    <cellStyle name="Normal 4 4 2 2 3 7 2" xfId="13207" xr:uid="{163E9C44-7F57-46E8-B889-4DEAA41967A9}"/>
    <cellStyle name="Normal 4 4 2 2 3 8" xfId="8989" xr:uid="{3F8C7396-6B0D-47CA-94F9-109BB816BA48}"/>
    <cellStyle name="Normal 4 4 2 2 4" xfId="855" xr:uid="{00000000-0005-0000-0000-000003150000}"/>
    <cellStyle name="Normal 4 4 2 2 4 2" xfId="3090" xr:uid="{00000000-0005-0000-0000-000004150000}"/>
    <cellStyle name="Normal 4 4 2 2 4 2 2" xfId="7312" xr:uid="{00000000-0005-0000-0000-000005150000}"/>
    <cellStyle name="Normal 4 4 2 2 4 2 2 2" xfId="15762" xr:uid="{F0125C4A-A664-4BB6-BD28-4D255793CD2A}"/>
    <cellStyle name="Normal 4 4 2 2 4 2 3" xfId="11544" xr:uid="{6CCC9393-BCB1-4213-9B4B-C09F1D1F3BF2}"/>
    <cellStyle name="Normal 4 4 2 2 4 3" xfId="5167" xr:uid="{00000000-0005-0000-0000-000006150000}"/>
    <cellStyle name="Normal 4 4 2 2 4 3 2" xfId="13617" xr:uid="{8EEB1714-753B-4099-A6D9-B4F3B0B45901}"/>
    <cellStyle name="Normal 4 4 2 2 4 4" xfId="9399" xr:uid="{82AEBB52-35B7-408D-AD90-C328C2D203BC}"/>
    <cellStyle name="Normal 4 4 2 2 5" xfId="1273" xr:uid="{00000000-0005-0000-0000-000007150000}"/>
    <cellStyle name="Normal 4 4 2 2 5 2" xfId="3503" xr:uid="{00000000-0005-0000-0000-000008150000}"/>
    <cellStyle name="Normal 4 4 2 2 5 2 2" xfId="7725" xr:uid="{00000000-0005-0000-0000-000009150000}"/>
    <cellStyle name="Normal 4 4 2 2 5 2 2 2" xfId="16175" xr:uid="{40365E2A-D4D2-4579-BEE2-783C9963EC6D}"/>
    <cellStyle name="Normal 4 4 2 2 5 2 3" xfId="11957" xr:uid="{1087039B-1FF7-4B06-80BC-B1382A98E3AB}"/>
    <cellStyle name="Normal 4 4 2 2 5 3" xfId="5580" xr:uid="{00000000-0005-0000-0000-00000A150000}"/>
    <cellStyle name="Normal 4 4 2 2 5 3 2" xfId="14030" xr:uid="{4A5C10A9-92BF-4496-BC46-0D98F750F7F6}"/>
    <cellStyle name="Normal 4 4 2 2 5 4" xfId="9812" xr:uid="{F555CAE2-CF34-427E-86FF-237FE45A1738}"/>
    <cellStyle name="Normal 4 4 2 2 6" xfId="1686" xr:uid="{00000000-0005-0000-0000-00000B150000}"/>
    <cellStyle name="Normal 4 4 2 2 6 2" xfId="3916" xr:uid="{00000000-0005-0000-0000-00000C150000}"/>
    <cellStyle name="Normal 4 4 2 2 6 2 2" xfId="8138" xr:uid="{00000000-0005-0000-0000-00000D150000}"/>
    <cellStyle name="Normal 4 4 2 2 6 2 2 2" xfId="16588" xr:uid="{2BB47C1A-7439-42E0-91A9-99D37EAEED27}"/>
    <cellStyle name="Normal 4 4 2 2 6 2 3" xfId="12370" xr:uid="{290381AA-B5D4-40D7-8C17-3697693B36A0}"/>
    <cellStyle name="Normal 4 4 2 2 6 3" xfId="5993" xr:uid="{00000000-0005-0000-0000-00000E150000}"/>
    <cellStyle name="Normal 4 4 2 2 6 3 2" xfId="14443" xr:uid="{EC309A30-2423-439F-9CA7-5EE5E4F6FDD3}"/>
    <cellStyle name="Normal 4 4 2 2 6 4" xfId="10225" xr:uid="{4DC4309A-FCAC-4659-BB68-8F8B07C05E7E}"/>
    <cellStyle name="Normal 4 4 2 2 7" xfId="2100" xr:uid="{00000000-0005-0000-0000-00000F150000}"/>
    <cellStyle name="Normal 4 4 2 2 7 2" xfId="4329" xr:uid="{00000000-0005-0000-0000-000010150000}"/>
    <cellStyle name="Normal 4 4 2 2 7 2 2" xfId="8551" xr:uid="{00000000-0005-0000-0000-000011150000}"/>
    <cellStyle name="Normal 4 4 2 2 7 2 2 2" xfId="17001" xr:uid="{F4C7F005-B275-4CF9-A768-1E1D3D67DBD9}"/>
    <cellStyle name="Normal 4 4 2 2 7 2 3" xfId="12783" xr:uid="{A102D624-101C-4A58-A5BA-8F6DA9E54FB4}"/>
    <cellStyle name="Normal 4 4 2 2 7 3" xfId="6406" xr:uid="{00000000-0005-0000-0000-000012150000}"/>
    <cellStyle name="Normal 4 4 2 2 7 3 2" xfId="14856" xr:uid="{01596AF2-0008-4453-A368-C6D09AA1E2BF}"/>
    <cellStyle name="Normal 4 4 2 2 7 4" xfId="10638" xr:uid="{C9E6B9E3-9B88-4FBB-B7BD-4227750F5EA6}"/>
    <cellStyle name="Normal 4 4 2 2 8" xfId="2536" xr:uid="{00000000-0005-0000-0000-000013150000}"/>
    <cellStyle name="Normal 4 4 2 2 8 2" xfId="6819" xr:uid="{00000000-0005-0000-0000-000014150000}"/>
    <cellStyle name="Normal 4 4 2 2 8 2 2" xfId="15269" xr:uid="{4BC3EF1D-9044-4609-86F1-5335F0AC424D}"/>
    <cellStyle name="Normal 4 4 2 2 8 3" xfId="11051" xr:uid="{50E6F680-9985-4021-8FDC-8C54DA71A668}"/>
    <cellStyle name="Normal 4 4 2 2 9" xfId="4754" xr:uid="{00000000-0005-0000-0000-000015150000}"/>
    <cellStyle name="Normal 4 4 2 2 9 2" xfId="13204" xr:uid="{AFA01527-B9ED-495D-A9B2-96A47D8A179F}"/>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2 2 2" xfId="15767" xr:uid="{0F559767-11F9-4BE9-A80E-C2BFE86B58B8}"/>
    <cellStyle name="Normal 4 4 2 3 2 2 2 3" xfId="11549" xr:uid="{3A8B83D2-AD9C-48B9-BF99-AB693224CA91}"/>
    <cellStyle name="Normal 4 4 2 3 2 2 3" xfId="5172" xr:uid="{00000000-0005-0000-0000-00001B150000}"/>
    <cellStyle name="Normal 4 4 2 3 2 2 3 2" xfId="13622" xr:uid="{49D607DD-9D85-42FC-B1E1-87A048BD7605}"/>
    <cellStyle name="Normal 4 4 2 3 2 2 4" xfId="9404" xr:uid="{4BC4AF60-8AAD-4189-B565-E4FF7B1C850A}"/>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2 2 2" xfId="16180" xr:uid="{C4466621-8508-4BE1-A1DD-2088A28D9F0F}"/>
    <cellStyle name="Normal 4 4 2 3 2 3 2 3" xfId="11962" xr:uid="{629C4145-3D33-4B6D-ACE0-5A1E12BDBC6A}"/>
    <cellStyle name="Normal 4 4 2 3 2 3 3" xfId="5585" xr:uid="{00000000-0005-0000-0000-00001F150000}"/>
    <cellStyle name="Normal 4 4 2 3 2 3 3 2" xfId="14035" xr:uid="{67114C58-4DBB-4DFB-9B1F-1E0968F086CD}"/>
    <cellStyle name="Normal 4 4 2 3 2 3 4" xfId="9817" xr:uid="{821AD5E4-BEE2-44BE-B034-585301B0AFF4}"/>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2 2 2" xfId="16593" xr:uid="{E0965BE6-9C2A-4C4F-BC61-1E5DD8A9A449}"/>
    <cellStyle name="Normal 4 4 2 3 2 4 2 3" xfId="12375" xr:uid="{EC08AD6B-B89C-4AE0-95F1-E099BFD26622}"/>
    <cellStyle name="Normal 4 4 2 3 2 4 3" xfId="5998" xr:uid="{00000000-0005-0000-0000-000023150000}"/>
    <cellStyle name="Normal 4 4 2 3 2 4 3 2" xfId="14448" xr:uid="{955F521C-D9E5-4A00-A3F2-00B1FEEDF2B4}"/>
    <cellStyle name="Normal 4 4 2 3 2 4 4" xfId="10230" xr:uid="{25A256DD-4F0C-438C-9F49-26CBFBDD65ED}"/>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2 2 2" xfId="17006" xr:uid="{75BFDF74-BE0A-455F-AF56-67D4CDDCBA4E}"/>
    <cellStyle name="Normal 4 4 2 3 2 5 2 3" xfId="12788" xr:uid="{65415290-8A69-42DE-9632-ED8C12B71DBE}"/>
    <cellStyle name="Normal 4 4 2 3 2 5 3" xfId="6411" xr:uid="{00000000-0005-0000-0000-000027150000}"/>
    <cellStyle name="Normal 4 4 2 3 2 5 3 2" xfId="14861" xr:uid="{EC148A98-BDF5-47CD-8080-27B6D154F435}"/>
    <cellStyle name="Normal 4 4 2 3 2 5 4" xfId="10643" xr:uid="{A7FDBA56-3884-4B6C-9FE1-23C34C075D3A}"/>
    <cellStyle name="Normal 4 4 2 3 2 6" xfId="2541" xr:uid="{00000000-0005-0000-0000-000028150000}"/>
    <cellStyle name="Normal 4 4 2 3 2 6 2" xfId="6824" xr:uid="{00000000-0005-0000-0000-000029150000}"/>
    <cellStyle name="Normal 4 4 2 3 2 6 2 2" xfId="15274" xr:uid="{57444949-40C2-4CEA-873B-7385A80D4C23}"/>
    <cellStyle name="Normal 4 4 2 3 2 6 3" xfId="11056" xr:uid="{0B3DD948-06FD-4C9A-A215-B011B0C970C3}"/>
    <cellStyle name="Normal 4 4 2 3 2 7" xfId="4759" xr:uid="{00000000-0005-0000-0000-00002A150000}"/>
    <cellStyle name="Normal 4 4 2 3 2 7 2" xfId="13209" xr:uid="{00236646-6640-40C3-8D4E-75BDA42B4075}"/>
    <cellStyle name="Normal 4 4 2 3 2 8" xfId="8991" xr:uid="{1724807D-A14B-4CFB-B261-58756C4B7E08}"/>
    <cellStyle name="Normal 4 4 2 3 3" xfId="859" xr:uid="{00000000-0005-0000-0000-00002B150000}"/>
    <cellStyle name="Normal 4 4 2 3 3 2" xfId="3094" xr:uid="{00000000-0005-0000-0000-00002C150000}"/>
    <cellStyle name="Normal 4 4 2 3 3 2 2" xfId="7316" xr:uid="{00000000-0005-0000-0000-00002D150000}"/>
    <cellStyle name="Normal 4 4 2 3 3 2 2 2" xfId="15766" xr:uid="{5D4D732A-4010-4EC7-B51B-81B1A01BFD65}"/>
    <cellStyle name="Normal 4 4 2 3 3 2 3" xfId="11548" xr:uid="{E2DE1D0E-FFF8-41CA-ACD4-8059CA8C7076}"/>
    <cellStyle name="Normal 4 4 2 3 3 3" xfId="5171" xr:uid="{00000000-0005-0000-0000-00002E150000}"/>
    <cellStyle name="Normal 4 4 2 3 3 3 2" xfId="13621" xr:uid="{8DF92980-ABC3-4D79-85A8-DD7B06CA5B71}"/>
    <cellStyle name="Normal 4 4 2 3 3 4" xfId="9403" xr:uid="{F1A74D43-0EBF-43D1-87E6-41AC656ABA87}"/>
    <cellStyle name="Normal 4 4 2 3 4" xfId="1277" xr:uid="{00000000-0005-0000-0000-00002F150000}"/>
    <cellStyle name="Normal 4 4 2 3 4 2" xfId="3507" xr:uid="{00000000-0005-0000-0000-000030150000}"/>
    <cellStyle name="Normal 4 4 2 3 4 2 2" xfId="7729" xr:uid="{00000000-0005-0000-0000-000031150000}"/>
    <cellStyle name="Normal 4 4 2 3 4 2 2 2" xfId="16179" xr:uid="{F2990E65-5A87-425F-9501-66C43067F47F}"/>
    <cellStyle name="Normal 4 4 2 3 4 2 3" xfId="11961" xr:uid="{DA7CA428-121F-4749-9B15-CB1B13207B6A}"/>
    <cellStyle name="Normal 4 4 2 3 4 3" xfId="5584" xr:uid="{00000000-0005-0000-0000-000032150000}"/>
    <cellStyle name="Normal 4 4 2 3 4 3 2" xfId="14034" xr:uid="{80A343EE-EFAC-436B-925A-66D1BEC2DE48}"/>
    <cellStyle name="Normal 4 4 2 3 4 4" xfId="9816" xr:uid="{9592ABD9-92F9-49FA-8503-640C1F8950C4}"/>
    <cellStyle name="Normal 4 4 2 3 5" xfId="1690" xr:uid="{00000000-0005-0000-0000-000033150000}"/>
    <cellStyle name="Normal 4 4 2 3 5 2" xfId="3920" xr:uid="{00000000-0005-0000-0000-000034150000}"/>
    <cellStyle name="Normal 4 4 2 3 5 2 2" xfId="8142" xr:uid="{00000000-0005-0000-0000-000035150000}"/>
    <cellStyle name="Normal 4 4 2 3 5 2 2 2" xfId="16592" xr:uid="{0A9188EF-12A9-4B6E-8D2C-1B316B092D5D}"/>
    <cellStyle name="Normal 4 4 2 3 5 2 3" xfId="12374" xr:uid="{84DD3FCC-FBA3-495F-92C4-4D2CB37CDD16}"/>
    <cellStyle name="Normal 4 4 2 3 5 3" xfId="5997" xr:uid="{00000000-0005-0000-0000-000036150000}"/>
    <cellStyle name="Normal 4 4 2 3 5 3 2" xfId="14447" xr:uid="{588708AE-789D-4ACA-AB88-08908231FECB}"/>
    <cellStyle name="Normal 4 4 2 3 5 4" xfId="10229" xr:uid="{81BDCEA0-740E-46D5-A0F6-4969514EE747}"/>
    <cellStyle name="Normal 4 4 2 3 6" xfId="2104" xr:uid="{00000000-0005-0000-0000-000037150000}"/>
    <cellStyle name="Normal 4 4 2 3 6 2" xfId="4333" xr:uid="{00000000-0005-0000-0000-000038150000}"/>
    <cellStyle name="Normal 4 4 2 3 6 2 2" xfId="8555" xr:uid="{00000000-0005-0000-0000-000039150000}"/>
    <cellStyle name="Normal 4 4 2 3 6 2 2 2" xfId="17005" xr:uid="{8410FEF7-B3BF-43A2-A112-A465007B6351}"/>
    <cellStyle name="Normal 4 4 2 3 6 2 3" xfId="12787" xr:uid="{4D320489-B638-46DF-A76A-CEF1F9709583}"/>
    <cellStyle name="Normal 4 4 2 3 6 3" xfId="6410" xr:uid="{00000000-0005-0000-0000-00003A150000}"/>
    <cellStyle name="Normal 4 4 2 3 6 3 2" xfId="14860" xr:uid="{5EBDC7E7-10BC-470A-BA2A-067C902C6D27}"/>
    <cellStyle name="Normal 4 4 2 3 6 4" xfId="10642" xr:uid="{03D39C33-A296-42B5-B80F-7A6CD373D8D1}"/>
    <cellStyle name="Normal 4 4 2 3 7" xfId="2540" xr:uid="{00000000-0005-0000-0000-00003B150000}"/>
    <cellStyle name="Normal 4 4 2 3 7 2" xfId="6823" xr:uid="{00000000-0005-0000-0000-00003C150000}"/>
    <cellStyle name="Normal 4 4 2 3 7 2 2" xfId="15273" xr:uid="{0B63F4BA-E987-443D-9794-05A1B105D44A}"/>
    <cellStyle name="Normal 4 4 2 3 7 3" xfId="11055" xr:uid="{D6862D43-0104-4695-B0AB-618F4D9B224B}"/>
    <cellStyle name="Normal 4 4 2 3 8" xfId="4758" xr:uid="{00000000-0005-0000-0000-00003D150000}"/>
    <cellStyle name="Normal 4 4 2 3 8 2" xfId="13208" xr:uid="{EB209039-E170-4705-9463-605B6098827E}"/>
    <cellStyle name="Normal 4 4 2 3 9" xfId="8990" xr:uid="{99F9FFBA-6F12-40B5-AC08-F5D75084A084}"/>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2 2 2" xfId="15768" xr:uid="{99B7E157-A5A8-4502-A842-9E799950F617}"/>
    <cellStyle name="Normal 4 4 2 4 2 2 3" xfId="11550" xr:uid="{BCF073CE-1FBB-416E-AFC4-7677CEE61368}"/>
    <cellStyle name="Normal 4 4 2 4 2 3" xfId="5173" xr:uid="{00000000-0005-0000-0000-000042150000}"/>
    <cellStyle name="Normal 4 4 2 4 2 3 2" xfId="13623" xr:uid="{5E569E2E-7197-415B-897D-48DA9E0299F8}"/>
    <cellStyle name="Normal 4 4 2 4 2 4" xfId="9405" xr:uid="{6602DD83-2923-4F59-8976-3A043C76FA59}"/>
    <cellStyle name="Normal 4 4 2 4 3" xfId="1279" xr:uid="{00000000-0005-0000-0000-000043150000}"/>
    <cellStyle name="Normal 4 4 2 4 3 2" xfId="3509" xr:uid="{00000000-0005-0000-0000-000044150000}"/>
    <cellStyle name="Normal 4 4 2 4 3 2 2" xfId="7731" xr:uid="{00000000-0005-0000-0000-000045150000}"/>
    <cellStyle name="Normal 4 4 2 4 3 2 2 2" xfId="16181" xr:uid="{E4259B3D-5389-47FB-95A7-300DAE22DBFE}"/>
    <cellStyle name="Normal 4 4 2 4 3 2 3" xfId="11963" xr:uid="{EDAEF476-55FF-4B09-B512-568365D1EF98}"/>
    <cellStyle name="Normal 4 4 2 4 3 3" xfId="5586" xr:uid="{00000000-0005-0000-0000-000046150000}"/>
    <cellStyle name="Normal 4 4 2 4 3 3 2" xfId="14036" xr:uid="{F80C4784-7D81-414B-9486-FC854F254CC6}"/>
    <cellStyle name="Normal 4 4 2 4 3 4" xfId="9818" xr:uid="{95ABC353-27FC-4142-86A8-AE6973B9D49A}"/>
    <cellStyle name="Normal 4 4 2 4 4" xfId="1692" xr:uid="{00000000-0005-0000-0000-000047150000}"/>
    <cellStyle name="Normal 4 4 2 4 4 2" xfId="3922" xr:uid="{00000000-0005-0000-0000-000048150000}"/>
    <cellStyle name="Normal 4 4 2 4 4 2 2" xfId="8144" xr:uid="{00000000-0005-0000-0000-000049150000}"/>
    <cellStyle name="Normal 4 4 2 4 4 2 2 2" xfId="16594" xr:uid="{B91DD73C-2F4D-4DBD-8F8F-03AA8D3243EC}"/>
    <cellStyle name="Normal 4 4 2 4 4 2 3" xfId="12376" xr:uid="{EF080570-B4D2-44BF-8CDD-8D3BB3E635FD}"/>
    <cellStyle name="Normal 4 4 2 4 4 3" xfId="5999" xr:uid="{00000000-0005-0000-0000-00004A150000}"/>
    <cellStyle name="Normal 4 4 2 4 4 3 2" xfId="14449" xr:uid="{FD630865-DB04-4862-BF71-3E009B02FBF0}"/>
    <cellStyle name="Normal 4 4 2 4 4 4" xfId="10231" xr:uid="{7DDC3BC6-C10E-432D-9EA4-D3ADBAC1F6A2}"/>
    <cellStyle name="Normal 4 4 2 4 5" xfId="2106" xr:uid="{00000000-0005-0000-0000-00004B150000}"/>
    <cellStyle name="Normal 4 4 2 4 5 2" xfId="4335" xr:uid="{00000000-0005-0000-0000-00004C150000}"/>
    <cellStyle name="Normal 4 4 2 4 5 2 2" xfId="8557" xr:uid="{00000000-0005-0000-0000-00004D150000}"/>
    <cellStyle name="Normal 4 4 2 4 5 2 2 2" xfId="17007" xr:uid="{6F244323-3E73-4C0A-A026-E019E34DCAC9}"/>
    <cellStyle name="Normal 4 4 2 4 5 2 3" xfId="12789" xr:uid="{DE9EB697-3340-45FC-84BC-C5466A93B30E}"/>
    <cellStyle name="Normal 4 4 2 4 5 3" xfId="6412" xr:uid="{00000000-0005-0000-0000-00004E150000}"/>
    <cellStyle name="Normal 4 4 2 4 5 3 2" xfId="14862" xr:uid="{63B01295-3A41-4CB7-BD63-4EBAF9BA82F7}"/>
    <cellStyle name="Normal 4 4 2 4 5 4" xfId="10644" xr:uid="{39691050-BEC5-453D-A85E-6BF461F3B005}"/>
    <cellStyle name="Normal 4 4 2 4 6" xfId="2542" xr:uid="{00000000-0005-0000-0000-00004F150000}"/>
    <cellStyle name="Normal 4 4 2 4 6 2" xfId="6825" xr:uid="{00000000-0005-0000-0000-000050150000}"/>
    <cellStyle name="Normal 4 4 2 4 6 2 2" xfId="15275" xr:uid="{2D5B897E-C6EC-4A6A-A7C5-4741C6823E4E}"/>
    <cellStyle name="Normal 4 4 2 4 6 3" xfId="11057" xr:uid="{63A133FB-96F4-433D-A86F-528E46566059}"/>
    <cellStyle name="Normal 4 4 2 4 7" xfId="4760" xr:uid="{00000000-0005-0000-0000-000051150000}"/>
    <cellStyle name="Normal 4 4 2 4 7 2" xfId="13210" xr:uid="{CCABD8F2-890C-40AA-A122-E0EC86E23B6E}"/>
    <cellStyle name="Normal 4 4 2 4 8" xfId="8992" xr:uid="{F3D91204-4F69-43B2-B8A0-12AD602A1DFA}"/>
    <cellStyle name="Normal 4 4 2 5" xfId="854" xr:uid="{00000000-0005-0000-0000-000052150000}"/>
    <cellStyle name="Normal 4 4 2 5 2" xfId="3089" xr:uid="{00000000-0005-0000-0000-000053150000}"/>
    <cellStyle name="Normal 4 4 2 5 2 2" xfId="7311" xr:uid="{00000000-0005-0000-0000-000054150000}"/>
    <cellStyle name="Normal 4 4 2 5 2 2 2" xfId="15761" xr:uid="{802EC01F-83EE-4277-A0B9-7BAF407AC8CE}"/>
    <cellStyle name="Normal 4 4 2 5 2 3" xfId="11543" xr:uid="{88325405-8ABC-40EE-87DE-E5B240C42FB4}"/>
    <cellStyle name="Normal 4 4 2 5 3" xfId="5166" xr:uid="{00000000-0005-0000-0000-000055150000}"/>
    <cellStyle name="Normal 4 4 2 5 3 2" xfId="13616" xr:uid="{3A523D89-364F-47F3-AD80-80F87FD0A62B}"/>
    <cellStyle name="Normal 4 4 2 5 4" xfId="9398" xr:uid="{0B365778-65C9-4636-8A06-94E78582F0D6}"/>
    <cellStyle name="Normal 4 4 2 6" xfId="1272" xr:uid="{00000000-0005-0000-0000-000056150000}"/>
    <cellStyle name="Normal 4 4 2 6 2" xfId="3502" xr:uid="{00000000-0005-0000-0000-000057150000}"/>
    <cellStyle name="Normal 4 4 2 6 2 2" xfId="7724" xr:uid="{00000000-0005-0000-0000-000058150000}"/>
    <cellStyle name="Normal 4 4 2 6 2 2 2" xfId="16174" xr:uid="{9968270C-DE9A-44BB-BC2A-AF7EBF547491}"/>
    <cellStyle name="Normal 4 4 2 6 2 3" xfId="11956" xr:uid="{DDE28115-92C3-4454-94A9-39FD6524CB58}"/>
    <cellStyle name="Normal 4 4 2 6 3" xfId="5579" xr:uid="{00000000-0005-0000-0000-000059150000}"/>
    <cellStyle name="Normal 4 4 2 6 3 2" xfId="14029" xr:uid="{7F4ED518-668F-4102-A713-B07D2A2470DB}"/>
    <cellStyle name="Normal 4 4 2 6 4" xfId="9811" xr:uid="{0FDD4528-D3F2-4F0D-BC35-62FB4165B8D3}"/>
    <cellStyle name="Normal 4 4 2 7" xfId="1685" xr:uid="{00000000-0005-0000-0000-00005A150000}"/>
    <cellStyle name="Normal 4 4 2 7 2" xfId="3915" xr:uid="{00000000-0005-0000-0000-00005B150000}"/>
    <cellStyle name="Normal 4 4 2 7 2 2" xfId="8137" xr:uid="{00000000-0005-0000-0000-00005C150000}"/>
    <cellStyle name="Normal 4 4 2 7 2 2 2" xfId="16587" xr:uid="{CE9E9C8D-C138-4BE4-AB32-9DCB7CAC57F7}"/>
    <cellStyle name="Normal 4 4 2 7 2 3" xfId="12369" xr:uid="{E1E01E79-1B4B-4308-8B53-D076138F5F50}"/>
    <cellStyle name="Normal 4 4 2 7 3" xfId="5992" xr:uid="{00000000-0005-0000-0000-00005D150000}"/>
    <cellStyle name="Normal 4 4 2 7 3 2" xfId="14442" xr:uid="{0FF6A53C-C80F-462C-B426-56963E51E1B6}"/>
    <cellStyle name="Normal 4 4 2 7 4" xfId="10224" xr:uid="{9686FC98-1E97-4999-A799-9A19215B6599}"/>
    <cellStyle name="Normal 4 4 2 8" xfId="2099" xr:uid="{00000000-0005-0000-0000-00005E150000}"/>
    <cellStyle name="Normal 4 4 2 8 2" xfId="4328" xr:uid="{00000000-0005-0000-0000-00005F150000}"/>
    <cellStyle name="Normal 4 4 2 8 2 2" xfId="8550" xr:uid="{00000000-0005-0000-0000-000060150000}"/>
    <cellStyle name="Normal 4 4 2 8 2 2 2" xfId="17000" xr:uid="{8E0316C9-8739-4C4E-B64D-E675C5F35717}"/>
    <cellStyle name="Normal 4 4 2 8 2 3" xfId="12782" xr:uid="{D6A75143-AFF1-45C1-B2C8-4F8808FFAFED}"/>
    <cellStyle name="Normal 4 4 2 8 3" xfId="6405" xr:uid="{00000000-0005-0000-0000-000061150000}"/>
    <cellStyle name="Normal 4 4 2 8 3 2" xfId="14855" xr:uid="{ABB28E53-28B5-4B31-8B32-38DD8C5CE25B}"/>
    <cellStyle name="Normal 4 4 2 8 4" xfId="10637" xr:uid="{FFB43030-D9DC-4D60-856A-7D45305B6FFD}"/>
    <cellStyle name="Normal 4 4 2 9" xfId="2535" xr:uid="{00000000-0005-0000-0000-000062150000}"/>
    <cellStyle name="Normal 4 4 2 9 2" xfId="6818" xr:uid="{00000000-0005-0000-0000-000063150000}"/>
    <cellStyle name="Normal 4 4 2 9 2 2" xfId="15268" xr:uid="{48A63571-D158-4D60-AA23-7382880A5BD7}"/>
    <cellStyle name="Normal 4 4 2 9 3" xfId="11050" xr:uid="{2B7C80BD-3FEB-4957-B493-42C6D134FABB}"/>
    <cellStyle name="Normal 4 4 3" xfId="387" xr:uid="{00000000-0005-0000-0000-000064150000}"/>
    <cellStyle name="Normal 4 4 3 10" xfId="8993" xr:uid="{3CEBACB7-1D4E-4C86-9A6E-D681EC71B474}"/>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2 2 2" xfId="15771" xr:uid="{B6E66018-8157-496F-A1FB-B3D78CA76036}"/>
    <cellStyle name="Normal 4 4 3 2 2 2 2 3" xfId="11553" xr:uid="{DEDE84D7-586A-49EA-9C72-B5770F02A9B0}"/>
    <cellStyle name="Normal 4 4 3 2 2 2 3" xfId="5176" xr:uid="{00000000-0005-0000-0000-00006A150000}"/>
    <cellStyle name="Normal 4 4 3 2 2 2 3 2" xfId="13626" xr:uid="{49AE17F2-44FD-4DB6-88C3-7B2D3E4CD2B5}"/>
    <cellStyle name="Normal 4 4 3 2 2 2 4" xfId="9408" xr:uid="{0A482A74-F54E-469C-9C36-D1AD61C60905}"/>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2 2 2" xfId="16184" xr:uid="{048720CF-BAF9-4C09-911D-3E97708D9138}"/>
    <cellStyle name="Normal 4 4 3 2 2 3 2 3" xfId="11966" xr:uid="{BDF3E6F1-F82C-4135-B421-C3A7A11F9827}"/>
    <cellStyle name="Normal 4 4 3 2 2 3 3" xfId="5589" xr:uid="{00000000-0005-0000-0000-00006E150000}"/>
    <cellStyle name="Normal 4 4 3 2 2 3 3 2" xfId="14039" xr:uid="{4C6F8706-3BF4-4996-84EC-C265FCE5C61F}"/>
    <cellStyle name="Normal 4 4 3 2 2 3 4" xfId="9821" xr:uid="{47E38AA9-EC70-4790-8DB7-18A7A2A02444}"/>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2 2 2" xfId="16597" xr:uid="{218B6653-1354-4E9C-9A7A-34BB9383B107}"/>
    <cellStyle name="Normal 4 4 3 2 2 4 2 3" xfId="12379" xr:uid="{16814422-D224-42CE-AA4A-EC219A4F72F5}"/>
    <cellStyle name="Normal 4 4 3 2 2 4 3" xfId="6002" xr:uid="{00000000-0005-0000-0000-000072150000}"/>
    <cellStyle name="Normal 4 4 3 2 2 4 3 2" xfId="14452" xr:uid="{C29E9E97-38D6-4E22-B197-2B700BA732E9}"/>
    <cellStyle name="Normal 4 4 3 2 2 4 4" xfId="10234" xr:uid="{046A5AFD-E7B4-4B6A-9897-7A11DBD13786}"/>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2 2 2" xfId="17010" xr:uid="{5D9E295B-8C66-45F7-9450-5F8332FBF700}"/>
    <cellStyle name="Normal 4 4 3 2 2 5 2 3" xfId="12792" xr:uid="{2F21CDCC-494B-4A71-AA7B-20DA2174E75E}"/>
    <cellStyle name="Normal 4 4 3 2 2 5 3" xfId="6415" xr:uid="{00000000-0005-0000-0000-000076150000}"/>
    <cellStyle name="Normal 4 4 3 2 2 5 3 2" xfId="14865" xr:uid="{61E53EAD-A12D-41A4-B58D-C007A18C0010}"/>
    <cellStyle name="Normal 4 4 3 2 2 5 4" xfId="10647" xr:uid="{25329E32-09EB-41FE-B64D-A8FA4E4F48CE}"/>
    <cellStyle name="Normal 4 4 3 2 2 6" xfId="2545" xr:uid="{00000000-0005-0000-0000-000077150000}"/>
    <cellStyle name="Normal 4 4 3 2 2 6 2" xfId="6828" xr:uid="{00000000-0005-0000-0000-000078150000}"/>
    <cellStyle name="Normal 4 4 3 2 2 6 2 2" xfId="15278" xr:uid="{D8B6B17C-2368-4C42-86BF-C6AB1D83F074}"/>
    <cellStyle name="Normal 4 4 3 2 2 6 3" xfId="11060" xr:uid="{85F486E2-A8F3-4699-8A30-70848521A6B0}"/>
    <cellStyle name="Normal 4 4 3 2 2 7" xfId="4763" xr:uid="{00000000-0005-0000-0000-000079150000}"/>
    <cellStyle name="Normal 4 4 3 2 2 7 2" xfId="13213" xr:uid="{6AFD680F-4C89-47B0-9256-0039E4E1114A}"/>
    <cellStyle name="Normal 4 4 3 2 2 8" xfId="8995" xr:uid="{DEE14BC1-4279-408F-BB6B-9C80418E8A19}"/>
    <cellStyle name="Normal 4 4 3 2 3" xfId="863" xr:uid="{00000000-0005-0000-0000-00007A150000}"/>
    <cellStyle name="Normal 4 4 3 2 3 2" xfId="3098" xr:uid="{00000000-0005-0000-0000-00007B150000}"/>
    <cellStyle name="Normal 4 4 3 2 3 2 2" xfId="7320" xr:uid="{00000000-0005-0000-0000-00007C150000}"/>
    <cellStyle name="Normal 4 4 3 2 3 2 2 2" xfId="15770" xr:uid="{19BCA211-91E7-4FEA-9EFD-C3C385016628}"/>
    <cellStyle name="Normal 4 4 3 2 3 2 3" xfId="11552" xr:uid="{2802D4DB-400B-4713-832B-B43DE392C70C}"/>
    <cellStyle name="Normal 4 4 3 2 3 3" xfId="5175" xr:uid="{00000000-0005-0000-0000-00007D150000}"/>
    <cellStyle name="Normal 4 4 3 2 3 3 2" xfId="13625" xr:uid="{9248CC7B-4B04-4E89-A186-8CD31FB84052}"/>
    <cellStyle name="Normal 4 4 3 2 3 4" xfId="9407" xr:uid="{AA2E1BA8-8E72-4A92-B4BF-4C36A94411B5}"/>
    <cellStyle name="Normal 4 4 3 2 4" xfId="1281" xr:uid="{00000000-0005-0000-0000-00007E150000}"/>
    <cellStyle name="Normal 4 4 3 2 4 2" xfId="3511" xr:uid="{00000000-0005-0000-0000-00007F150000}"/>
    <cellStyle name="Normal 4 4 3 2 4 2 2" xfId="7733" xr:uid="{00000000-0005-0000-0000-000080150000}"/>
    <cellStyle name="Normal 4 4 3 2 4 2 2 2" xfId="16183" xr:uid="{6AA1FA24-E9FE-4F59-9638-C443A80441CE}"/>
    <cellStyle name="Normal 4 4 3 2 4 2 3" xfId="11965" xr:uid="{FFA2C8EE-5D17-42C4-B5D9-CF5E943AB927}"/>
    <cellStyle name="Normal 4 4 3 2 4 3" xfId="5588" xr:uid="{00000000-0005-0000-0000-000081150000}"/>
    <cellStyle name="Normal 4 4 3 2 4 3 2" xfId="14038" xr:uid="{045540C0-6FB1-4BE8-8A99-DB5FB16FE215}"/>
    <cellStyle name="Normal 4 4 3 2 4 4" xfId="9820" xr:uid="{31BEFBA1-E319-4F56-AE55-2FB0089345FF}"/>
    <cellStyle name="Normal 4 4 3 2 5" xfId="1694" xr:uid="{00000000-0005-0000-0000-000082150000}"/>
    <cellStyle name="Normal 4 4 3 2 5 2" xfId="3924" xr:uid="{00000000-0005-0000-0000-000083150000}"/>
    <cellStyle name="Normal 4 4 3 2 5 2 2" xfId="8146" xr:uid="{00000000-0005-0000-0000-000084150000}"/>
    <cellStyle name="Normal 4 4 3 2 5 2 2 2" xfId="16596" xr:uid="{5FEA84CF-90BF-4CA1-9A16-16828A3884A1}"/>
    <cellStyle name="Normal 4 4 3 2 5 2 3" xfId="12378" xr:uid="{BA38E8F0-09BE-45FF-BEAD-25B71153D112}"/>
    <cellStyle name="Normal 4 4 3 2 5 3" xfId="6001" xr:uid="{00000000-0005-0000-0000-000085150000}"/>
    <cellStyle name="Normal 4 4 3 2 5 3 2" xfId="14451" xr:uid="{C95A8A0B-5201-4BAD-AF60-B7C14BF3F769}"/>
    <cellStyle name="Normal 4 4 3 2 5 4" xfId="10233" xr:uid="{479099B9-EFAE-4525-BC23-D66EDAB519ED}"/>
    <cellStyle name="Normal 4 4 3 2 6" xfId="2108" xr:uid="{00000000-0005-0000-0000-000086150000}"/>
    <cellStyle name="Normal 4 4 3 2 6 2" xfId="4337" xr:uid="{00000000-0005-0000-0000-000087150000}"/>
    <cellStyle name="Normal 4 4 3 2 6 2 2" xfId="8559" xr:uid="{00000000-0005-0000-0000-000088150000}"/>
    <cellStyle name="Normal 4 4 3 2 6 2 2 2" xfId="17009" xr:uid="{B92FC5BD-3387-425B-83C8-E8E9F5B5B2CF}"/>
    <cellStyle name="Normal 4 4 3 2 6 2 3" xfId="12791" xr:uid="{F91E7161-0D2C-49BA-B6D2-F05C17E11AD6}"/>
    <cellStyle name="Normal 4 4 3 2 6 3" xfId="6414" xr:uid="{00000000-0005-0000-0000-000089150000}"/>
    <cellStyle name="Normal 4 4 3 2 6 3 2" xfId="14864" xr:uid="{35F14B8C-3500-4848-BFC1-DCA515AF4983}"/>
    <cellStyle name="Normal 4 4 3 2 6 4" xfId="10646" xr:uid="{FAF8D6BA-8823-4855-ACAE-1DBF2AEC19B6}"/>
    <cellStyle name="Normal 4 4 3 2 7" xfId="2544" xr:uid="{00000000-0005-0000-0000-00008A150000}"/>
    <cellStyle name="Normal 4 4 3 2 7 2" xfId="6827" xr:uid="{00000000-0005-0000-0000-00008B150000}"/>
    <cellStyle name="Normal 4 4 3 2 7 2 2" xfId="15277" xr:uid="{990FE746-37DE-4DB3-BC0B-45F60C9B823F}"/>
    <cellStyle name="Normal 4 4 3 2 7 3" xfId="11059" xr:uid="{D6369E16-78E1-41B0-AC2A-7ABD69B2B634}"/>
    <cellStyle name="Normal 4 4 3 2 8" xfId="4762" xr:uid="{00000000-0005-0000-0000-00008C150000}"/>
    <cellStyle name="Normal 4 4 3 2 8 2" xfId="13212" xr:uid="{2B8D4CBE-C7DA-457B-A29B-62D1CC2BB219}"/>
    <cellStyle name="Normal 4 4 3 2 9" xfId="8994" xr:uid="{E84EF413-40D0-4FBE-AAB1-237798D832B2}"/>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2 2 2" xfId="15772" xr:uid="{2E62A969-FC17-4155-96A7-66401DCB757A}"/>
    <cellStyle name="Normal 4 4 3 3 2 2 3" xfId="11554" xr:uid="{1A752EA3-1F4F-45FD-9FF7-71A04D3696DA}"/>
    <cellStyle name="Normal 4 4 3 3 2 3" xfId="5177" xr:uid="{00000000-0005-0000-0000-000091150000}"/>
    <cellStyle name="Normal 4 4 3 3 2 3 2" xfId="13627" xr:uid="{7958BF38-0A8C-4ED1-A349-27DE6846F472}"/>
    <cellStyle name="Normal 4 4 3 3 2 4" xfId="9409" xr:uid="{3BC74E57-55BD-47FD-A241-1E5DC0EB2AF8}"/>
    <cellStyle name="Normal 4 4 3 3 3" xfId="1283" xr:uid="{00000000-0005-0000-0000-000092150000}"/>
    <cellStyle name="Normal 4 4 3 3 3 2" xfId="3513" xr:uid="{00000000-0005-0000-0000-000093150000}"/>
    <cellStyle name="Normal 4 4 3 3 3 2 2" xfId="7735" xr:uid="{00000000-0005-0000-0000-000094150000}"/>
    <cellStyle name="Normal 4 4 3 3 3 2 2 2" xfId="16185" xr:uid="{79F5511E-00B4-49B5-97F7-F2E0BFC54B40}"/>
    <cellStyle name="Normal 4 4 3 3 3 2 3" xfId="11967" xr:uid="{39EED054-9DFA-4C85-AE5C-936CFA8F652D}"/>
    <cellStyle name="Normal 4 4 3 3 3 3" xfId="5590" xr:uid="{00000000-0005-0000-0000-000095150000}"/>
    <cellStyle name="Normal 4 4 3 3 3 3 2" xfId="14040" xr:uid="{FA07DE69-831F-49D9-9121-615A8BFE2E7A}"/>
    <cellStyle name="Normal 4 4 3 3 3 4" xfId="9822" xr:uid="{26EB6E2E-75A9-4678-BB13-1C39BCE2B204}"/>
    <cellStyle name="Normal 4 4 3 3 4" xfId="1696" xr:uid="{00000000-0005-0000-0000-000096150000}"/>
    <cellStyle name="Normal 4 4 3 3 4 2" xfId="3926" xr:uid="{00000000-0005-0000-0000-000097150000}"/>
    <cellStyle name="Normal 4 4 3 3 4 2 2" xfId="8148" xr:uid="{00000000-0005-0000-0000-000098150000}"/>
    <cellStyle name="Normal 4 4 3 3 4 2 2 2" xfId="16598" xr:uid="{289EBE4C-DDEA-4216-B807-5982C43AB1EE}"/>
    <cellStyle name="Normal 4 4 3 3 4 2 3" xfId="12380" xr:uid="{0C61AF14-7234-4241-A9D8-E203A2402443}"/>
    <cellStyle name="Normal 4 4 3 3 4 3" xfId="6003" xr:uid="{00000000-0005-0000-0000-000099150000}"/>
    <cellStyle name="Normal 4 4 3 3 4 3 2" xfId="14453" xr:uid="{9814BF21-B55A-47AA-8642-C77ED9CBE416}"/>
    <cellStyle name="Normal 4 4 3 3 4 4" xfId="10235" xr:uid="{83BAAFCD-0A74-4C0A-B194-557B357BDDAF}"/>
    <cellStyle name="Normal 4 4 3 3 5" xfId="2110" xr:uid="{00000000-0005-0000-0000-00009A150000}"/>
    <cellStyle name="Normal 4 4 3 3 5 2" xfId="4339" xr:uid="{00000000-0005-0000-0000-00009B150000}"/>
    <cellStyle name="Normal 4 4 3 3 5 2 2" xfId="8561" xr:uid="{00000000-0005-0000-0000-00009C150000}"/>
    <cellStyle name="Normal 4 4 3 3 5 2 2 2" xfId="17011" xr:uid="{899EC32E-6657-4723-A840-AD15C73D1643}"/>
    <cellStyle name="Normal 4 4 3 3 5 2 3" xfId="12793" xr:uid="{76FA7FFB-3E5D-4284-BA6B-D85CE69DDD4B}"/>
    <cellStyle name="Normal 4 4 3 3 5 3" xfId="6416" xr:uid="{00000000-0005-0000-0000-00009D150000}"/>
    <cellStyle name="Normal 4 4 3 3 5 3 2" xfId="14866" xr:uid="{A59702F0-0FD1-4DD4-8A97-C7CD22A0B656}"/>
    <cellStyle name="Normal 4 4 3 3 5 4" xfId="10648" xr:uid="{D59B0DFB-4E79-44AD-94DF-25D676E9A09B}"/>
    <cellStyle name="Normal 4 4 3 3 6" xfId="2546" xr:uid="{00000000-0005-0000-0000-00009E150000}"/>
    <cellStyle name="Normal 4 4 3 3 6 2" xfId="6829" xr:uid="{00000000-0005-0000-0000-00009F150000}"/>
    <cellStyle name="Normal 4 4 3 3 6 2 2" xfId="15279" xr:uid="{D15E3227-72E4-4109-AC86-91B1A4AC715A}"/>
    <cellStyle name="Normal 4 4 3 3 6 3" xfId="11061" xr:uid="{F2649566-B888-4ED3-8652-1553C10805E0}"/>
    <cellStyle name="Normal 4 4 3 3 7" xfId="4764" xr:uid="{00000000-0005-0000-0000-0000A0150000}"/>
    <cellStyle name="Normal 4 4 3 3 7 2" xfId="13214" xr:uid="{377465CD-D59A-4333-8421-5F82265188DE}"/>
    <cellStyle name="Normal 4 4 3 3 8" xfId="8996" xr:uid="{0AB175CE-53B6-4948-A52A-70AC5852B7CA}"/>
    <cellStyle name="Normal 4 4 3 4" xfId="862" xr:uid="{00000000-0005-0000-0000-0000A1150000}"/>
    <cellStyle name="Normal 4 4 3 4 2" xfId="3097" xr:uid="{00000000-0005-0000-0000-0000A2150000}"/>
    <cellStyle name="Normal 4 4 3 4 2 2" xfId="7319" xr:uid="{00000000-0005-0000-0000-0000A3150000}"/>
    <cellStyle name="Normal 4 4 3 4 2 2 2" xfId="15769" xr:uid="{CA112072-7F16-47DE-BCD2-CFA403FD6879}"/>
    <cellStyle name="Normal 4 4 3 4 2 3" xfId="11551" xr:uid="{F9B66C3D-5C02-48C4-B468-A0E628A1FCC9}"/>
    <cellStyle name="Normal 4 4 3 4 3" xfId="5174" xr:uid="{00000000-0005-0000-0000-0000A4150000}"/>
    <cellStyle name="Normal 4 4 3 4 3 2" xfId="13624" xr:uid="{55CED081-924C-4F03-9B3A-00C9D6EE6C5C}"/>
    <cellStyle name="Normal 4 4 3 4 4" xfId="9406" xr:uid="{B542352A-A8C6-40A5-A550-86859948D44D}"/>
    <cellStyle name="Normal 4 4 3 5" xfId="1280" xr:uid="{00000000-0005-0000-0000-0000A5150000}"/>
    <cellStyle name="Normal 4 4 3 5 2" xfId="3510" xr:uid="{00000000-0005-0000-0000-0000A6150000}"/>
    <cellStyle name="Normal 4 4 3 5 2 2" xfId="7732" xr:uid="{00000000-0005-0000-0000-0000A7150000}"/>
    <cellStyle name="Normal 4 4 3 5 2 2 2" xfId="16182" xr:uid="{8BA32BCF-85A2-4404-B263-3E548C3BF3D9}"/>
    <cellStyle name="Normal 4 4 3 5 2 3" xfId="11964" xr:uid="{61A928A9-6338-47B9-AD4D-F18D60C85CD1}"/>
    <cellStyle name="Normal 4 4 3 5 3" xfId="5587" xr:uid="{00000000-0005-0000-0000-0000A8150000}"/>
    <cellStyle name="Normal 4 4 3 5 3 2" xfId="14037" xr:uid="{0AF3D681-3409-4A13-9BDD-52825A921FE0}"/>
    <cellStyle name="Normal 4 4 3 5 4" xfId="9819" xr:uid="{55BF0E63-437A-4351-857A-16C34E3D8127}"/>
    <cellStyle name="Normal 4 4 3 6" xfId="1693" xr:uid="{00000000-0005-0000-0000-0000A9150000}"/>
    <cellStyle name="Normal 4 4 3 6 2" xfId="3923" xr:uid="{00000000-0005-0000-0000-0000AA150000}"/>
    <cellStyle name="Normal 4 4 3 6 2 2" xfId="8145" xr:uid="{00000000-0005-0000-0000-0000AB150000}"/>
    <cellStyle name="Normal 4 4 3 6 2 2 2" xfId="16595" xr:uid="{053C4CBA-0EBD-408E-8AA2-41646C622AFD}"/>
    <cellStyle name="Normal 4 4 3 6 2 3" xfId="12377" xr:uid="{66C4CDB1-7135-4B37-AFB1-F9B04C2403DC}"/>
    <cellStyle name="Normal 4 4 3 6 3" xfId="6000" xr:uid="{00000000-0005-0000-0000-0000AC150000}"/>
    <cellStyle name="Normal 4 4 3 6 3 2" xfId="14450" xr:uid="{F199C5E9-D3CF-4434-B573-2B86D7CD22DB}"/>
    <cellStyle name="Normal 4 4 3 6 4" xfId="10232" xr:uid="{9CC3B5D6-3EFD-4484-82A7-CD430E44AD78}"/>
    <cellStyle name="Normal 4 4 3 7" xfId="2107" xr:uid="{00000000-0005-0000-0000-0000AD150000}"/>
    <cellStyle name="Normal 4 4 3 7 2" xfId="4336" xr:uid="{00000000-0005-0000-0000-0000AE150000}"/>
    <cellStyle name="Normal 4 4 3 7 2 2" xfId="8558" xr:uid="{00000000-0005-0000-0000-0000AF150000}"/>
    <cellStyle name="Normal 4 4 3 7 2 2 2" xfId="17008" xr:uid="{3076B25A-A93F-44D9-A0F5-1409801E8F75}"/>
    <cellStyle name="Normal 4 4 3 7 2 3" xfId="12790" xr:uid="{E7AA9985-A953-4CC8-BF63-3DBA6B0B56DA}"/>
    <cellStyle name="Normal 4 4 3 7 3" xfId="6413" xr:uid="{00000000-0005-0000-0000-0000B0150000}"/>
    <cellStyle name="Normal 4 4 3 7 3 2" xfId="14863" xr:uid="{11E406FD-A992-42A3-B900-96C23DFA31A1}"/>
    <cellStyle name="Normal 4 4 3 7 4" xfId="10645" xr:uid="{A5DDCE2F-1213-4A36-B23B-DB7DF8EF37A7}"/>
    <cellStyle name="Normal 4 4 3 8" xfId="2543" xr:uid="{00000000-0005-0000-0000-0000B1150000}"/>
    <cellStyle name="Normal 4 4 3 8 2" xfId="6826" xr:uid="{00000000-0005-0000-0000-0000B2150000}"/>
    <cellStyle name="Normal 4 4 3 8 2 2" xfId="15276" xr:uid="{30B19BC9-5DD1-4425-BE7A-A75D53209330}"/>
    <cellStyle name="Normal 4 4 3 8 3" xfId="11058" xr:uid="{F1A2474B-C865-41B5-9A22-95E82B788E02}"/>
    <cellStyle name="Normal 4 4 3 9" xfId="4761" xr:uid="{00000000-0005-0000-0000-0000B3150000}"/>
    <cellStyle name="Normal 4 4 3 9 2" xfId="13211" xr:uid="{F9C92F7F-2351-46DF-AF9F-8D4F91DA982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2 2 2" xfId="15774" xr:uid="{73A4620F-E7F7-4AA4-B1B8-3EFD30EAC646}"/>
    <cellStyle name="Normal 4 4 4 2 2 2 3" xfId="11556" xr:uid="{0A08D48A-3F6A-4C6D-973A-8957BFB6F4DB}"/>
    <cellStyle name="Normal 4 4 4 2 2 3" xfId="5179" xr:uid="{00000000-0005-0000-0000-0000B9150000}"/>
    <cellStyle name="Normal 4 4 4 2 2 3 2" xfId="13629" xr:uid="{A596820D-395C-4CF8-87D1-E2ED2E3AA331}"/>
    <cellStyle name="Normal 4 4 4 2 2 4" xfId="9411" xr:uid="{B50228FE-0EA9-4ACA-8FD7-090D01AFCCCB}"/>
    <cellStyle name="Normal 4 4 4 2 3" xfId="1285" xr:uid="{00000000-0005-0000-0000-0000BA150000}"/>
    <cellStyle name="Normal 4 4 4 2 3 2" xfId="3515" xr:uid="{00000000-0005-0000-0000-0000BB150000}"/>
    <cellStyle name="Normal 4 4 4 2 3 2 2" xfId="7737" xr:uid="{00000000-0005-0000-0000-0000BC150000}"/>
    <cellStyle name="Normal 4 4 4 2 3 2 2 2" xfId="16187" xr:uid="{93F8B966-DEBA-4876-B14E-B62CBFAE3D01}"/>
    <cellStyle name="Normal 4 4 4 2 3 2 3" xfId="11969" xr:uid="{5FD449E5-4755-41E6-A03C-48BCA0F710F9}"/>
    <cellStyle name="Normal 4 4 4 2 3 3" xfId="5592" xr:uid="{00000000-0005-0000-0000-0000BD150000}"/>
    <cellStyle name="Normal 4 4 4 2 3 3 2" xfId="14042" xr:uid="{BCD37A12-6352-4CFD-B2C0-7403B1457AE7}"/>
    <cellStyle name="Normal 4 4 4 2 3 4" xfId="9824" xr:uid="{0BA20E19-F736-4124-932A-095E919A055A}"/>
    <cellStyle name="Normal 4 4 4 2 4" xfId="1698" xr:uid="{00000000-0005-0000-0000-0000BE150000}"/>
    <cellStyle name="Normal 4 4 4 2 4 2" xfId="3928" xr:uid="{00000000-0005-0000-0000-0000BF150000}"/>
    <cellStyle name="Normal 4 4 4 2 4 2 2" xfId="8150" xr:uid="{00000000-0005-0000-0000-0000C0150000}"/>
    <cellStyle name="Normal 4 4 4 2 4 2 2 2" xfId="16600" xr:uid="{645A1B7D-23E8-4BFE-A0B3-F45EC3B48348}"/>
    <cellStyle name="Normal 4 4 4 2 4 2 3" xfId="12382" xr:uid="{7C07BD10-E733-4D46-A6E4-B306B6920612}"/>
    <cellStyle name="Normal 4 4 4 2 4 3" xfId="6005" xr:uid="{00000000-0005-0000-0000-0000C1150000}"/>
    <cellStyle name="Normal 4 4 4 2 4 3 2" xfId="14455" xr:uid="{E3C40920-CD65-4499-A776-F260F6545F88}"/>
    <cellStyle name="Normal 4 4 4 2 4 4" xfId="10237" xr:uid="{2B8B6F05-9DBB-4C1A-86FC-FC69D3ED72D0}"/>
    <cellStyle name="Normal 4 4 4 2 5" xfId="2112" xr:uid="{00000000-0005-0000-0000-0000C2150000}"/>
    <cellStyle name="Normal 4 4 4 2 5 2" xfId="4341" xr:uid="{00000000-0005-0000-0000-0000C3150000}"/>
    <cellStyle name="Normal 4 4 4 2 5 2 2" xfId="8563" xr:uid="{00000000-0005-0000-0000-0000C4150000}"/>
    <cellStyle name="Normal 4 4 4 2 5 2 2 2" xfId="17013" xr:uid="{BFB0ED23-336A-45F2-A392-E0212CA96C4F}"/>
    <cellStyle name="Normal 4 4 4 2 5 2 3" xfId="12795" xr:uid="{BA7229D9-D4BF-4826-8470-CFFAACA825F5}"/>
    <cellStyle name="Normal 4 4 4 2 5 3" xfId="6418" xr:uid="{00000000-0005-0000-0000-0000C5150000}"/>
    <cellStyle name="Normal 4 4 4 2 5 3 2" xfId="14868" xr:uid="{1F0D1378-1CDD-4213-83F9-A8915EADEA91}"/>
    <cellStyle name="Normal 4 4 4 2 5 4" xfId="10650" xr:uid="{FCE9701B-CC83-45D5-ADC0-1A758E973305}"/>
    <cellStyle name="Normal 4 4 4 2 6" xfId="2548" xr:uid="{00000000-0005-0000-0000-0000C6150000}"/>
    <cellStyle name="Normal 4 4 4 2 6 2" xfId="6831" xr:uid="{00000000-0005-0000-0000-0000C7150000}"/>
    <cellStyle name="Normal 4 4 4 2 6 2 2" xfId="15281" xr:uid="{C63A6966-A5B8-46A7-8758-F6ED2DDD6EB8}"/>
    <cellStyle name="Normal 4 4 4 2 6 3" xfId="11063" xr:uid="{F34BCA50-C541-499C-91F2-C9AAFF520D7A}"/>
    <cellStyle name="Normal 4 4 4 2 7" xfId="4766" xr:uid="{00000000-0005-0000-0000-0000C8150000}"/>
    <cellStyle name="Normal 4 4 4 2 7 2" xfId="13216" xr:uid="{D987BD7D-149E-4390-9ECF-E352EC7D63A4}"/>
    <cellStyle name="Normal 4 4 4 2 8" xfId="8998" xr:uid="{77CC229A-05EB-4944-949B-6444CC7E9E93}"/>
    <cellStyle name="Normal 4 4 4 3" xfId="866" xr:uid="{00000000-0005-0000-0000-0000C9150000}"/>
    <cellStyle name="Normal 4 4 4 3 2" xfId="3101" xr:uid="{00000000-0005-0000-0000-0000CA150000}"/>
    <cellStyle name="Normal 4 4 4 3 2 2" xfId="7323" xr:uid="{00000000-0005-0000-0000-0000CB150000}"/>
    <cellStyle name="Normal 4 4 4 3 2 2 2" xfId="15773" xr:uid="{96074A7B-01C5-4C81-B2AB-DD08A1344529}"/>
    <cellStyle name="Normal 4 4 4 3 2 3" xfId="11555" xr:uid="{F0EFB0B6-F40B-4D44-AC4B-B19B034CDADA}"/>
    <cellStyle name="Normal 4 4 4 3 3" xfId="5178" xr:uid="{00000000-0005-0000-0000-0000CC150000}"/>
    <cellStyle name="Normal 4 4 4 3 3 2" xfId="13628" xr:uid="{03462588-5625-4561-9652-2F97462AF03B}"/>
    <cellStyle name="Normal 4 4 4 3 4" xfId="9410" xr:uid="{A0C31538-AB86-409E-A3C7-9C0FDBD31D9E}"/>
    <cellStyle name="Normal 4 4 4 4" xfId="1284" xr:uid="{00000000-0005-0000-0000-0000CD150000}"/>
    <cellStyle name="Normal 4 4 4 4 2" xfId="3514" xr:uid="{00000000-0005-0000-0000-0000CE150000}"/>
    <cellStyle name="Normal 4 4 4 4 2 2" xfId="7736" xr:uid="{00000000-0005-0000-0000-0000CF150000}"/>
    <cellStyle name="Normal 4 4 4 4 2 2 2" xfId="16186" xr:uid="{0B03A303-5140-4858-A17B-39F59314AAB2}"/>
    <cellStyle name="Normal 4 4 4 4 2 3" xfId="11968" xr:uid="{45DA44FE-542A-4F78-9393-7ED20EA75742}"/>
    <cellStyle name="Normal 4 4 4 4 3" xfId="5591" xr:uid="{00000000-0005-0000-0000-0000D0150000}"/>
    <cellStyle name="Normal 4 4 4 4 3 2" xfId="14041" xr:uid="{0F5D3314-0A7D-43FA-8A50-BC4412652CC2}"/>
    <cellStyle name="Normal 4 4 4 4 4" xfId="9823" xr:uid="{4EF5916C-9337-4E71-9FEE-6B50A44A8526}"/>
    <cellStyle name="Normal 4 4 4 5" xfId="1697" xr:uid="{00000000-0005-0000-0000-0000D1150000}"/>
    <cellStyle name="Normal 4 4 4 5 2" xfId="3927" xr:uid="{00000000-0005-0000-0000-0000D2150000}"/>
    <cellStyle name="Normal 4 4 4 5 2 2" xfId="8149" xr:uid="{00000000-0005-0000-0000-0000D3150000}"/>
    <cellStyle name="Normal 4 4 4 5 2 2 2" xfId="16599" xr:uid="{17CDC576-01CD-46CF-8B5A-6F0F2EB1192D}"/>
    <cellStyle name="Normal 4 4 4 5 2 3" xfId="12381" xr:uid="{FFF3F5E9-71D4-4AC8-8F59-AD6C8B0D6E36}"/>
    <cellStyle name="Normal 4 4 4 5 3" xfId="6004" xr:uid="{00000000-0005-0000-0000-0000D4150000}"/>
    <cellStyle name="Normal 4 4 4 5 3 2" xfId="14454" xr:uid="{165F266C-8334-44D9-91BC-280C0FFC7CD2}"/>
    <cellStyle name="Normal 4 4 4 5 4" xfId="10236" xr:uid="{9E2148E2-5025-46F7-8895-3ED3326DABAD}"/>
    <cellStyle name="Normal 4 4 4 6" xfId="2111" xr:uid="{00000000-0005-0000-0000-0000D5150000}"/>
    <cellStyle name="Normal 4 4 4 6 2" xfId="4340" xr:uid="{00000000-0005-0000-0000-0000D6150000}"/>
    <cellStyle name="Normal 4 4 4 6 2 2" xfId="8562" xr:uid="{00000000-0005-0000-0000-0000D7150000}"/>
    <cellStyle name="Normal 4 4 4 6 2 2 2" xfId="17012" xr:uid="{8F88A13C-1999-4236-AF71-85CD75894C4C}"/>
    <cellStyle name="Normal 4 4 4 6 2 3" xfId="12794" xr:uid="{A818AE84-FF72-4314-AF1A-91DDD1D3872D}"/>
    <cellStyle name="Normal 4 4 4 6 3" xfId="6417" xr:uid="{00000000-0005-0000-0000-0000D8150000}"/>
    <cellStyle name="Normal 4 4 4 6 3 2" xfId="14867" xr:uid="{000E430F-5014-4457-9576-5038508A52D0}"/>
    <cellStyle name="Normal 4 4 4 6 4" xfId="10649" xr:uid="{35364B3F-1F4F-4637-A057-35F6906A784B}"/>
    <cellStyle name="Normal 4 4 4 7" xfId="2547" xr:uid="{00000000-0005-0000-0000-0000D9150000}"/>
    <cellStyle name="Normal 4 4 4 7 2" xfId="6830" xr:uid="{00000000-0005-0000-0000-0000DA150000}"/>
    <cellStyle name="Normal 4 4 4 7 2 2" xfId="15280" xr:uid="{E2B97D5B-F071-41ED-BE60-7C397C990C3D}"/>
    <cellStyle name="Normal 4 4 4 7 3" xfId="11062" xr:uid="{FB7423CF-012F-49F2-8214-783100DD342A}"/>
    <cellStyle name="Normal 4 4 4 8" xfId="4765" xr:uid="{00000000-0005-0000-0000-0000DB150000}"/>
    <cellStyle name="Normal 4 4 4 8 2" xfId="13215" xr:uid="{95CF71A1-A19E-4733-9DF2-ECC5691A0206}"/>
    <cellStyle name="Normal 4 4 4 9" xfId="8997" xr:uid="{EE4420CE-DD7B-4A4F-A501-A382D22C7255}"/>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2 2 2" xfId="15775" xr:uid="{FEF599EA-825C-41D1-868C-7A22B0682A99}"/>
    <cellStyle name="Normal 4 4 5 2 2 3" xfId="11557" xr:uid="{5081C872-1093-48D2-855A-157307FA6D1D}"/>
    <cellStyle name="Normal 4 4 5 2 3" xfId="5180" xr:uid="{00000000-0005-0000-0000-0000E0150000}"/>
    <cellStyle name="Normal 4 4 5 2 3 2" xfId="13630" xr:uid="{032E55EF-850C-4E18-A8F6-B0050EDB68AF}"/>
    <cellStyle name="Normal 4 4 5 2 4" xfId="9412" xr:uid="{D0020326-CACD-44FA-9EB4-F15163BFE527}"/>
    <cellStyle name="Normal 4 4 5 3" xfId="1286" xr:uid="{00000000-0005-0000-0000-0000E1150000}"/>
    <cellStyle name="Normal 4 4 5 3 2" xfId="3516" xr:uid="{00000000-0005-0000-0000-0000E2150000}"/>
    <cellStyle name="Normal 4 4 5 3 2 2" xfId="7738" xr:uid="{00000000-0005-0000-0000-0000E3150000}"/>
    <cellStyle name="Normal 4 4 5 3 2 2 2" xfId="16188" xr:uid="{D0182251-D0CD-4626-8A73-8B08C48D406D}"/>
    <cellStyle name="Normal 4 4 5 3 2 3" xfId="11970" xr:uid="{4E2A2F30-862B-4036-87D2-043F191459BC}"/>
    <cellStyle name="Normal 4 4 5 3 3" xfId="5593" xr:uid="{00000000-0005-0000-0000-0000E4150000}"/>
    <cellStyle name="Normal 4 4 5 3 3 2" xfId="14043" xr:uid="{209FE51D-58C8-41B5-BCF6-3C9FBAEE15C9}"/>
    <cellStyle name="Normal 4 4 5 3 4" xfId="9825" xr:uid="{7C0229D5-824A-4FC3-9D94-E14D8D6BCE81}"/>
    <cellStyle name="Normal 4 4 5 4" xfId="1699" xr:uid="{00000000-0005-0000-0000-0000E5150000}"/>
    <cellStyle name="Normal 4 4 5 4 2" xfId="3929" xr:uid="{00000000-0005-0000-0000-0000E6150000}"/>
    <cellStyle name="Normal 4 4 5 4 2 2" xfId="8151" xr:uid="{00000000-0005-0000-0000-0000E7150000}"/>
    <cellStyle name="Normal 4 4 5 4 2 2 2" xfId="16601" xr:uid="{CCEB6BAF-0C86-4E2C-87B6-CC5BC5D4E824}"/>
    <cellStyle name="Normal 4 4 5 4 2 3" xfId="12383" xr:uid="{1FD23DFF-F0A2-4BAD-9DB6-A43223C5DD26}"/>
    <cellStyle name="Normal 4 4 5 4 3" xfId="6006" xr:uid="{00000000-0005-0000-0000-0000E8150000}"/>
    <cellStyle name="Normal 4 4 5 4 3 2" xfId="14456" xr:uid="{E376CA99-BE06-45FE-9053-AF88C0655468}"/>
    <cellStyle name="Normal 4 4 5 4 4" xfId="10238" xr:uid="{1465FD54-C246-4541-A5A9-6549589AC6B2}"/>
    <cellStyle name="Normal 4 4 5 5" xfId="2113" xr:uid="{00000000-0005-0000-0000-0000E9150000}"/>
    <cellStyle name="Normal 4 4 5 5 2" xfId="4342" xr:uid="{00000000-0005-0000-0000-0000EA150000}"/>
    <cellStyle name="Normal 4 4 5 5 2 2" xfId="8564" xr:uid="{00000000-0005-0000-0000-0000EB150000}"/>
    <cellStyle name="Normal 4 4 5 5 2 2 2" xfId="17014" xr:uid="{3C62414B-264F-4847-A41F-97C13891994E}"/>
    <cellStyle name="Normal 4 4 5 5 2 3" xfId="12796" xr:uid="{B3ACA680-5E2B-481B-AE14-E0C6D926C8E8}"/>
    <cellStyle name="Normal 4 4 5 5 3" xfId="6419" xr:uid="{00000000-0005-0000-0000-0000EC150000}"/>
    <cellStyle name="Normal 4 4 5 5 3 2" xfId="14869" xr:uid="{D67BA70F-676F-46F3-A1C1-4E9A4DA0B744}"/>
    <cellStyle name="Normal 4 4 5 5 4" xfId="10651" xr:uid="{BE09E470-A040-49EC-80E7-3A9995FC08A8}"/>
    <cellStyle name="Normal 4 4 5 6" xfId="2549" xr:uid="{00000000-0005-0000-0000-0000ED150000}"/>
    <cellStyle name="Normal 4 4 5 6 2" xfId="6832" xr:uid="{00000000-0005-0000-0000-0000EE150000}"/>
    <cellStyle name="Normal 4 4 5 6 2 2" xfId="15282" xr:uid="{8F71F2B3-6AC8-4689-B721-AAE4F04FCCAB}"/>
    <cellStyle name="Normal 4 4 5 6 3" xfId="11064" xr:uid="{0B9EC7DF-3FEC-4E56-B44D-5E3692A6D0D9}"/>
    <cellStyle name="Normal 4 4 5 7" xfId="4767" xr:uid="{00000000-0005-0000-0000-0000EF150000}"/>
    <cellStyle name="Normal 4 4 5 7 2" xfId="13217" xr:uid="{02B8736A-E956-406E-97B3-B2FD1134A12F}"/>
    <cellStyle name="Normal 4 4 5 8" xfId="8999" xr:uid="{29B09910-7987-4067-BD08-E5F8CA616BF1}"/>
    <cellStyle name="Normal 4 4 6" xfId="853" xr:uid="{00000000-0005-0000-0000-0000F0150000}"/>
    <cellStyle name="Normal 4 4 6 2" xfId="3088" xr:uid="{00000000-0005-0000-0000-0000F1150000}"/>
    <cellStyle name="Normal 4 4 6 2 2" xfId="7310" xr:uid="{00000000-0005-0000-0000-0000F2150000}"/>
    <cellStyle name="Normal 4 4 6 2 2 2" xfId="15760" xr:uid="{DAADCAB1-2504-4042-AD2F-E30740FF5BED}"/>
    <cellStyle name="Normal 4 4 6 2 3" xfId="11542" xr:uid="{AA63A7DB-A40D-46EB-ADC9-1C9881FE2208}"/>
    <cellStyle name="Normal 4 4 6 3" xfId="5165" xr:uid="{00000000-0005-0000-0000-0000F3150000}"/>
    <cellStyle name="Normal 4 4 6 3 2" xfId="13615" xr:uid="{52EF1AE0-82C3-4D0C-91B8-7B19F7573F57}"/>
    <cellStyle name="Normal 4 4 6 4" xfId="9397" xr:uid="{3E4E5621-A6C3-40D2-B22F-0CFCEF6917C8}"/>
    <cellStyle name="Normal 4 4 7" xfId="1271" xr:uid="{00000000-0005-0000-0000-0000F4150000}"/>
    <cellStyle name="Normal 4 4 7 2" xfId="3501" xr:uid="{00000000-0005-0000-0000-0000F5150000}"/>
    <cellStyle name="Normal 4 4 7 2 2" xfId="7723" xr:uid="{00000000-0005-0000-0000-0000F6150000}"/>
    <cellStyle name="Normal 4 4 7 2 2 2" xfId="16173" xr:uid="{58735F4E-B88B-45B3-8720-8C310F75E084}"/>
    <cellStyle name="Normal 4 4 7 2 3" xfId="11955" xr:uid="{B0D8589B-EB69-4781-8EA1-B44CEDFDC638}"/>
    <cellStyle name="Normal 4 4 7 3" xfId="5578" xr:uid="{00000000-0005-0000-0000-0000F7150000}"/>
    <cellStyle name="Normal 4 4 7 3 2" xfId="14028" xr:uid="{BD6B3879-A613-4545-A34F-1605908D0E4D}"/>
    <cellStyle name="Normal 4 4 7 4" xfId="9810" xr:uid="{BE792C75-9BFB-4613-A29C-09B21B257D38}"/>
    <cellStyle name="Normal 4 4 8" xfId="1684" xr:uid="{00000000-0005-0000-0000-0000F8150000}"/>
    <cellStyle name="Normal 4 4 8 2" xfId="3914" xr:uid="{00000000-0005-0000-0000-0000F9150000}"/>
    <cellStyle name="Normal 4 4 8 2 2" xfId="8136" xr:uid="{00000000-0005-0000-0000-0000FA150000}"/>
    <cellStyle name="Normal 4 4 8 2 2 2" xfId="16586" xr:uid="{782D0FAD-C4E9-4D24-BDAD-2E1547283F93}"/>
    <cellStyle name="Normal 4 4 8 2 3" xfId="12368" xr:uid="{2A27DF32-1D1D-41F3-9147-B67194CA08F9}"/>
    <cellStyle name="Normal 4 4 8 3" xfId="5991" xr:uid="{00000000-0005-0000-0000-0000FB150000}"/>
    <cellStyle name="Normal 4 4 8 3 2" xfId="14441" xr:uid="{318A5BFE-A4F9-46F8-91A2-BCC02FD993C8}"/>
    <cellStyle name="Normal 4 4 8 4" xfId="10223" xr:uid="{5DF91B02-14AC-4AD2-A8D1-AF6B9DFA982F}"/>
    <cellStyle name="Normal 4 4 9" xfId="2098" xr:uid="{00000000-0005-0000-0000-0000FC150000}"/>
    <cellStyle name="Normal 4 4 9 2" xfId="4327" xr:uid="{00000000-0005-0000-0000-0000FD150000}"/>
    <cellStyle name="Normal 4 4 9 2 2" xfId="8549" xr:uid="{00000000-0005-0000-0000-0000FE150000}"/>
    <cellStyle name="Normal 4 4 9 2 2 2" xfId="16999" xr:uid="{D9134849-E548-4D45-B2FA-E3011BB2A01C}"/>
    <cellStyle name="Normal 4 4 9 2 3" xfId="12781" xr:uid="{5EACC121-0385-45A4-875A-E2B59D52CD1C}"/>
    <cellStyle name="Normal 4 4 9 3" xfId="6404" xr:uid="{00000000-0005-0000-0000-0000FF150000}"/>
    <cellStyle name="Normal 4 4 9 3 2" xfId="14854" xr:uid="{E197E5CB-9B53-4FBA-B02D-AD212483F799}"/>
    <cellStyle name="Normal 4 4 9 4" xfId="10636" xr:uid="{D95B9C7F-31D7-431B-AADF-7D458CB9BD60}"/>
    <cellStyle name="Normal 4 5" xfId="394" xr:uid="{00000000-0005-0000-0000-000000160000}"/>
    <cellStyle name="Normal 4 6" xfId="395" xr:uid="{00000000-0005-0000-0000-000001160000}"/>
    <cellStyle name="Normal 4 6 10" xfId="4768" xr:uid="{00000000-0005-0000-0000-000002160000}"/>
    <cellStyle name="Normal 4 6 10 2" xfId="13218" xr:uid="{CAB6874A-F60A-402E-8120-4FE117A20467}"/>
    <cellStyle name="Normal 4 6 11" xfId="9000" xr:uid="{05E7D743-86E1-4822-89FF-1371EE884507}"/>
    <cellStyle name="Normal 4 6 2" xfId="396" xr:uid="{00000000-0005-0000-0000-000003160000}"/>
    <cellStyle name="Normal 4 6 2 10" xfId="9001" xr:uid="{5F7B6B07-E70A-4F27-87D9-413421C52E58}"/>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2 2 2" xfId="15779" xr:uid="{1ACF7385-5947-4690-873D-2251167ED686}"/>
    <cellStyle name="Normal 4 6 2 2 2 2 2 3" xfId="11561" xr:uid="{C5E15D4C-9714-437D-862C-34D3A50DD1FD}"/>
    <cellStyle name="Normal 4 6 2 2 2 2 3" xfId="5184" xr:uid="{00000000-0005-0000-0000-000009160000}"/>
    <cellStyle name="Normal 4 6 2 2 2 2 3 2" xfId="13634" xr:uid="{AD392710-5D80-42ED-800B-D54DB24E3803}"/>
    <cellStyle name="Normal 4 6 2 2 2 2 4" xfId="9416" xr:uid="{B065C430-AA57-4CBC-96AB-DFC1E3C82DA4}"/>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2 2 2" xfId="16192" xr:uid="{FCBF47A5-C885-4C1E-88F6-2FCE988A2EA5}"/>
    <cellStyle name="Normal 4 6 2 2 2 3 2 3" xfId="11974" xr:uid="{686D1675-7095-49EB-9CD0-BA99D3861FD6}"/>
    <cellStyle name="Normal 4 6 2 2 2 3 3" xfId="5597" xr:uid="{00000000-0005-0000-0000-00000D160000}"/>
    <cellStyle name="Normal 4 6 2 2 2 3 3 2" xfId="14047" xr:uid="{16C56D4B-0089-4658-B8F6-6A3495EF6EDF}"/>
    <cellStyle name="Normal 4 6 2 2 2 3 4" xfId="9829" xr:uid="{46DF71CA-A8DB-433F-BE0E-BB7762F48FD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2 2 2" xfId="16605" xr:uid="{71E70A0F-6348-41B9-A1F8-97E52EE98092}"/>
    <cellStyle name="Normal 4 6 2 2 2 4 2 3" xfId="12387" xr:uid="{18FEC78C-D209-4578-B2D7-DAC69926C492}"/>
    <cellStyle name="Normal 4 6 2 2 2 4 3" xfId="6010" xr:uid="{00000000-0005-0000-0000-000011160000}"/>
    <cellStyle name="Normal 4 6 2 2 2 4 3 2" xfId="14460" xr:uid="{C4AB061A-D04B-4845-8FA8-E69EB1B9558F}"/>
    <cellStyle name="Normal 4 6 2 2 2 4 4" xfId="10242" xr:uid="{CD04F594-7A26-4FE7-BE3E-E1F5835100F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2 2 2" xfId="17018" xr:uid="{0FA8206A-9DD5-430E-8962-A8A46C8C042D}"/>
    <cellStyle name="Normal 4 6 2 2 2 5 2 3" xfId="12800" xr:uid="{0E43A53C-AA1F-43F1-9193-A890F1FC97E5}"/>
    <cellStyle name="Normal 4 6 2 2 2 5 3" xfId="6423" xr:uid="{00000000-0005-0000-0000-000015160000}"/>
    <cellStyle name="Normal 4 6 2 2 2 5 3 2" xfId="14873" xr:uid="{9690C2E0-6E6D-4936-A70D-DC764846B103}"/>
    <cellStyle name="Normal 4 6 2 2 2 5 4" xfId="10655" xr:uid="{CE963880-ED21-47EC-9C3D-11D0C47CE89F}"/>
    <cellStyle name="Normal 4 6 2 2 2 6" xfId="2553" xr:uid="{00000000-0005-0000-0000-000016160000}"/>
    <cellStyle name="Normal 4 6 2 2 2 6 2" xfId="6836" xr:uid="{00000000-0005-0000-0000-000017160000}"/>
    <cellStyle name="Normal 4 6 2 2 2 6 2 2" xfId="15286" xr:uid="{7A46975A-B1AD-4850-B264-DE1CD1B00AA6}"/>
    <cellStyle name="Normal 4 6 2 2 2 6 3" xfId="11068" xr:uid="{2260957D-4C0F-4AB6-A238-E81E578E31FA}"/>
    <cellStyle name="Normal 4 6 2 2 2 7" xfId="4771" xr:uid="{00000000-0005-0000-0000-000018160000}"/>
    <cellStyle name="Normal 4 6 2 2 2 7 2" xfId="13221" xr:uid="{9FF978DA-6FF1-40AD-B8CD-95A6C05C820B}"/>
    <cellStyle name="Normal 4 6 2 2 2 8" xfId="9003" xr:uid="{5EDF9A37-5C61-4218-97D1-36EB3DAC9954}"/>
    <cellStyle name="Normal 4 6 2 2 3" xfId="871" xr:uid="{00000000-0005-0000-0000-000019160000}"/>
    <cellStyle name="Normal 4 6 2 2 3 2" xfId="3106" xr:uid="{00000000-0005-0000-0000-00001A160000}"/>
    <cellStyle name="Normal 4 6 2 2 3 2 2" xfId="7328" xr:uid="{00000000-0005-0000-0000-00001B160000}"/>
    <cellStyle name="Normal 4 6 2 2 3 2 2 2" xfId="15778" xr:uid="{F790BAF0-71C5-48E1-ADDD-D6277520564A}"/>
    <cellStyle name="Normal 4 6 2 2 3 2 3" xfId="11560" xr:uid="{24DCF1C7-A7D5-45D0-99BB-E78D474E755F}"/>
    <cellStyle name="Normal 4 6 2 2 3 3" xfId="5183" xr:uid="{00000000-0005-0000-0000-00001C160000}"/>
    <cellStyle name="Normal 4 6 2 2 3 3 2" xfId="13633" xr:uid="{BE04455A-10DE-4DD8-A814-BE3B2AFB0CF1}"/>
    <cellStyle name="Normal 4 6 2 2 3 4" xfId="9415" xr:uid="{1FD92219-BBB5-488F-AAB5-1F68518B626C}"/>
    <cellStyle name="Normal 4 6 2 2 4" xfId="1289" xr:uid="{00000000-0005-0000-0000-00001D160000}"/>
    <cellStyle name="Normal 4 6 2 2 4 2" xfId="3519" xr:uid="{00000000-0005-0000-0000-00001E160000}"/>
    <cellStyle name="Normal 4 6 2 2 4 2 2" xfId="7741" xr:uid="{00000000-0005-0000-0000-00001F160000}"/>
    <cellStyle name="Normal 4 6 2 2 4 2 2 2" xfId="16191" xr:uid="{1788F5C3-B68B-4702-B76A-4F71C96634EE}"/>
    <cellStyle name="Normal 4 6 2 2 4 2 3" xfId="11973" xr:uid="{D6A84AA5-6AE4-4286-8FB2-3660510FD797}"/>
    <cellStyle name="Normal 4 6 2 2 4 3" xfId="5596" xr:uid="{00000000-0005-0000-0000-000020160000}"/>
    <cellStyle name="Normal 4 6 2 2 4 3 2" xfId="14046" xr:uid="{C63F6842-3AC3-4911-8A98-BB1B32E336BE}"/>
    <cellStyle name="Normal 4 6 2 2 4 4" xfId="9828" xr:uid="{AFE95D30-66AE-4EE1-AD15-57504CA88319}"/>
    <cellStyle name="Normal 4 6 2 2 5" xfId="1702" xr:uid="{00000000-0005-0000-0000-000021160000}"/>
    <cellStyle name="Normal 4 6 2 2 5 2" xfId="3932" xr:uid="{00000000-0005-0000-0000-000022160000}"/>
    <cellStyle name="Normal 4 6 2 2 5 2 2" xfId="8154" xr:uid="{00000000-0005-0000-0000-000023160000}"/>
    <cellStyle name="Normal 4 6 2 2 5 2 2 2" xfId="16604" xr:uid="{44149540-A83E-47A0-8719-9E14891CD815}"/>
    <cellStyle name="Normal 4 6 2 2 5 2 3" xfId="12386" xr:uid="{54A8F08A-C02E-43FB-8FF3-677C85A120E0}"/>
    <cellStyle name="Normal 4 6 2 2 5 3" xfId="6009" xr:uid="{00000000-0005-0000-0000-000024160000}"/>
    <cellStyle name="Normal 4 6 2 2 5 3 2" xfId="14459" xr:uid="{E9932602-C7E4-4818-B4D9-834E44443B82}"/>
    <cellStyle name="Normal 4 6 2 2 5 4" xfId="10241" xr:uid="{06C3A067-D461-4309-971F-F8D7B677EB08}"/>
    <cellStyle name="Normal 4 6 2 2 6" xfId="2116" xr:uid="{00000000-0005-0000-0000-000025160000}"/>
    <cellStyle name="Normal 4 6 2 2 6 2" xfId="4345" xr:uid="{00000000-0005-0000-0000-000026160000}"/>
    <cellStyle name="Normal 4 6 2 2 6 2 2" xfId="8567" xr:uid="{00000000-0005-0000-0000-000027160000}"/>
    <cellStyle name="Normal 4 6 2 2 6 2 2 2" xfId="17017" xr:uid="{D161A3EF-2843-4FD8-8CB2-31371837FECD}"/>
    <cellStyle name="Normal 4 6 2 2 6 2 3" xfId="12799" xr:uid="{9F479DF5-7CC2-4C00-8D3B-AC01C96D99BF}"/>
    <cellStyle name="Normal 4 6 2 2 6 3" xfId="6422" xr:uid="{00000000-0005-0000-0000-000028160000}"/>
    <cellStyle name="Normal 4 6 2 2 6 3 2" xfId="14872" xr:uid="{85C93FB6-646D-47E1-8C9D-6A107C42D90C}"/>
    <cellStyle name="Normal 4 6 2 2 6 4" xfId="10654" xr:uid="{E0A33832-7239-4DF1-BC8D-8ABA75A55528}"/>
    <cellStyle name="Normal 4 6 2 2 7" xfId="2552" xr:uid="{00000000-0005-0000-0000-000029160000}"/>
    <cellStyle name="Normal 4 6 2 2 7 2" xfId="6835" xr:uid="{00000000-0005-0000-0000-00002A160000}"/>
    <cellStyle name="Normal 4 6 2 2 7 2 2" xfId="15285" xr:uid="{E87B8B8D-75C4-4754-A1E0-A5E80183E7A9}"/>
    <cellStyle name="Normal 4 6 2 2 7 3" xfId="11067" xr:uid="{EEEF8F37-1272-4A34-9F22-F9C640D122B5}"/>
    <cellStyle name="Normal 4 6 2 2 8" xfId="4770" xr:uid="{00000000-0005-0000-0000-00002B160000}"/>
    <cellStyle name="Normal 4 6 2 2 8 2" xfId="13220" xr:uid="{3DE4EB8F-AFD0-4B6C-BB0A-3A5FB95655A6}"/>
    <cellStyle name="Normal 4 6 2 2 9" xfId="9002" xr:uid="{97FEEA6D-D10E-44FD-BC7A-36F16F5A8003}"/>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2 2 2" xfId="15780" xr:uid="{FB216BF8-24D9-4CAD-9459-81BB3CCF2C56}"/>
    <cellStyle name="Normal 4 6 2 3 2 2 3" xfId="11562" xr:uid="{3993758D-B7F2-4811-8880-4DFC483D256A}"/>
    <cellStyle name="Normal 4 6 2 3 2 3" xfId="5185" xr:uid="{00000000-0005-0000-0000-000030160000}"/>
    <cellStyle name="Normal 4 6 2 3 2 3 2" xfId="13635" xr:uid="{332D35F8-EDBA-4CA7-B114-0E47A22C85D1}"/>
    <cellStyle name="Normal 4 6 2 3 2 4" xfId="9417" xr:uid="{5E5AF414-CD79-4AE1-8EB3-CFDEACBE24B9}"/>
    <cellStyle name="Normal 4 6 2 3 3" xfId="1291" xr:uid="{00000000-0005-0000-0000-000031160000}"/>
    <cellStyle name="Normal 4 6 2 3 3 2" xfId="3521" xr:uid="{00000000-0005-0000-0000-000032160000}"/>
    <cellStyle name="Normal 4 6 2 3 3 2 2" xfId="7743" xr:uid="{00000000-0005-0000-0000-000033160000}"/>
    <cellStyle name="Normal 4 6 2 3 3 2 2 2" xfId="16193" xr:uid="{2CFCBC82-8047-4757-B5EF-37A1A333898C}"/>
    <cellStyle name="Normal 4 6 2 3 3 2 3" xfId="11975" xr:uid="{FB1D7589-63B3-439E-A85B-B4A5A7DFFD64}"/>
    <cellStyle name="Normal 4 6 2 3 3 3" xfId="5598" xr:uid="{00000000-0005-0000-0000-000034160000}"/>
    <cellStyle name="Normal 4 6 2 3 3 3 2" xfId="14048" xr:uid="{B31DC678-B42D-4D6A-96BD-18CCAC23433B}"/>
    <cellStyle name="Normal 4 6 2 3 3 4" xfId="9830" xr:uid="{44F8E76D-459A-4E24-BFBE-DB0D0DF26159}"/>
    <cellStyle name="Normal 4 6 2 3 4" xfId="1704" xr:uid="{00000000-0005-0000-0000-000035160000}"/>
    <cellStyle name="Normal 4 6 2 3 4 2" xfId="3934" xr:uid="{00000000-0005-0000-0000-000036160000}"/>
    <cellStyle name="Normal 4 6 2 3 4 2 2" xfId="8156" xr:uid="{00000000-0005-0000-0000-000037160000}"/>
    <cellStyle name="Normal 4 6 2 3 4 2 2 2" xfId="16606" xr:uid="{10EA3A50-9C6D-4841-96B4-5928EB1EF60C}"/>
    <cellStyle name="Normal 4 6 2 3 4 2 3" xfId="12388" xr:uid="{6F205C6D-6A24-4DC8-9B76-1162D8B76B80}"/>
    <cellStyle name="Normal 4 6 2 3 4 3" xfId="6011" xr:uid="{00000000-0005-0000-0000-000038160000}"/>
    <cellStyle name="Normal 4 6 2 3 4 3 2" xfId="14461" xr:uid="{845D64BD-ACC1-4790-ABBA-3E08714628B7}"/>
    <cellStyle name="Normal 4 6 2 3 4 4" xfId="10243" xr:uid="{677D4385-2584-4A04-944D-D9ED92E8C064}"/>
    <cellStyle name="Normal 4 6 2 3 5" xfId="2118" xr:uid="{00000000-0005-0000-0000-000039160000}"/>
    <cellStyle name="Normal 4 6 2 3 5 2" xfId="4347" xr:uid="{00000000-0005-0000-0000-00003A160000}"/>
    <cellStyle name="Normal 4 6 2 3 5 2 2" xfId="8569" xr:uid="{00000000-0005-0000-0000-00003B160000}"/>
    <cellStyle name="Normal 4 6 2 3 5 2 2 2" xfId="17019" xr:uid="{602AE60B-D6D1-41DE-94C3-63E97D923CF5}"/>
    <cellStyle name="Normal 4 6 2 3 5 2 3" xfId="12801" xr:uid="{07ACE7E8-C233-482C-BB3F-0F5B04D4488B}"/>
    <cellStyle name="Normal 4 6 2 3 5 3" xfId="6424" xr:uid="{00000000-0005-0000-0000-00003C160000}"/>
    <cellStyle name="Normal 4 6 2 3 5 3 2" xfId="14874" xr:uid="{F8059E48-E09B-4AF9-B483-562042B0D166}"/>
    <cellStyle name="Normal 4 6 2 3 5 4" xfId="10656" xr:uid="{E933C696-91A4-42E6-8F4C-A5B25ADABB12}"/>
    <cellStyle name="Normal 4 6 2 3 6" xfId="2554" xr:uid="{00000000-0005-0000-0000-00003D160000}"/>
    <cellStyle name="Normal 4 6 2 3 6 2" xfId="6837" xr:uid="{00000000-0005-0000-0000-00003E160000}"/>
    <cellStyle name="Normal 4 6 2 3 6 2 2" xfId="15287" xr:uid="{B15A548B-FB1B-474D-8C74-3D904FD5E34D}"/>
    <cellStyle name="Normal 4 6 2 3 6 3" xfId="11069" xr:uid="{F8E745AB-D18F-44AC-96AE-752DA548F1E2}"/>
    <cellStyle name="Normal 4 6 2 3 7" xfId="4772" xr:uid="{00000000-0005-0000-0000-00003F160000}"/>
    <cellStyle name="Normal 4 6 2 3 7 2" xfId="13222" xr:uid="{0B2421F8-61C7-4864-9B56-8E7ABE3CDDF5}"/>
    <cellStyle name="Normal 4 6 2 3 8" xfId="9004" xr:uid="{0A081CC2-5186-455A-BDB3-89CE7703BB34}"/>
    <cellStyle name="Normal 4 6 2 4" xfId="870" xr:uid="{00000000-0005-0000-0000-000040160000}"/>
    <cellStyle name="Normal 4 6 2 4 2" xfId="3105" xr:uid="{00000000-0005-0000-0000-000041160000}"/>
    <cellStyle name="Normal 4 6 2 4 2 2" xfId="7327" xr:uid="{00000000-0005-0000-0000-000042160000}"/>
    <cellStyle name="Normal 4 6 2 4 2 2 2" xfId="15777" xr:uid="{C7BD721E-89C3-4049-A5BF-0951B2F45050}"/>
    <cellStyle name="Normal 4 6 2 4 2 3" xfId="11559" xr:uid="{3A1CE5B6-A95C-4FAF-8516-35B3F5FF4558}"/>
    <cellStyle name="Normal 4 6 2 4 3" xfId="5182" xr:uid="{00000000-0005-0000-0000-000043160000}"/>
    <cellStyle name="Normal 4 6 2 4 3 2" xfId="13632" xr:uid="{49C9FC32-1C2E-4143-9C52-6A2EE454165B}"/>
    <cellStyle name="Normal 4 6 2 4 4" xfId="9414" xr:uid="{4270EAD1-EB67-4263-9534-ADC724B1AB6A}"/>
    <cellStyle name="Normal 4 6 2 5" xfId="1288" xr:uid="{00000000-0005-0000-0000-000044160000}"/>
    <cellStyle name="Normal 4 6 2 5 2" xfId="3518" xr:uid="{00000000-0005-0000-0000-000045160000}"/>
    <cellStyle name="Normal 4 6 2 5 2 2" xfId="7740" xr:uid="{00000000-0005-0000-0000-000046160000}"/>
    <cellStyle name="Normal 4 6 2 5 2 2 2" xfId="16190" xr:uid="{1EA64EC3-BCD1-4F72-A520-A687483C81A5}"/>
    <cellStyle name="Normal 4 6 2 5 2 3" xfId="11972" xr:uid="{B1F30EED-05F3-4D5C-A680-BE24BA09F6FF}"/>
    <cellStyle name="Normal 4 6 2 5 3" xfId="5595" xr:uid="{00000000-0005-0000-0000-000047160000}"/>
    <cellStyle name="Normal 4 6 2 5 3 2" xfId="14045" xr:uid="{20F34053-0967-44D4-B257-0E16FAD2B71B}"/>
    <cellStyle name="Normal 4 6 2 5 4" xfId="9827" xr:uid="{9494546C-DADF-461D-9259-FBB161F2C01B}"/>
    <cellStyle name="Normal 4 6 2 6" xfId="1701" xr:uid="{00000000-0005-0000-0000-000048160000}"/>
    <cellStyle name="Normal 4 6 2 6 2" xfId="3931" xr:uid="{00000000-0005-0000-0000-000049160000}"/>
    <cellStyle name="Normal 4 6 2 6 2 2" xfId="8153" xr:uid="{00000000-0005-0000-0000-00004A160000}"/>
    <cellStyle name="Normal 4 6 2 6 2 2 2" xfId="16603" xr:uid="{3F9D17A4-E700-4776-8C40-6C50E4F50D1B}"/>
    <cellStyle name="Normal 4 6 2 6 2 3" xfId="12385" xr:uid="{855026F8-6F49-4220-84C8-F10AB62DADEF}"/>
    <cellStyle name="Normal 4 6 2 6 3" xfId="6008" xr:uid="{00000000-0005-0000-0000-00004B160000}"/>
    <cellStyle name="Normal 4 6 2 6 3 2" xfId="14458" xr:uid="{90115242-6467-4C46-A87E-676B6D940D56}"/>
    <cellStyle name="Normal 4 6 2 6 4" xfId="10240" xr:uid="{C912D8C4-3A0D-461A-A0EB-207AFCD6A4F4}"/>
    <cellStyle name="Normal 4 6 2 7" xfId="2115" xr:uid="{00000000-0005-0000-0000-00004C160000}"/>
    <cellStyle name="Normal 4 6 2 7 2" xfId="4344" xr:uid="{00000000-0005-0000-0000-00004D160000}"/>
    <cellStyle name="Normal 4 6 2 7 2 2" xfId="8566" xr:uid="{00000000-0005-0000-0000-00004E160000}"/>
    <cellStyle name="Normal 4 6 2 7 2 2 2" xfId="17016" xr:uid="{56448BD6-E533-4A59-B0C8-FCFDE984FFE6}"/>
    <cellStyle name="Normal 4 6 2 7 2 3" xfId="12798" xr:uid="{BBFFFEF9-D78D-4AA9-9227-CC8D66E35B17}"/>
    <cellStyle name="Normal 4 6 2 7 3" xfId="6421" xr:uid="{00000000-0005-0000-0000-00004F160000}"/>
    <cellStyle name="Normal 4 6 2 7 3 2" xfId="14871" xr:uid="{076B80DE-CEF4-44C1-8D74-B5E84028EAEE}"/>
    <cellStyle name="Normal 4 6 2 7 4" xfId="10653" xr:uid="{34328AB6-FE91-419C-ADF6-20C42E8EBCFD}"/>
    <cellStyle name="Normal 4 6 2 8" xfId="2551" xr:uid="{00000000-0005-0000-0000-000050160000}"/>
    <cellStyle name="Normal 4 6 2 8 2" xfId="6834" xr:uid="{00000000-0005-0000-0000-000051160000}"/>
    <cellStyle name="Normal 4 6 2 8 2 2" xfId="15284" xr:uid="{B5A36F27-2A13-4F93-933F-6FE491E62D1E}"/>
    <cellStyle name="Normal 4 6 2 8 3" xfId="11066" xr:uid="{2DA052A1-6F8D-4762-93E5-87AA04F6E655}"/>
    <cellStyle name="Normal 4 6 2 9" xfId="4769" xr:uid="{00000000-0005-0000-0000-000052160000}"/>
    <cellStyle name="Normal 4 6 2 9 2" xfId="13219" xr:uid="{0762EA33-7703-4858-BF23-CC006FB42975}"/>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2 2 2" xfId="15782" xr:uid="{3E5288DA-9247-4230-9855-B272B3632E63}"/>
    <cellStyle name="Normal 4 6 3 2 2 2 3" xfId="11564" xr:uid="{107B1AC0-AE77-4252-85E2-0F3965608098}"/>
    <cellStyle name="Normal 4 6 3 2 2 3" xfId="5187" xr:uid="{00000000-0005-0000-0000-000058160000}"/>
    <cellStyle name="Normal 4 6 3 2 2 3 2" xfId="13637" xr:uid="{2875A653-035B-4CEB-BE13-A4130F3D8663}"/>
    <cellStyle name="Normal 4 6 3 2 2 4" xfId="9419" xr:uid="{F2847BA5-9C4C-4857-A233-1846B1CE9AE1}"/>
    <cellStyle name="Normal 4 6 3 2 3" xfId="1293" xr:uid="{00000000-0005-0000-0000-000059160000}"/>
    <cellStyle name="Normal 4 6 3 2 3 2" xfId="3523" xr:uid="{00000000-0005-0000-0000-00005A160000}"/>
    <cellStyle name="Normal 4 6 3 2 3 2 2" xfId="7745" xr:uid="{00000000-0005-0000-0000-00005B160000}"/>
    <cellStyle name="Normal 4 6 3 2 3 2 2 2" xfId="16195" xr:uid="{833A79EF-9A70-42AD-86F7-EB5726920200}"/>
    <cellStyle name="Normal 4 6 3 2 3 2 3" xfId="11977" xr:uid="{2BCA16F7-24C0-40E6-B714-909DF465BB3B}"/>
    <cellStyle name="Normal 4 6 3 2 3 3" xfId="5600" xr:uid="{00000000-0005-0000-0000-00005C160000}"/>
    <cellStyle name="Normal 4 6 3 2 3 3 2" xfId="14050" xr:uid="{88BC00BB-3E01-4C81-AB7A-19CF52970090}"/>
    <cellStyle name="Normal 4 6 3 2 3 4" xfId="9832" xr:uid="{9ABB8231-6665-4608-B486-BD528569E6D4}"/>
    <cellStyle name="Normal 4 6 3 2 4" xfId="1706" xr:uid="{00000000-0005-0000-0000-00005D160000}"/>
    <cellStyle name="Normal 4 6 3 2 4 2" xfId="3936" xr:uid="{00000000-0005-0000-0000-00005E160000}"/>
    <cellStyle name="Normal 4 6 3 2 4 2 2" xfId="8158" xr:uid="{00000000-0005-0000-0000-00005F160000}"/>
    <cellStyle name="Normal 4 6 3 2 4 2 2 2" xfId="16608" xr:uid="{20C6B623-BDFF-4BB7-97BB-4FE877711186}"/>
    <cellStyle name="Normal 4 6 3 2 4 2 3" xfId="12390" xr:uid="{B0623318-7E01-4C14-92DA-B2BC0F8871C1}"/>
    <cellStyle name="Normal 4 6 3 2 4 3" xfId="6013" xr:uid="{00000000-0005-0000-0000-000060160000}"/>
    <cellStyle name="Normal 4 6 3 2 4 3 2" xfId="14463" xr:uid="{18012F8B-8501-4153-98A1-162095ACC46C}"/>
    <cellStyle name="Normal 4 6 3 2 4 4" xfId="10245" xr:uid="{48CC8624-35B3-465A-915D-2D7C95115E58}"/>
    <cellStyle name="Normal 4 6 3 2 5" xfId="2120" xr:uid="{00000000-0005-0000-0000-000061160000}"/>
    <cellStyle name="Normal 4 6 3 2 5 2" xfId="4349" xr:uid="{00000000-0005-0000-0000-000062160000}"/>
    <cellStyle name="Normal 4 6 3 2 5 2 2" xfId="8571" xr:uid="{00000000-0005-0000-0000-000063160000}"/>
    <cellStyle name="Normal 4 6 3 2 5 2 2 2" xfId="17021" xr:uid="{4C845E0F-7F86-45F5-B59E-29FA45C9E1B0}"/>
    <cellStyle name="Normal 4 6 3 2 5 2 3" xfId="12803" xr:uid="{9971A9DE-D995-4C8B-A01E-ED41FD2ECE6E}"/>
    <cellStyle name="Normal 4 6 3 2 5 3" xfId="6426" xr:uid="{00000000-0005-0000-0000-000064160000}"/>
    <cellStyle name="Normal 4 6 3 2 5 3 2" xfId="14876" xr:uid="{B6389296-7A55-48BE-B7A9-DF289249C1AD}"/>
    <cellStyle name="Normal 4 6 3 2 5 4" xfId="10658" xr:uid="{43DFA700-9535-40F5-ABDB-CE9CC8F4CCF7}"/>
    <cellStyle name="Normal 4 6 3 2 6" xfId="2556" xr:uid="{00000000-0005-0000-0000-000065160000}"/>
    <cellStyle name="Normal 4 6 3 2 6 2" xfId="6839" xr:uid="{00000000-0005-0000-0000-000066160000}"/>
    <cellStyle name="Normal 4 6 3 2 6 2 2" xfId="15289" xr:uid="{2440EDDF-81E9-48B2-848E-F5AEC1EC38C8}"/>
    <cellStyle name="Normal 4 6 3 2 6 3" xfId="11071" xr:uid="{722E2959-7095-4DC0-B2F2-26D138FC2564}"/>
    <cellStyle name="Normal 4 6 3 2 7" xfId="4774" xr:uid="{00000000-0005-0000-0000-000067160000}"/>
    <cellStyle name="Normal 4 6 3 2 7 2" xfId="13224" xr:uid="{7AE0DD0F-E80E-42E3-882F-6FB2C2BF0FD3}"/>
    <cellStyle name="Normal 4 6 3 2 8" xfId="9006" xr:uid="{3692D27B-834E-4352-9C14-E38CE704B137}"/>
    <cellStyle name="Normal 4 6 3 3" xfId="874" xr:uid="{00000000-0005-0000-0000-000068160000}"/>
    <cellStyle name="Normal 4 6 3 3 2" xfId="3109" xr:uid="{00000000-0005-0000-0000-000069160000}"/>
    <cellStyle name="Normal 4 6 3 3 2 2" xfId="7331" xr:uid="{00000000-0005-0000-0000-00006A160000}"/>
    <cellStyle name="Normal 4 6 3 3 2 2 2" xfId="15781" xr:uid="{E3440010-4373-4D84-B493-13A0392AC9A9}"/>
    <cellStyle name="Normal 4 6 3 3 2 3" xfId="11563" xr:uid="{7342FFEB-F060-4628-A213-45102918B04E}"/>
    <cellStyle name="Normal 4 6 3 3 3" xfId="5186" xr:uid="{00000000-0005-0000-0000-00006B160000}"/>
    <cellStyle name="Normal 4 6 3 3 3 2" xfId="13636" xr:uid="{72D87BB4-81D0-41D8-AC8F-81A6212A4A3B}"/>
    <cellStyle name="Normal 4 6 3 3 4" xfId="9418" xr:uid="{9CFF2328-ACE0-43B1-8551-6FA5C5C8C6E1}"/>
    <cellStyle name="Normal 4 6 3 4" xfId="1292" xr:uid="{00000000-0005-0000-0000-00006C160000}"/>
    <cellStyle name="Normal 4 6 3 4 2" xfId="3522" xr:uid="{00000000-0005-0000-0000-00006D160000}"/>
    <cellStyle name="Normal 4 6 3 4 2 2" xfId="7744" xr:uid="{00000000-0005-0000-0000-00006E160000}"/>
    <cellStyle name="Normal 4 6 3 4 2 2 2" xfId="16194" xr:uid="{D9E5631F-E93A-4B72-8271-22F5B432AEFB}"/>
    <cellStyle name="Normal 4 6 3 4 2 3" xfId="11976" xr:uid="{4E7ADFCF-E3A4-4341-BD55-0327557DB1F6}"/>
    <cellStyle name="Normal 4 6 3 4 3" xfId="5599" xr:uid="{00000000-0005-0000-0000-00006F160000}"/>
    <cellStyle name="Normal 4 6 3 4 3 2" xfId="14049" xr:uid="{CAF78821-9C25-485E-84AA-1097D8533C34}"/>
    <cellStyle name="Normal 4 6 3 4 4" xfId="9831" xr:uid="{575A6166-3498-4227-98BC-E9B791E3D1E1}"/>
    <cellStyle name="Normal 4 6 3 5" xfId="1705" xr:uid="{00000000-0005-0000-0000-000070160000}"/>
    <cellStyle name="Normal 4 6 3 5 2" xfId="3935" xr:uid="{00000000-0005-0000-0000-000071160000}"/>
    <cellStyle name="Normal 4 6 3 5 2 2" xfId="8157" xr:uid="{00000000-0005-0000-0000-000072160000}"/>
    <cellStyle name="Normal 4 6 3 5 2 2 2" xfId="16607" xr:uid="{94FFF4C6-8A4D-4A2F-86D6-6438D02B406D}"/>
    <cellStyle name="Normal 4 6 3 5 2 3" xfId="12389" xr:uid="{609C809E-8FC8-4A41-8FCF-E32D46D90125}"/>
    <cellStyle name="Normal 4 6 3 5 3" xfId="6012" xr:uid="{00000000-0005-0000-0000-000073160000}"/>
    <cellStyle name="Normal 4 6 3 5 3 2" xfId="14462" xr:uid="{13DD43D4-9409-47A5-A468-7A105FDB7D9B}"/>
    <cellStyle name="Normal 4 6 3 5 4" xfId="10244" xr:uid="{8F051C7F-3736-4CB6-9CDC-6837BAB70DF7}"/>
    <cellStyle name="Normal 4 6 3 6" xfId="2119" xr:uid="{00000000-0005-0000-0000-000074160000}"/>
    <cellStyle name="Normal 4 6 3 6 2" xfId="4348" xr:uid="{00000000-0005-0000-0000-000075160000}"/>
    <cellStyle name="Normal 4 6 3 6 2 2" xfId="8570" xr:uid="{00000000-0005-0000-0000-000076160000}"/>
    <cellStyle name="Normal 4 6 3 6 2 2 2" xfId="17020" xr:uid="{BD0E896A-24D3-44CA-9578-61BDF6F46786}"/>
    <cellStyle name="Normal 4 6 3 6 2 3" xfId="12802" xr:uid="{5DB7536D-61E4-442D-BD10-BEACC0AC64F2}"/>
    <cellStyle name="Normal 4 6 3 6 3" xfId="6425" xr:uid="{00000000-0005-0000-0000-000077160000}"/>
    <cellStyle name="Normal 4 6 3 6 3 2" xfId="14875" xr:uid="{038C5C32-428C-4AA1-8AF4-B9F6F7E18472}"/>
    <cellStyle name="Normal 4 6 3 6 4" xfId="10657" xr:uid="{3F756233-14A4-4E3D-8D5C-05ABD1A9E862}"/>
    <cellStyle name="Normal 4 6 3 7" xfId="2555" xr:uid="{00000000-0005-0000-0000-000078160000}"/>
    <cellStyle name="Normal 4 6 3 7 2" xfId="6838" xr:uid="{00000000-0005-0000-0000-000079160000}"/>
    <cellStyle name="Normal 4 6 3 7 2 2" xfId="15288" xr:uid="{730620E1-1028-41B9-8BF7-E9F1338350B2}"/>
    <cellStyle name="Normal 4 6 3 7 3" xfId="11070" xr:uid="{BC21ED0D-E290-4D2E-8921-B1C12701C24A}"/>
    <cellStyle name="Normal 4 6 3 8" xfId="4773" xr:uid="{00000000-0005-0000-0000-00007A160000}"/>
    <cellStyle name="Normal 4 6 3 8 2" xfId="13223" xr:uid="{1AE43FDE-0508-4150-B3DC-04CAA2A0FB60}"/>
    <cellStyle name="Normal 4 6 3 9" xfId="9005" xr:uid="{56F8FC5F-B61E-4850-8122-2B86FE279475}"/>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2 2 2" xfId="15783" xr:uid="{D38E303A-DE78-4390-8880-BC2686043F47}"/>
    <cellStyle name="Normal 4 6 4 2 2 3" xfId="11565" xr:uid="{7BC6182C-A674-426B-BF96-A52C3B7A4805}"/>
    <cellStyle name="Normal 4 6 4 2 3" xfId="5188" xr:uid="{00000000-0005-0000-0000-00007F160000}"/>
    <cellStyle name="Normal 4 6 4 2 3 2" xfId="13638" xr:uid="{D96381B4-259E-44B4-86F5-284ED69422B6}"/>
    <cellStyle name="Normal 4 6 4 2 4" xfId="9420" xr:uid="{D1FDA460-5743-4BB5-8BC2-34FF991487C2}"/>
    <cellStyle name="Normal 4 6 4 3" xfId="1294" xr:uid="{00000000-0005-0000-0000-000080160000}"/>
    <cellStyle name="Normal 4 6 4 3 2" xfId="3524" xr:uid="{00000000-0005-0000-0000-000081160000}"/>
    <cellStyle name="Normal 4 6 4 3 2 2" xfId="7746" xr:uid="{00000000-0005-0000-0000-000082160000}"/>
    <cellStyle name="Normal 4 6 4 3 2 2 2" xfId="16196" xr:uid="{B060359B-4D4F-42C2-827F-5EC431A85418}"/>
    <cellStyle name="Normal 4 6 4 3 2 3" xfId="11978" xr:uid="{8E1373D9-15E9-4ADF-9171-FBC872CC7BA2}"/>
    <cellStyle name="Normal 4 6 4 3 3" xfId="5601" xr:uid="{00000000-0005-0000-0000-000083160000}"/>
    <cellStyle name="Normal 4 6 4 3 3 2" xfId="14051" xr:uid="{49069846-96DC-4477-95A1-1C2FD69A7300}"/>
    <cellStyle name="Normal 4 6 4 3 4" xfId="9833" xr:uid="{1709DDAE-8461-4813-93BA-A16D8A6B7C7E}"/>
    <cellStyle name="Normal 4 6 4 4" xfId="1707" xr:uid="{00000000-0005-0000-0000-000084160000}"/>
    <cellStyle name="Normal 4 6 4 4 2" xfId="3937" xr:uid="{00000000-0005-0000-0000-000085160000}"/>
    <cellStyle name="Normal 4 6 4 4 2 2" xfId="8159" xr:uid="{00000000-0005-0000-0000-000086160000}"/>
    <cellStyle name="Normal 4 6 4 4 2 2 2" xfId="16609" xr:uid="{36D43E4A-D374-48AB-B295-568D4502CB3B}"/>
    <cellStyle name="Normal 4 6 4 4 2 3" xfId="12391" xr:uid="{325888EC-D4C8-43E7-9362-357DE5419E22}"/>
    <cellStyle name="Normal 4 6 4 4 3" xfId="6014" xr:uid="{00000000-0005-0000-0000-000087160000}"/>
    <cellStyle name="Normal 4 6 4 4 3 2" xfId="14464" xr:uid="{4FC41B94-B718-4114-AF70-0F3DF2BA0EF2}"/>
    <cellStyle name="Normal 4 6 4 4 4" xfId="10246" xr:uid="{2E2E3E00-AB3A-4D6A-B710-7193A9E4486E}"/>
    <cellStyle name="Normal 4 6 4 5" xfId="2121" xr:uid="{00000000-0005-0000-0000-000088160000}"/>
    <cellStyle name="Normal 4 6 4 5 2" xfId="4350" xr:uid="{00000000-0005-0000-0000-000089160000}"/>
    <cellStyle name="Normal 4 6 4 5 2 2" xfId="8572" xr:uid="{00000000-0005-0000-0000-00008A160000}"/>
    <cellStyle name="Normal 4 6 4 5 2 2 2" xfId="17022" xr:uid="{7BFC3C78-B3BE-4D88-8454-7C81B4C92DA5}"/>
    <cellStyle name="Normal 4 6 4 5 2 3" xfId="12804" xr:uid="{DE6638DF-6A92-4913-AD84-F0F8FFF0BF7F}"/>
    <cellStyle name="Normal 4 6 4 5 3" xfId="6427" xr:uid="{00000000-0005-0000-0000-00008B160000}"/>
    <cellStyle name="Normal 4 6 4 5 3 2" xfId="14877" xr:uid="{DF045D38-917B-4ECE-ACD0-B6EEF6A6313F}"/>
    <cellStyle name="Normal 4 6 4 5 4" xfId="10659" xr:uid="{B42B0144-CDB3-4C12-905A-DE203F5F5BA9}"/>
    <cellStyle name="Normal 4 6 4 6" xfId="2557" xr:uid="{00000000-0005-0000-0000-00008C160000}"/>
    <cellStyle name="Normal 4 6 4 6 2" xfId="6840" xr:uid="{00000000-0005-0000-0000-00008D160000}"/>
    <cellStyle name="Normal 4 6 4 6 2 2" xfId="15290" xr:uid="{02F197DC-F97A-49AF-B7F2-6E10A6203802}"/>
    <cellStyle name="Normal 4 6 4 6 3" xfId="11072" xr:uid="{BA009CC6-9A4D-4B49-B092-DC507C3A3E09}"/>
    <cellStyle name="Normal 4 6 4 7" xfId="4775" xr:uid="{00000000-0005-0000-0000-00008E160000}"/>
    <cellStyle name="Normal 4 6 4 7 2" xfId="13225" xr:uid="{448BBF73-D2C4-4FE5-814C-EF21FAED3E8D}"/>
    <cellStyle name="Normal 4 6 4 8" xfId="9007" xr:uid="{9E011951-F117-45B0-BCF4-914C5E0F070C}"/>
    <cellStyle name="Normal 4 6 5" xfId="869" xr:uid="{00000000-0005-0000-0000-00008F160000}"/>
    <cellStyle name="Normal 4 6 5 2" xfId="3104" xr:uid="{00000000-0005-0000-0000-000090160000}"/>
    <cellStyle name="Normal 4 6 5 2 2" xfId="7326" xr:uid="{00000000-0005-0000-0000-000091160000}"/>
    <cellStyle name="Normal 4 6 5 2 2 2" xfId="15776" xr:uid="{FA46D4F0-1183-4E2B-A935-DC36872EF0F2}"/>
    <cellStyle name="Normal 4 6 5 2 3" xfId="11558" xr:uid="{53573B9A-1A4E-4112-B61B-2C010585F216}"/>
    <cellStyle name="Normal 4 6 5 3" xfId="5181" xr:uid="{00000000-0005-0000-0000-000092160000}"/>
    <cellStyle name="Normal 4 6 5 3 2" xfId="13631" xr:uid="{13B9038D-1BA3-4D4F-8884-CEB72E1E86BF}"/>
    <cellStyle name="Normal 4 6 5 4" xfId="9413" xr:uid="{65789649-AFFB-4A1F-B15F-BA93DAD07955}"/>
    <cellStyle name="Normal 4 6 6" xfId="1287" xr:uid="{00000000-0005-0000-0000-000093160000}"/>
    <cellStyle name="Normal 4 6 6 2" xfId="3517" xr:uid="{00000000-0005-0000-0000-000094160000}"/>
    <cellStyle name="Normal 4 6 6 2 2" xfId="7739" xr:uid="{00000000-0005-0000-0000-000095160000}"/>
    <cellStyle name="Normal 4 6 6 2 2 2" xfId="16189" xr:uid="{F4BB92C7-AC02-4349-B8C6-4203CC7FE907}"/>
    <cellStyle name="Normal 4 6 6 2 3" xfId="11971" xr:uid="{411D4623-B965-46C3-A1BD-35F30389926E}"/>
    <cellStyle name="Normal 4 6 6 3" xfId="5594" xr:uid="{00000000-0005-0000-0000-000096160000}"/>
    <cellStyle name="Normal 4 6 6 3 2" xfId="14044" xr:uid="{9721E05C-0F33-43FD-82B5-0FD2B8070728}"/>
    <cellStyle name="Normal 4 6 6 4" xfId="9826" xr:uid="{3D574303-4889-4A10-8D3E-F464081724DD}"/>
    <cellStyle name="Normal 4 6 7" xfId="1700" xr:uid="{00000000-0005-0000-0000-000097160000}"/>
    <cellStyle name="Normal 4 6 7 2" xfId="3930" xr:uid="{00000000-0005-0000-0000-000098160000}"/>
    <cellStyle name="Normal 4 6 7 2 2" xfId="8152" xr:uid="{00000000-0005-0000-0000-000099160000}"/>
    <cellStyle name="Normal 4 6 7 2 2 2" xfId="16602" xr:uid="{FFF11F8A-25EF-40CA-82A5-2ECA527B8662}"/>
    <cellStyle name="Normal 4 6 7 2 3" xfId="12384" xr:uid="{D8B64789-A42A-4C7F-86E1-51FE01D35E6A}"/>
    <cellStyle name="Normal 4 6 7 3" xfId="6007" xr:uid="{00000000-0005-0000-0000-00009A160000}"/>
    <cellStyle name="Normal 4 6 7 3 2" xfId="14457" xr:uid="{13D278C7-A445-415A-AA9E-6BF9A388C6F1}"/>
    <cellStyle name="Normal 4 6 7 4" xfId="10239" xr:uid="{B98AAB22-2BA6-48CF-A9F7-DD5840B65252}"/>
    <cellStyle name="Normal 4 6 8" xfId="2114" xr:uid="{00000000-0005-0000-0000-00009B160000}"/>
    <cellStyle name="Normal 4 6 8 2" xfId="4343" xr:uid="{00000000-0005-0000-0000-00009C160000}"/>
    <cellStyle name="Normal 4 6 8 2 2" xfId="8565" xr:uid="{00000000-0005-0000-0000-00009D160000}"/>
    <cellStyle name="Normal 4 6 8 2 2 2" xfId="17015" xr:uid="{1109B73D-2444-4B81-B373-A60D213E800E}"/>
    <cellStyle name="Normal 4 6 8 2 3" xfId="12797" xr:uid="{2AF78025-86E3-4812-A1A6-148658CC1F05}"/>
    <cellStyle name="Normal 4 6 8 3" xfId="6420" xr:uid="{00000000-0005-0000-0000-00009E160000}"/>
    <cellStyle name="Normal 4 6 8 3 2" xfId="14870" xr:uid="{40ECFC7C-A211-4A96-B0E5-C24C3D90FAB4}"/>
    <cellStyle name="Normal 4 6 8 4" xfId="10652" xr:uid="{CBF6A6AD-D2C6-4B17-A01E-AA0555F979CD}"/>
    <cellStyle name="Normal 4 6 9" xfId="2550" xr:uid="{00000000-0005-0000-0000-00009F160000}"/>
    <cellStyle name="Normal 4 6 9 2" xfId="6833" xr:uid="{00000000-0005-0000-0000-0000A0160000}"/>
    <cellStyle name="Normal 4 6 9 2 2" xfId="15283" xr:uid="{B08EA965-D054-4B8C-AF9E-21C389BF8453}"/>
    <cellStyle name="Normal 4 6 9 3" xfId="11065" xr:uid="{D7C6AF0E-666D-40FF-928B-07EDEB123509}"/>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2 2 2" xfId="15785" xr:uid="{7D39239F-DFD4-433F-A42E-5F0BB90B29EF}"/>
    <cellStyle name="Normal 4 7 2 2 2 3" xfId="11567" xr:uid="{87EA2B80-B459-4CE8-A099-9BA5507F4B90}"/>
    <cellStyle name="Normal 4 7 2 2 3" xfId="5190" xr:uid="{00000000-0005-0000-0000-0000A6160000}"/>
    <cellStyle name="Normal 4 7 2 2 3 2" xfId="13640" xr:uid="{0EF1F6FE-C565-4577-B8E6-5B90453A0ABB}"/>
    <cellStyle name="Normal 4 7 2 2 4" xfId="9422" xr:uid="{615DD840-CF75-40C0-AACD-6EBBA4EAE773}"/>
    <cellStyle name="Normal 4 7 2 3" xfId="1296" xr:uid="{00000000-0005-0000-0000-0000A7160000}"/>
    <cellStyle name="Normal 4 7 2 3 2" xfId="3526" xr:uid="{00000000-0005-0000-0000-0000A8160000}"/>
    <cellStyle name="Normal 4 7 2 3 2 2" xfId="7748" xr:uid="{00000000-0005-0000-0000-0000A9160000}"/>
    <cellStyle name="Normal 4 7 2 3 2 2 2" xfId="16198" xr:uid="{174B4204-7290-4257-97C1-297246F51575}"/>
    <cellStyle name="Normal 4 7 2 3 2 3" xfId="11980" xr:uid="{57C2A2B7-6B3C-4F47-B9FF-51EB262AC525}"/>
    <cellStyle name="Normal 4 7 2 3 3" xfId="5603" xr:uid="{00000000-0005-0000-0000-0000AA160000}"/>
    <cellStyle name="Normal 4 7 2 3 3 2" xfId="14053" xr:uid="{B2BA45CF-E651-4FDA-934D-3FF86937F49D}"/>
    <cellStyle name="Normal 4 7 2 3 4" xfId="9835" xr:uid="{7C278ACD-7EDD-4B51-BA55-B5C672607211}"/>
    <cellStyle name="Normal 4 7 2 4" xfId="1709" xr:uid="{00000000-0005-0000-0000-0000AB160000}"/>
    <cellStyle name="Normal 4 7 2 4 2" xfId="3939" xr:uid="{00000000-0005-0000-0000-0000AC160000}"/>
    <cellStyle name="Normal 4 7 2 4 2 2" xfId="8161" xr:uid="{00000000-0005-0000-0000-0000AD160000}"/>
    <cellStyle name="Normal 4 7 2 4 2 2 2" xfId="16611" xr:uid="{3351A1FA-5E56-406A-8A51-CF171308C7AA}"/>
    <cellStyle name="Normal 4 7 2 4 2 3" xfId="12393" xr:uid="{23392D8F-5074-40D9-952E-B162DB5AE9DA}"/>
    <cellStyle name="Normal 4 7 2 4 3" xfId="6016" xr:uid="{00000000-0005-0000-0000-0000AE160000}"/>
    <cellStyle name="Normal 4 7 2 4 3 2" xfId="14466" xr:uid="{48D2004C-7389-438D-BC77-479489EF082C}"/>
    <cellStyle name="Normal 4 7 2 4 4" xfId="10248" xr:uid="{3921CC97-0C52-424D-A601-811C71519AC2}"/>
    <cellStyle name="Normal 4 7 2 5" xfId="2123" xr:uid="{00000000-0005-0000-0000-0000AF160000}"/>
    <cellStyle name="Normal 4 7 2 5 2" xfId="4352" xr:uid="{00000000-0005-0000-0000-0000B0160000}"/>
    <cellStyle name="Normal 4 7 2 5 2 2" xfId="8574" xr:uid="{00000000-0005-0000-0000-0000B1160000}"/>
    <cellStyle name="Normal 4 7 2 5 2 2 2" xfId="17024" xr:uid="{B9683FC7-B667-4842-9C30-94E5F52D62B9}"/>
    <cellStyle name="Normal 4 7 2 5 2 3" xfId="12806" xr:uid="{7B1B748E-F287-4020-AF3F-0E80E5DCE350}"/>
    <cellStyle name="Normal 4 7 2 5 3" xfId="6429" xr:uid="{00000000-0005-0000-0000-0000B2160000}"/>
    <cellStyle name="Normal 4 7 2 5 3 2" xfId="14879" xr:uid="{3D2948A4-DF29-4F6B-90B4-61006F523430}"/>
    <cellStyle name="Normal 4 7 2 5 4" xfId="10661" xr:uid="{0FF73673-01CE-4066-BD56-038587058ABF}"/>
    <cellStyle name="Normal 4 7 2 6" xfId="2559" xr:uid="{00000000-0005-0000-0000-0000B3160000}"/>
    <cellStyle name="Normal 4 7 2 6 2" xfId="6842" xr:uid="{00000000-0005-0000-0000-0000B4160000}"/>
    <cellStyle name="Normal 4 7 2 6 2 2" xfId="15292" xr:uid="{3EBDED1E-98A7-42AC-BE61-9150C4387577}"/>
    <cellStyle name="Normal 4 7 2 6 3" xfId="11074" xr:uid="{E1241B43-8905-414C-9504-1DDD09009CCF}"/>
    <cellStyle name="Normal 4 7 2 7" xfId="4777" xr:uid="{00000000-0005-0000-0000-0000B5160000}"/>
    <cellStyle name="Normal 4 7 2 7 2" xfId="13227" xr:uid="{B72FD8D6-9657-4BDA-B0EA-92B0868E1AE0}"/>
    <cellStyle name="Normal 4 7 2 8" xfId="9009" xr:uid="{ED1F9601-D496-4981-8FE1-B84F5FAA74E8}"/>
    <cellStyle name="Normal 4 7 3" xfId="877" xr:uid="{00000000-0005-0000-0000-0000B6160000}"/>
    <cellStyle name="Normal 4 7 3 2" xfId="3112" xr:uid="{00000000-0005-0000-0000-0000B7160000}"/>
    <cellStyle name="Normal 4 7 3 2 2" xfId="7334" xr:uid="{00000000-0005-0000-0000-0000B8160000}"/>
    <cellStyle name="Normal 4 7 3 2 2 2" xfId="15784" xr:uid="{728E2350-4D46-417E-BFA3-A6CF34F3D358}"/>
    <cellStyle name="Normal 4 7 3 2 3" xfId="11566" xr:uid="{3DEC9276-F021-4128-8FC1-605F50F25A7B}"/>
    <cellStyle name="Normal 4 7 3 3" xfId="5189" xr:uid="{00000000-0005-0000-0000-0000B9160000}"/>
    <cellStyle name="Normal 4 7 3 3 2" xfId="13639" xr:uid="{783069EC-AE3A-4310-80BD-91493E651BF0}"/>
    <cellStyle name="Normal 4 7 3 4" xfId="9421" xr:uid="{36D1BEA4-19E9-4A74-BC8E-D4C427C65D35}"/>
    <cellStyle name="Normal 4 7 4" xfId="1295" xr:uid="{00000000-0005-0000-0000-0000BA160000}"/>
    <cellStyle name="Normal 4 7 4 2" xfId="3525" xr:uid="{00000000-0005-0000-0000-0000BB160000}"/>
    <cellStyle name="Normal 4 7 4 2 2" xfId="7747" xr:uid="{00000000-0005-0000-0000-0000BC160000}"/>
    <cellStyle name="Normal 4 7 4 2 2 2" xfId="16197" xr:uid="{28AE48F9-389C-4798-8535-B9E332F96305}"/>
    <cellStyle name="Normal 4 7 4 2 3" xfId="11979" xr:uid="{B6C9F292-7AEC-4DD1-BBD9-22B133EF8F86}"/>
    <cellStyle name="Normal 4 7 4 3" xfId="5602" xr:uid="{00000000-0005-0000-0000-0000BD160000}"/>
    <cellStyle name="Normal 4 7 4 3 2" xfId="14052" xr:uid="{402CEAA3-3D9D-4B51-9464-D8C62E497EC4}"/>
    <cellStyle name="Normal 4 7 4 4" xfId="9834" xr:uid="{17290109-91C4-4597-8F10-5EEADCDDF35D}"/>
    <cellStyle name="Normal 4 7 5" xfId="1708" xr:uid="{00000000-0005-0000-0000-0000BE160000}"/>
    <cellStyle name="Normal 4 7 5 2" xfId="3938" xr:uid="{00000000-0005-0000-0000-0000BF160000}"/>
    <cellStyle name="Normal 4 7 5 2 2" xfId="8160" xr:uid="{00000000-0005-0000-0000-0000C0160000}"/>
    <cellStyle name="Normal 4 7 5 2 2 2" xfId="16610" xr:uid="{827E332A-D5B2-4E21-BC5B-9D89D9A8415A}"/>
    <cellStyle name="Normal 4 7 5 2 3" xfId="12392" xr:uid="{051D6CBE-4C1B-4265-8629-A1A54DE85AD8}"/>
    <cellStyle name="Normal 4 7 5 3" xfId="6015" xr:uid="{00000000-0005-0000-0000-0000C1160000}"/>
    <cellStyle name="Normal 4 7 5 3 2" xfId="14465" xr:uid="{F97DD0D1-23C0-4686-BD3B-B52C40C4657E}"/>
    <cellStyle name="Normal 4 7 5 4" xfId="10247" xr:uid="{5E5C7EFC-6DCC-491A-9D50-DB76F9E2DFC1}"/>
    <cellStyle name="Normal 4 7 6" xfId="2122" xr:uid="{00000000-0005-0000-0000-0000C2160000}"/>
    <cellStyle name="Normal 4 7 6 2" xfId="4351" xr:uid="{00000000-0005-0000-0000-0000C3160000}"/>
    <cellStyle name="Normal 4 7 6 2 2" xfId="8573" xr:uid="{00000000-0005-0000-0000-0000C4160000}"/>
    <cellStyle name="Normal 4 7 6 2 2 2" xfId="17023" xr:uid="{8F7B4655-CE9D-42B5-9488-2753C9206C29}"/>
    <cellStyle name="Normal 4 7 6 2 3" xfId="12805" xr:uid="{03FFDAE3-6B7F-4CA8-B188-DC8C19453C51}"/>
    <cellStyle name="Normal 4 7 6 3" xfId="6428" xr:uid="{00000000-0005-0000-0000-0000C5160000}"/>
    <cellStyle name="Normal 4 7 6 3 2" xfId="14878" xr:uid="{D0A1C99D-C39F-4533-BBA2-56AE9959277C}"/>
    <cellStyle name="Normal 4 7 6 4" xfId="10660" xr:uid="{C7D0A782-02D6-450F-ADD8-5CFA7B72730B}"/>
    <cellStyle name="Normal 4 7 7" xfId="2558" xr:uid="{00000000-0005-0000-0000-0000C6160000}"/>
    <cellStyle name="Normal 4 7 7 2" xfId="6841" xr:uid="{00000000-0005-0000-0000-0000C7160000}"/>
    <cellStyle name="Normal 4 7 7 2 2" xfId="15291" xr:uid="{A88BF33A-321C-4DC8-8690-4B6D331C3D3C}"/>
    <cellStyle name="Normal 4 7 7 3" xfId="11073" xr:uid="{E34CA817-54CE-42EA-BCD1-5793B52A5B0B}"/>
    <cellStyle name="Normal 4 7 8" xfId="4776" xr:uid="{00000000-0005-0000-0000-0000C8160000}"/>
    <cellStyle name="Normal 4 7 8 2" xfId="13226" xr:uid="{0B9CE417-9EF2-446B-AC46-37B850DD4B46}"/>
    <cellStyle name="Normal 4 7 9" xfId="9008" xr:uid="{F4F7A21D-B9DC-4F06-A185-F9DDCC910685}"/>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2 2 2" xfId="15786" xr:uid="{FFFC7DD4-2053-4552-A02D-6E7DD7BCDA5C}"/>
    <cellStyle name="Normal 4 8 2 2 3" xfId="11568" xr:uid="{66EBE385-090F-4629-B8EC-A555F012715A}"/>
    <cellStyle name="Normal 4 8 2 3" xfId="5191" xr:uid="{00000000-0005-0000-0000-0000CD160000}"/>
    <cellStyle name="Normal 4 8 2 3 2" xfId="13641" xr:uid="{79B6A920-D775-4097-995A-47DF0B329C25}"/>
    <cellStyle name="Normal 4 8 2 4" xfId="9423" xr:uid="{6B380D09-F0AF-48FA-A283-FB56F86D6F7C}"/>
    <cellStyle name="Normal 4 8 3" xfId="1297" xr:uid="{00000000-0005-0000-0000-0000CE160000}"/>
    <cellStyle name="Normal 4 8 3 2" xfId="3527" xr:uid="{00000000-0005-0000-0000-0000CF160000}"/>
    <cellStyle name="Normal 4 8 3 2 2" xfId="7749" xr:uid="{00000000-0005-0000-0000-0000D0160000}"/>
    <cellStyle name="Normal 4 8 3 2 2 2" xfId="16199" xr:uid="{0030A949-A4D4-4A33-8A99-0327B5695E99}"/>
    <cellStyle name="Normal 4 8 3 2 3" xfId="11981" xr:uid="{F825159D-0707-4DBF-A3B7-78F6231EF504}"/>
    <cellStyle name="Normal 4 8 3 3" xfId="5604" xr:uid="{00000000-0005-0000-0000-0000D1160000}"/>
    <cellStyle name="Normal 4 8 3 3 2" xfId="14054" xr:uid="{53864990-5190-448C-8CB5-07273CAE5040}"/>
    <cellStyle name="Normal 4 8 3 4" xfId="9836" xr:uid="{D9D5F5E3-EEB3-49AD-95B9-82F178D28ADD}"/>
    <cellStyle name="Normal 4 8 4" xfId="1710" xr:uid="{00000000-0005-0000-0000-0000D2160000}"/>
    <cellStyle name="Normal 4 8 4 2" xfId="3940" xr:uid="{00000000-0005-0000-0000-0000D3160000}"/>
    <cellStyle name="Normal 4 8 4 2 2" xfId="8162" xr:uid="{00000000-0005-0000-0000-0000D4160000}"/>
    <cellStyle name="Normal 4 8 4 2 2 2" xfId="16612" xr:uid="{12694305-83C7-458B-A73F-011733472C1F}"/>
    <cellStyle name="Normal 4 8 4 2 3" xfId="12394" xr:uid="{C80D0752-579B-4489-B565-2E4AE5BAE2B6}"/>
    <cellStyle name="Normal 4 8 4 3" xfId="6017" xr:uid="{00000000-0005-0000-0000-0000D5160000}"/>
    <cellStyle name="Normal 4 8 4 3 2" xfId="14467" xr:uid="{7B328492-AA4B-4D4A-9D96-96980BD80D27}"/>
    <cellStyle name="Normal 4 8 4 4" xfId="10249" xr:uid="{37788897-CFD3-48F3-84E3-0CB4116DDD50}"/>
    <cellStyle name="Normal 4 8 5" xfId="2124" xr:uid="{00000000-0005-0000-0000-0000D6160000}"/>
    <cellStyle name="Normal 4 8 5 2" xfId="4353" xr:uid="{00000000-0005-0000-0000-0000D7160000}"/>
    <cellStyle name="Normal 4 8 5 2 2" xfId="8575" xr:uid="{00000000-0005-0000-0000-0000D8160000}"/>
    <cellStyle name="Normal 4 8 5 2 2 2" xfId="17025" xr:uid="{2741C183-30AA-45BF-9F80-D406D2B0572A}"/>
    <cellStyle name="Normal 4 8 5 2 3" xfId="12807" xr:uid="{D1707314-8E5A-410B-9BA1-78EBFFC861FB}"/>
    <cellStyle name="Normal 4 8 5 3" xfId="6430" xr:uid="{00000000-0005-0000-0000-0000D9160000}"/>
    <cellStyle name="Normal 4 8 5 3 2" xfId="14880" xr:uid="{1E4D7C9D-547C-4380-97AC-B14287202AFA}"/>
    <cellStyle name="Normal 4 8 5 4" xfId="10662" xr:uid="{D207EBAC-9358-4EBA-B903-8CB1EF1CFA39}"/>
    <cellStyle name="Normal 4 8 6" xfId="2560" xr:uid="{00000000-0005-0000-0000-0000DA160000}"/>
    <cellStyle name="Normal 4 8 6 2" xfId="6843" xr:uid="{00000000-0005-0000-0000-0000DB160000}"/>
    <cellStyle name="Normal 4 8 6 2 2" xfId="15293" xr:uid="{06CFE30C-BB9B-4F1A-A2A4-2D447CB681B1}"/>
    <cellStyle name="Normal 4 8 6 3" xfId="11075" xr:uid="{747CF4E4-748B-4F76-9815-BA5D3636AC56}"/>
    <cellStyle name="Normal 4 8 7" xfId="4778" xr:uid="{00000000-0005-0000-0000-0000DC160000}"/>
    <cellStyle name="Normal 4 8 7 2" xfId="13228" xr:uid="{0928F07C-01DF-472D-82E8-3EE49BFDBEEA}"/>
    <cellStyle name="Normal 4 8 8" xfId="9010" xr:uid="{2D850D7C-58DA-426E-A9C5-78408AFF55BE}"/>
    <cellStyle name="Normal 4 9" xfId="4715" xr:uid="{00000000-0005-0000-0000-0000DD160000}"/>
    <cellStyle name="Normal 4 9 2" xfId="13165" xr:uid="{91BB7F12-2903-4423-871E-8DBEB41FA4E4}"/>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2 2 2" xfId="16613" xr:uid="{B5408773-D061-433C-A49E-3938CCDEACB9}"/>
    <cellStyle name="Normal 5 10 2 3" xfId="12395" xr:uid="{11CA35F3-5E02-4745-8A30-D419361D4E9C}"/>
    <cellStyle name="Normal 5 10 3" xfId="6018" xr:uid="{00000000-0005-0000-0000-0000E2160000}"/>
    <cellStyle name="Normal 5 10 3 2" xfId="14468" xr:uid="{2C9DDAC3-E180-42C3-AE38-B87211E2A716}"/>
    <cellStyle name="Normal 5 10 4" xfId="10250" xr:uid="{C9E764F3-9793-45E8-996C-2D5CAC7EF57F}"/>
    <cellStyle name="Normal 5 11" xfId="2125" xr:uid="{00000000-0005-0000-0000-0000E3160000}"/>
    <cellStyle name="Normal 5 11 2" xfId="4354" xr:uid="{00000000-0005-0000-0000-0000E4160000}"/>
    <cellStyle name="Normal 5 11 2 2" xfId="8576" xr:uid="{00000000-0005-0000-0000-0000E5160000}"/>
    <cellStyle name="Normal 5 11 2 2 2" xfId="17026" xr:uid="{2D9D6727-79FC-427B-84D4-B1D46C6AB628}"/>
    <cellStyle name="Normal 5 11 2 3" xfId="12808" xr:uid="{AD039090-ADDF-4C90-AC6A-62845F4AC359}"/>
    <cellStyle name="Normal 5 11 3" xfId="6431" xr:uid="{00000000-0005-0000-0000-0000E6160000}"/>
    <cellStyle name="Normal 5 11 3 2" xfId="14881" xr:uid="{3CD61359-48CB-4814-A1AF-B5D74C94D5B8}"/>
    <cellStyle name="Normal 5 11 4" xfId="10663" xr:uid="{81F1B59F-7889-4F0A-8264-14865B15BA0D}"/>
    <cellStyle name="Normal 5 12" xfId="2561" xr:uid="{00000000-0005-0000-0000-0000E7160000}"/>
    <cellStyle name="Normal 5 12 2" xfId="6844" xr:uid="{00000000-0005-0000-0000-0000E8160000}"/>
    <cellStyle name="Normal 5 12 2 2" xfId="15294" xr:uid="{2B939D12-858C-44A4-8830-1099495233BA}"/>
    <cellStyle name="Normal 5 12 3" xfId="11076" xr:uid="{ACDF40A1-3F38-4252-8621-E0CFAD6ADEF6}"/>
    <cellStyle name="Normal 5 13" xfId="4779" xr:uid="{00000000-0005-0000-0000-0000E9160000}"/>
    <cellStyle name="Normal 5 13 2" xfId="13229" xr:uid="{478F2455-5F9D-4F2B-BCE7-F75D3FF4B032}"/>
    <cellStyle name="Normal 5 14" xfId="9011" xr:uid="{B8928269-95C6-4E31-A366-AA98EB414837}"/>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2 2 2" xfId="17027" xr:uid="{0520F103-A8E5-4857-A988-255971C0A162}"/>
    <cellStyle name="Normal 5 2 10 2 3" xfId="12809" xr:uid="{495FFCC2-43C1-426A-8EB2-71D4D10525CD}"/>
    <cellStyle name="Normal 5 2 10 3" xfId="6432" xr:uid="{00000000-0005-0000-0000-0000EE160000}"/>
    <cellStyle name="Normal 5 2 10 3 2" xfId="14882" xr:uid="{DC5B43FF-A8F0-409E-AAA3-E131FE55EF60}"/>
    <cellStyle name="Normal 5 2 10 4" xfId="10664" xr:uid="{F0088160-E492-4007-AE47-59274CDC1AD9}"/>
    <cellStyle name="Normal 5 2 11" xfId="2562" xr:uid="{00000000-0005-0000-0000-0000EF160000}"/>
    <cellStyle name="Normal 5 2 11 2" xfId="6845" xr:uid="{00000000-0005-0000-0000-0000F0160000}"/>
    <cellStyle name="Normal 5 2 11 2 2" xfId="15295" xr:uid="{F0CA7E62-ACC1-4FEA-9399-6F561E7D49D0}"/>
    <cellStyle name="Normal 5 2 11 3" xfId="11077" xr:uid="{BC0F93FE-A3B1-4F10-8F46-42DF2F758A88}"/>
    <cellStyle name="Normal 5 2 12" xfId="4780" xr:uid="{00000000-0005-0000-0000-0000F1160000}"/>
    <cellStyle name="Normal 5 2 12 2" xfId="13230" xr:uid="{0E899DEA-3658-4B9C-816D-085241ABD200}"/>
    <cellStyle name="Normal 5 2 13" xfId="9012" xr:uid="{1330774E-EA41-42C6-83DB-7F1692837D57}"/>
    <cellStyle name="Normal 5 2 2" xfId="408" xr:uid="{00000000-0005-0000-0000-0000F2160000}"/>
    <cellStyle name="Normal 5 2 2 10" xfId="2563" xr:uid="{00000000-0005-0000-0000-0000F3160000}"/>
    <cellStyle name="Normal 5 2 2 10 2" xfId="6846" xr:uid="{00000000-0005-0000-0000-0000F4160000}"/>
    <cellStyle name="Normal 5 2 2 10 2 2" xfId="15296" xr:uid="{D1837267-3879-4148-9B51-27A370803A15}"/>
    <cellStyle name="Normal 5 2 2 10 3" xfId="11078" xr:uid="{528CC6A9-A752-4649-B3B2-5CA8C84D8769}"/>
    <cellStyle name="Normal 5 2 2 11" xfId="4781" xr:uid="{00000000-0005-0000-0000-0000F5160000}"/>
    <cellStyle name="Normal 5 2 2 11 2" xfId="13231" xr:uid="{A63D7E99-E87F-4363-B72D-172B21E3F5A7}"/>
    <cellStyle name="Normal 5 2 2 12" xfId="9013" xr:uid="{938BBA18-107C-4E2C-B416-DA57E57EECF5}"/>
    <cellStyle name="Normal 5 2 2 2" xfId="409" xr:uid="{00000000-0005-0000-0000-0000F6160000}"/>
    <cellStyle name="Normal 5 2 2 2 10" xfId="4782" xr:uid="{00000000-0005-0000-0000-0000F7160000}"/>
    <cellStyle name="Normal 5 2 2 2 10 2" xfId="13232" xr:uid="{F601872D-1FA7-43F5-99C9-2703F450DDA3}"/>
    <cellStyle name="Normal 5 2 2 2 11" xfId="9014" xr:uid="{E79330CA-0452-45DE-8D37-32B8DDFF903C}"/>
    <cellStyle name="Normal 5 2 2 2 2" xfId="410" xr:uid="{00000000-0005-0000-0000-0000F8160000}"/>
    <cellStyle name="Normal 5 2 2 2 2 10" xfId="9015" xr:uid="{8332A06A-6926-4F4F-8FE9-6F466F0305C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2 2 2" xfId="15793" xr:uid="{65101E54-636E-49DD-825A-95477AFCE9B2}"/>
    <cellStyle name="Normal 5 2 2 2 2 2 2 2 2 3" xfId="11575" xr:uid="{91AA0792-7098-4CD3-BF7A-50B7D2F195B2}"/>
    <cellStyle name="Normal 5 2 2 2 2 2 2 2 3" xfId="5198" xr:uid="{00000000-0005-0000-0000-0000FE160000}"/>
    <cellStyle name="Normal 5 2 2 2 2 2 2 2 3 2" xfId="13648" xr:uid="{FA2F9146-6DE0-4FDD-9258-0CEE275B770A}"/>
    <cellStyle name="Normal 5 2 2 2 2 2 2 2 4" xfId="9430" xr:uid="{64AECE0D-135D-4175-BCC7-1C4D90CD877C}"/>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2 2 2" xfId="16206" xr:uid="{916B1F6D-B50E-4FD9-BD59-34D8A08EBD9E}"/>
    <cellStyle name="Normal 5 2 2 2 2 2 2 3 2 3" xfId="11988" xr:uid="{5111F7BB-DED5-4049-A776-5ACA46E1D1C7}"/>
    <cellStyle name="Normal 5 2 2 2 2 2 2 3 3" xfId="5611" xr:uid="{00000000-0005-0000-0000-000002170000}"/>
    <cellStyle name="Normal 5 2 2 2 2 2 2 3 3 2" xfId="14061" xr:uid="{9E4EADF3-CFFD-42CA-9B0E-D6E80C50EB3F}"/>
    <cellStyle name="Normal 5 2 2 2 2 2 2 3 4" xfId="9843" xr:uid="{94FAE945-B6D0-4856-9629-5A9ED5AE1F85}"/>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2 2 2" xfId="16619" xr:uid="{B62C2ED2-6AD7-4A4F-8D94-C31E3086C91C}"/>
    <cellStyle name="Normal 5 2 2 2 2 2 2 4 2 3" xfId="12401" xr:uid="{239DF5E7-8E95-4953-901A-923FF1D0B292}"/>
    <cellStyle name="Normal 5 2 2 2 2 2 2 4 3" xfId="6024" xr:uid="{00000000-0005-0000-0000-000006170000}"/>
    <cellStyle name="Normal 5 2 2 2 2 2 2 4 3 2" xfId="14474" xr:uid="{8DA2E7F4-AAB1-4C66-809F-CFEFFE1A44C9}"/>
    <cellStyle name="Normal 5 2 2 2 2 2 2 4 4" xfId="10256" xr:uid="{14AF4D69-9ED9-4A2C-9FB6-445BB10B60B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2 2 2" xfId="17032" xr:uid="{55048CE1-8AD8-4B6A-8D4F-2B85D08E89DE}"/>
    <cellStyle name="Normal 5 2 2 2 2 2 2 5 2 3" xfId="12814" xr:uid="{29B8C3C7-8220-452D-A38F-4941ED7B1224}"/>
    <cellStyle name="Normal 5 2 2 2 2 2 2 5 3" xfId="6437" xr:uid="{00000000-0005-0000-0000-00000A170000}"/>
    <cellStyle name="Normal 5 2 2 2 2 2 2 5 3 2" xfId="14887" xr:uid="{E8AEE606-5C90-47CF-AA4E-3CDAEA798CB0}"/>
    <cellStyle name="Normal 5 2 2 2 2 2 2 5 4" xfId="10669" xr:uid="{8F89351F-D1B2-4DF9-AAB8-4FA8BC54A173}"/>
    <cellStyle name="Normal 5 2 2 2 2 2 2 6" xfId="2567" xr:uid="{00000000-0005-0000-0000-00000B170000}"/>
    <cellStyle name="Normal 5 2 2 2 2 2 2 6 2" xfId="6850" xr:uid="{00000000-0005-0000-0000-00000C170000}"/>
    <cellStyle name="Normal 5 2 2 2 2 2 2 6 2 2" xfId="15300" xr:uid="{06EFEE3D-8D7C-4863-88BA-38C66E40D3AF}"/>
    <cellStyle name="Normal 5 2 2 2 2 2 2 6 3" xfId="11082" xr:uid="{8640FCDA-0552-41C2-AAAA-C67CD7932F71}"/>
    <cellStyle name="Normal 5 2 2 2 2 2 2 7" xfId="4785" xr:uid="{00000000-0005-0000-0000-00000D170000}"/>
    <cellStyle name="Normal 5 2 2 2 2 2 2 7 2" xfId="13235" xr:uid="{5983D31F-7357-47C3-B2C7-2B47E26C72A6}"/>
    <cellStyle name="Normal 5 2 2 2 2 2 2 8" xfId="9017" xr:uid="{F63199FB-9771-4912-9388-FF5383CF00E7}"/>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2 2 2" xfId="15792" xr:uid="{EEA78EC5-7A67-4D58-BBA3-8CBD5255F22D}"/>
    <cellStyle name="Normal 5 2 2 2 2 2 3 2 3" xfId="11574" xr:uid="{B2E010BB-9B0F-40F6-8A93-A0FE4D28CCC9}"/>
    <cellStyle name="Normal 5 2 2 2 2 2 3 3" xfId="5197" xr:uid="{00000000-0005-0000-0000-000011170000}"/>
    <cellStyle name="Normal 5 2 2 2 2 2 3 3 2" xfId="13647" xr:uid="{C6ECBAA5-4162-4EAD-BDB8-24C3CF977CD4}"/>
    <cellStyle name="Normal 5 2 2 2 2 2 3 4" xfId="9429" xr:uid="{6D1C75FD-2132-48A7-9F62-81AAF5B4D8D1}"/>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2 2 2" xfId="16205" xr:uid="{93844689-A4ED-4B04-8E60-F231B85AD297}"/>
    <cellStyle name="Normal 5 2 2 2 2 2 4 2 3" xfId="11987" xr:uid="{E4725EDA-3DE6-4A7B-912B-4AD35C465364}"/>
    <cellStyle name="Normal 5 2 2 2 2 2 4 3" xfId="5610" xr:uid="{00000000-0005-0000-0000-000015170000}"/>
    <cellStyle name="Normal 5 2 2 2 2 2 4 3 2" xfId="14060" xr:uid="{151610E3-AAAB-4AD0-A192-B5FAFCDD4161}"/>
    <cellStyle name="Normal 5 2 2 2 2 2 4 4" xfId="9842" xr:uid="{7C8DC96D-EA1A-48E6-AA9C-0F9D03B01BD5}"/>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2 2 2" xfId="16618" xr:uid="{423B2DF3-CFC4-417E-8A90-F82F91303D10}"/>
    <cellStyle name="Normal 5 2 2 2 2 2 5 2 3" xfId="12400" xr:uid="{46792EDD-89AD-4269-A302-4F7E55E82E68}"/>
    <cellStyle name="Normal 5 2 2 2 2 2 5 3" xfId="6023" xr:uid="{00000000-0005-0000-0000-000019170000}"/>
    <cellStyle name="Normal 5 2 2 2 2 2 5 3 2" xfId="14473" xr:uid="{34E48E7F-8236-4FC6-8DD9-D4D89560D9C6}"/>
    <cellStyle name="Normal 5 2 2 2 2 2 5 4" xfId="10255" xr:uid="{86B6F780-C795-43D7-BA6F-E04E3EB30518}"/>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2 2 2" xfId="17031" xr:uid="{11392A44-7574-476B-B28B-041A173E6525}"/>
    <cellStyle name="Normal 5 2 2 2 2 2 6 2 3" xfId="12813" xr:uid="{46420759-129D-49D5-B7EC-3F81A746E326}"/>
    <cellStyle name="Normal 5 2 2 2 2 2 6 3" xfId="6436" xr:uid="{00000000-0005-0000-0000-00001D170000}"/>
    <cellStyle name="Normal 5 2 2 2 2 2 6 3 2" xfId="14886" xr:uid="{56FAF18C-466B-441D-A84C-2C3D2AD5216B}"/>
    <cellStyle name="Normal 5 2 2 2 2 2 6 4" xfId="10668" xr:uid="{246BBD5C-E024-4553-96BB-F57C4CACE59C}"/>
    <cellStyle name="Normal 5 2 2 2 2 2 7" xfId="2566" xr:uid="{00000000-0005-0000-0000-00001E170000}"/>
    <cellStyle name="Normal 5 2 2 2 2 2 7 2" xfId="6849" xr:uid="{00000000-0005-0000-0000-00001F170000}"/>
    <cellStyle name="Normal 5 2 2 2 2 2 7 2 2" xfId="15299" xr:uid="{0E30CB19-5E69-421B-84BB-06CCC93705E3}"/>
    <cellStyle name="Normal 5 2 2 2 2 2 7 3" xfId="11081" xr:uid="{15B3663B-32C3-40A4-A2C1-2277B1E23880}"/>
    <cellStyle name="Normal 5 2 2 2 2 2 8" xfId="4784" xr:uid="{00000000-0005-0000-0000-000020170000}"/>
    <cellStyle name="Normal 5 2 2 2 2 2 8 2" xfId="13234" xr:uid="{DB7D729F-8A56-4537-85E8-8082524C078D}"/>
    <cellStyle name="Normal 5 2 2 2 2 2 9" xfId="9016" xr:uid="{652D775D-DE54-49EF-AF7C-D78EE41571BE}"/>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2 2 2" xfId="15794" xr:uid="{65B45E6A-50E7-4BC1-A78A-DB208BCDF160}"/>
    <cellStyle name="Normal 5 2 2 2 2 3 2 2 3" xfId="11576" xr:uid="{39F9778A-A36F-46AC-A6F5-A7791E842F23}"/>
    <cellStyle name="Normal 5 2 2 2 2 3 2 3" xfId="5199" xr:uid="{00000000-0005-0000-0000-000025170000}"/>
    <cellStyle name="Normal 5 2 2 2 2 3 2 3 2" xfId="13649" xr:uid="{54D363A3-A382-4445-B926-DCC3CD372A7A}"/>
    <cellStyle name="Normal 5 2 2 2 2 3 2 4" xfId="9431" xr:uid="{814D3470-E203-4D0A-947B-007321204343}"/>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2 2 2" xfId="16207" xr:uid="{2EAC68A0-B9E9-4251-9D03-50B6846D0519}"/>
    <cellStyle name="Normal 5 2 2 2 2 3 3 2 3" xfId="11989" xr:uid="{4465FA70-2B4C-446F-8596-1DB7D90C2D29}"/>
    <cellStyle name="Normal 5 2 2 2 2 3 3 3" xfId="5612" xr:uid="{00000000-0005-0000-0000-000029170000}"/>
    <cellStyle name="Normal 5 2 2 2 2 3 3 3 2" xfId="14062" xr:uid="{F8EDB17E-42D0-468A-8DD1-116CC1C63192}"/>
    <cellStyle name="Normal 5 2 2 2 2 3 3 4" xfId="9844" xr:uid="{C12F7A60-8E34-49FA-A5AF-08D434D17E4C}"/>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2 2 2" xfId="16620" xr:uid="{2D63E46E-E3C9-4EF4-A49D-BABDB95CF818}"/>
    <cellStyle name="Normal 5 2 2 2 2 3 4 2 3" xfId="12402" xr:uid="{DCE1BE3F-7F69-402D-AD0E-EBE7E971D8CB}"/>
    <cellStyle name="Normal 5 2 2 2 2 3 4 3" xfId="6025" xr:uid="{00000000-0005-0000-0000-00002D170000}"/>
    <cellStyle name="Normal 5 2 2 2 2 3 4 3 2" xfId="14475" xr:uid="{84AEBE65-611B-484C-8A6E-727B3F89A7C8}"/>
    <cellStyle name="Normal 5 2 2 2 2 3 4 4" xfId="10257" xr:uid="{4E6FC729-566E-47AB-A1F7-46CFDB9A624F}"/>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2 2 2" xfId="17033" xr:uid="{BE082185-F849-40A6-9142-7E2DE94FBDC0}"/>
    <cellStyle name="Normal 5 2 2 2 2 3 5 2 3" xfId="12815" xr:uid="{F29D9AA3-CAFD-4B45-B49F-AE10F0FE97F3}"/>
    <cellStyle name="Normal 5 2 2 2 2 3 5 3" xfId="6438" xr:uid="{00000000-0005-0000-0000-000031170000}"/>
    <cellStyle name="Normal 5 2 2 2 2 3 5 3 2" xfId="14888" xr:uid="{3DFC8D30-80ED-4805-8733-D1D2D56FF09A}"/>
    <cellStyle name="Normal 5 2 2 2 2 3 5 4" xfId="10670" xr:uid="{36A35E53-CF34-4B27-A663-D57F2A23608B}"/>
    <cellStyle name="Normal 5 2 2 2 2 3 6" xfId="2568" xr:uid="{00000000-0005-0000-0000-000032170000}"/>
    <cellStyle name="Normal 5 2 2 2 2 3 6 2" xfId="6851" xr:uid="{00000000-0005-0000-0000-000033170000}"/>
    <cellStyle name="Normal 5 2 2 2 2 3 6 2 2" xfId="15301" xr:uid="{56152122-017B-4190-8BEB-D0171DD7372A}"/>
    <cellStyle name="Normal 5 2 2 2 2 3 6 3" xfId="11083" xr:uid="{285160C3-D3FA-4808-BD43-5125DF80BB36}"/>
    <cellStyle name="Normal 5 2 2 2 2 3 7" xfId="4786" xr:uid="{00000000-0005-0000-0000-000034170000}"/>
    <cellStyle name="Normal 5 2 2 2 2 3 7 2" xfId="13236" xr:uid="{8D9F6888-0BA0-4957-A01E-3D0986407DF1}"/>
    <cellStyle name="Normal 5 2 2 2 2 3 8" xfId="9018" xr:uid="{9B19EDFD-C73B-43EB-A78E-14D3A0F66C44}"/>
    <cellStyle name="Normal 5 2 2 2 2 4" xfId="884" xr:uid="{00000000-0005-0000-0000-000035170000}"/>
    <cellStyle name="Normal 5 2 2 2 2 4 2" xfId="3119" xr:uid="{00000000-0005-0000-0000-000036170000}"/>
    <cellStyle name="Normal 5 2 2 2 2 4 2 2" xfId="7341" xr:uid="{00000000-0005-0000-0000-000037170000}"/>
    <cellStyle name="Normal 5 2 2 2 2 4 2 2 2" xfId="15791" xr:uid="{0D8E1148-3FBB-4CEF-8FDD-20355FB98FEB}"/>
    <cellStyle name="Normal 5 2 2 2 2 4 2 3" xfId="11573" xr:uid="{8EBFDB5A-A19C-43A5-9BD9-C14F4FFE8710}"/>
    <cellStyle name="Normal 5 2 2 2 2 4 3" xfId="5196" xr:uid="{00000000-0005-0000-0000-000038170000}"/>
    <cellStyle name="Normal 5 2 2 2 2 4 3 2" xfId="13646" xr:uid="{B31FD1DD-3678-4DD4-8030-4FC642123B2A}"/>
    <cellStyle name="Normal 5 2 2 2 2 4 4" xfId="9428" xr:uid="{8E20BA3D-FF87-491A-ACB1-0F4214D3D874}"/>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2 2 2" xfId="16204" xr:uid="{E0A62A51-49E7-44D4-8E89-924D894E267B}"/>
    <cellStyle name="Normal 5 2 2 2 2 5 2 3" xfId="11986" xr:uid="{97645E1F-7D44-4E0B-BC17-ABE85781F04F}"/>
    <cellStyle name="Normal 5 2 2 2 2 5 3" xfId="5609" xr:uid="{00000000-0005-0000-0000-00003C170000}"/>
    <cellStyle name="Normal 5 2 2 2 2 5 3 2" xfId="14059" xr:uid="{830A825B-EFB7-4748-9F15-932C185BCDB4}"/>
    <cellStyle name="Normal 5 2 2 2 2 5 4" xfId="9841" xr:uid="{81BE86AF-0993-4547-A1E9-A843677FE8F8}"/>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2 2 2" xfId="16617" xr:uid="{03DBF9CF-61C4-4FCD-8C71-490A9E98ABAB}"/>
    <cellStyle name="Normal 5 2 2 2 2 6 2 3" xfId="12399" xr:uid="{25CE8BE1-1842-4E5F-B545-C2C7D9F52009}"/>
    <cellStyle name="Normal 5 2 2 2 2 6 3" xfId="6022" xr:uid="{00000000-0005-0000-0000-000040170000}"/>
    <cellStyle name="Normal 5 2 2 2 2 6 3 2" xfId="14472" xr:uid="{30A517A3-FBBE-401D-910B-C10495085076}"/>
    <cellStyle name="Normal 5 2 2 2 2 6 4" xfId="10254" xr:uid="{730CA216-F89C-42B1-8224-0EBF1C7B998E}"/>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2 2 2" xfId="17030" xr:uid="{8C016361-62BB-4C5C-B737-CA01BD468242}"/>
    <cellStyle name="Normal 5 2 2 2 2 7 2 3" xfId="12812" xr:uid="{906EAE9E-B2AF-4BF7-969A-0CAF473D5684}"/>
    <cellStyle name="Normal 5 2 2 2 2 7 3" xfId="6435" xr:uid="{00000000-0005-0000-0000-000044170000}"/>
    <cellStyle name="Normal 5 2 2 2 2 7 3 2" xfId="14885" xr:uid="{A9A4B807-1B7B-4B5A-A467-8E9D1A5E896D}"/>
    <cellStyle name="Normal 5 2 2 2 2 7 4" xfId="10667" xr:uid="{A3EA7F6D-304C-4592-B67B-5E5DB73C353C}"/>
    <cellStyle name="Normal 5 2 2 2 2 8" xfId="2565" xr:uid="{00000000-0005-0000-0000-000045170000}"/>
    <cellStyle name="Normal 5 2 2 2 2 8 2" xfId="6848" xr:uid="{00000000-0005-0000-0000-000046170000}"/>
    <cellStyle name="Normal 5 2 2 2 2 8 2 2" xfId="15298" xr:uid="{5AD11376-E0B8-4578-BEFC-F3FB449DCA23}"/>
    <cellStyle name="Normal 5 2 2 2 2 8 3" xfId="11080" xr:uid="{D76AB373-2072-4FAA-9356-6B62183BEABD}"/>
    <cellStyle name="Normal 5 2 2 2 2 9" xfId="4783" xr:uid="{00000000-0005-0000-0000-000047170000}"/>
    <cellStyle name="Normal 5 2 2 2 2 9 2" xfId="13233" xr:uid="{31D26C90-FBEB-42C0-A0A6-690B0548AFE9}"/>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2 2 2" xfId="15796" xr:uid="{F1D7FD00-6243-4A61-A31C-85A647CB2C84}"/>
    <cellStyle name="Normal 5 2 2 2 3 2 2 2 3" xfId="11578" xr:uid="{0797EB7D-3F94-4142-A1AB-E8D781E0BE68}"/>
    <cellStyle name="Normal 5 2 2 2 3 2 2 3" xfId="5201" xr:uid="{00000000-0005-0000-0000-00004D170000}"/>
    <cellStyle name="Normal 5 2 2 2 3 2 2 3 2" xfId="13651" xr:uid="{E30532DB-4FC4-4970-9371-3E89FEDE3DE1}"/>
    <cellStyle name="Normal 5 2 2 2 3 2 2 4" xfId="9433" xr:uid="{54FF0E98-0C67-4338-85BD-4DEBEB2D1B18}"/>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2 2 2" xfId="16209" xr:uid="{56BE4D10-091C-4326-9131-611708CAC68D}"/>
    <cellStyle name="Normal 5 2 2 2 3 2 3 2 3" xfId="11991" xr:uid="{09CDBA79-F47A-4D83-AC62-E717F36B6280}"/>
    <cellStyle name="Normal 5 2 2 2 3 2 3 3" xfId="5614" xr:uid="{00000000-0005-0000-0000-000051170000}"/>
    <cellStyle name="Normal 5 2 2 2 3 2 3 3 2" xfId="14064" xr:uid="{EC288993-0C69-4EF4-97F1-E7B6FFDBAB7A}"/>
    <cellStyle name="Normal 5 2 2 2 3 2 3 4" xfId="9846" xr:uid="{84908697-D3BC-4484-8200-7CB48DC5F476}"/>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2 2 2" xfId="16622" xr:uid="{ACE87B40-DCE7-4C74-A4E6-73A4DCCEA18F}"/>
    <cellStyle name="Normal 5 2 2 2 3 2 4 2 3" xfId="12404" xr:uid="{50EB2A3D-0728-4B9A-8E3C-FA10FB6A29ED}"/>
    <cellStyle name="Normal 5 2 2 2 3 2 4 3" xfId="6027" xr:uid="{00000000-0005-0000-0000-000055170000}"/>
    <cellStyle name="Normal 5 2 2 2 3 2 4 3 2" xfId="14477" xr:uid="{94D56804-8608-4248-8BC1-CA7DC317E59D}"/>
    <cellStyle name="Normal 5 2 2 2 3 2 4 4" xfId="10259" xr:uid="{A3047ACF-AC26-49E2-B79D-6E67CCE6425A}"/>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2 2 2" xfId="17035" xr:uid="{EA0AF3BA-4137-43CD-87A4-B987347E1655}"/>
    <cellStyle name="Normal 5 2 2 2 3 2 5 2 3" xfId="12817" xr:uid="{A93BA55E-2F64-462B-944E-8DAE41CC3991}"/>
    <cellStyle name="Normal 5 2 2 2 3 2 5 3" xfId="6440" xr:uid="{00000000-0005-0000-0000-000059170000}"/>
    <cellStyle name="Normal 5 2 2 2 3 2 5 3 2" xfId="14890" xr:uid="{DD948A65-2627-46BB-807E-A7106AA60C02}"/>
    <cellStyle name="Normal 5 2 2 2 3 2 5 4" xfId="10672" xr:uid="{98BBCDF4-5839-47A8-B475-BF50F23455D1}"/>
    <cellStyle name="Normal 5 2 2 2 3 2 6" xfId="2570" xr:uid="{00000000-0005-0000-0000-00005A170000}"/>
    <cellStyle name="Normal 5 2 2 2 3 2 6 2" xfId="6853" xr:uid="{00000000-0005-0000-0000-00005B170000}"/>
    <cellStyle name="Normal 5 2 2 2 3 2 6 2 2" xfId="15303" xr:uid="{34EA792B-9733-4854-B6A0-FFA6CB048ABF}"/>
    <cellStyle name="Normal 5 2 2 2 3 2 6 3" xfId="11085" xr:uid="{48F109C2-0ADA-4AB2-9060-AA75E2EB5CF6}"/>
    <cellStyle name="Normal 5 2 2 2 3 2 7" xfId="4788" xr:uid="{00000000-0005-0000-0000-00005C170000}"/>
    <cellStyle name="Normal 5 2 2 2 3 2 7 2" xfId="13238" xr:uid="{9BE4BCF1-FF47-4B10-AED4-E3C82F466F00}"/>
    <cellStyle name="Normal 5 2 2 2 3 2 8" xfId="9020" xr:uid="{B60F2504-506B-4E89-988F-3D8ED1013BB0}"/>
    <cellStyle name="Normal 5 2 2 2 3 3" xfId="888" xr:uid="{00000000-0005-0000-0000-00005D170000}"/>
    <cellStyle name="Normal 5 2 2 2 3 3 2" xfId="3123" xr:uid="{00000000-0005-0000-0000-00005E170000}"/>
    <cellStyle name="Normal 5 2 2 2 3 3 2 2" xfId="7345" xr:uid="{00000000-0005-0000-0000-00005F170000}"/>
    <cellStyle name="Normal 5 2 2 2 3 3 2 2 2" xfId="15795" xr:uid="{1D55D313-A4DE-4E22-93F5-2BF0BE1EA01A}"/>
    <cellStyle name="Normal 5 2 2 2 3 3 2 3" xfId="11577" xr:uid="{E80296D6-60E2-42FC-983B-EF82A55C3568}"/>
    <cellStyle name="Normal 5 2 2 2 3 3 3" xfId="5200" xr:uid="{00000000-0005-0000-0000-000060170000}"/>
    <cellStyle name="Normal 5 2 2 2 3 3 3 2" xfId="13650" xr:uid="{0C85F28B-9F70-4046-BCDC-77FBB460F62B}"/>
    <cellStyle name="Normal 5 2 2 2 3 3 4" xfId="9432" xr:uid="{84F4388F-C2C8-4A73-9626-F335CBD7B22A}"/>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2 2 2" xfId="16208" xr:uid="{C42E9E85-92C7-477A-84DB-930A3A303804}"/>
    <cellStyle name="Normal 5 2 2 2 3 4 2 3" xfId="11990" xr:uid="{EE3B68A2-756C-41A9-90E1-E5E4DD1C3E66}"/>
    <cellStyle name="Normal 5 2 2 2 3 4 3" xfId="5613" xr:uid="{00000000-0005-0000-0000-000064170000}"/>
    <cellStyle name="Normal 5 2 2 2 3 4 3 2" xfId="14063" xr:uid="{BECD508F-8F6F-4FBF-A31A-43711602B32B}"/>
    <cellStyle name="Normal 5 2 2 2 3 4 4" xfId="9845" xr:uid="{BF0E4571-3AEA-415F-8C44-AD40C2CC6788}"/>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2 2 2" xfId="16621" xr:uid="{CB279B1C-7A4F-4E73-A982-619AF8ACBE7C}"/>
    <cellStyle name="Normal 5 2 2 2 3 5 2 3" xfId="12403" xr:uid="{17415ED2-217D-483C-9167-B3582343D2D0}"/>
    <cellStyle name="Normal 5 2 2 2 3 5 3" xfId="6026" xr:uid="{00000000-0005-0000-0000-000068170000}"/>
    <cellStyle name="Normal 5 2 2 2 3 5 3 2" xfId="14476" xr:uid="{88E6B423-C04C-4AC2-A672-3089516C53E1}"/>
    <cellStyle name="Normal 5 2 2 2 3 5 4" xfId="10258" xr:uid="{3AA5D2DE-4305-4FD5-8AC8-57354E808111}"/>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2 2 2" xfId="17034" xr:uid="{1F9EEF37-9C9E-4D4C-935E-A68866E6EFF3}"/>
    <cellStyle name="Normal 5 2 2 2 3 6 2 3" xfId="12816" xr:uid="{5E943D06-1FAE-43CC-ACEA-DD10A95E7018}"/>
    <cellStyle name="Normal 5 2 2 2 3 6 3" xfId="6439" xr:uid="{00000000-0005-0000-0000-00006C170000}"/>
    <cellStyle name="Normal 5 2 2 2 3 6 3 2" xfId="14889" xr:uid="{0A9E5814-AE48-4C92-A5BB-E707D0E42F07}"/>
    <cellStyle name="Normal 5 2 2 2 3 6 4" xfId="10671" xr:uid="{DEEADA6C-E8C1-4095-8D13-C45065004144}"/>
    <cellStyle name="Normal 5 2 2 2 3 7" xfId="2569" xr:uid="{00000000-0005-0000-0000-00006D170000}"/>
    <cellStyle name="Normal 5 2 2 2 3 7 2" xfId="6852" xr:uid="{00000000-0005-0000-0000-00006E170000}"/>
    <cellStyle name="Normal 5 2 2 2 3 7 2 2" xfId="15302" xr:uid="{B3289AC1-5B89-4125-991F-12A202EF4EEA}"/>
    <cellStyle name="Normal 5 2 2 2 3 7 3" xfId="11084" xr:uid="{4946E216-95C2-4FC1-909D-4C09A4AF90B0}"/>
    <cellStyle name="Normal 5 2 2 2 3 8" xfId="4787" xr:uid="{00000000-0005-0000-0000-00006F170000}"/>
    <cellStyle name="Normal 5 2 2 2 3 8 2" xfId="13237" xr:uid="{F65A7545-FFB9-4FA9-AC7C-9E8707D1FC01}"/>
    <cellStyle name="Normal 5 2 2 2 3 9" xfId="9019" xr:uid="{2E50B49F-F94F-4E89-93C4-D230AADA98E9}"/>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2 2 2" xfId="15797" xr:uid="{6D02B697-B61A-4E1A-86C7-F55F8CE4FA93}"/>
    <cellStyle name="Normal 5 2 2 2 4 2 2 3" xfId="11579" xr:uid="{CE27541C-2495-4BD7-8332-E925EC3B36DD}"/>
    <cellStyle name="Normal 5 2 2 2 4 2 3" xfId="5202" xr:uid="{00000000-0005-0000-0000-000074170000}"/>
    <cellStyle name="Normal 5 2 2 2 4 2 3 2" xfId="13652" xr:uid="{242A557E-1E64-40ED-BF38-E024D4991465}"/>
    <cellStyle name="Normal 5 2 2 2 4 2 4" xfId="9434" xr:uid="{64553214-12E9-4D6A-850B-EF3E2C8420C7}"/>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2 2 2" xfId="16210" xr:uid="{8ABDBB05-1AE4-455F-BA4C-25798AF699FF}"/>
    <cellStyle name="Normal 5 2 2 2 4 3 2 3" xfId="11992" xr:uid="{2DAD72C0-8AEB-4FCC-88AF-09A8E5771167}"/>
    <cellStyle name="Normal 5 2 2 2 4 3 3" xfId="5615" xr:uid="{00000000-0005-0000-0000-000078170000}"/>
    <cellStyle name="Normal 5 2 2 2 4 3 3 2" xfId="14065" xr:uid="{E67B8392-750A-433E-8B84-835FEF108716}"/>
    <cellStyle name="Normal 5 2 2 2 4 3 4" xfId="9847" xr:uid="{BF1FB3D2-1F66-4178-827A-AC31B0E535AB}"/>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2 2 2" xfId="16623" xr:uid="{94014E28-AB03-4C4B-BA4E-9CD8782327EF}"/>
    <cellStyle name="Normal 5 2 2 2 4 4 2 3" xfId="12405" xr:uid="{DA98DD61-B3DE-43F4-ABDD-2D3DF9166B02}"/>
    <cellStyle name="Normal 5 2 2 2 4 4 3" xfId="6028" xr:uid="{00000000-0005-0000-0000-00007C170000}"/>
    <cellStyle name="Normal 5 2 2 2 4 4 3 2" xfId="14478" xr:uid="{C9521A00-DFA6-4C5F-8ADF-5A66256C803E}"/>
    <cellStyle name="Normal 5 2 2 2 4 4 4" xfId="10260" xr:uid="{B184CDDC-F4CA-4B0A-B142-5811643B4994}"/>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2 2 2" xfId="17036" xr:uid="{324E1022-12A0-478C-A3A8-E126790D9485}"/>
    <cellStyle name="Normal 5 2 2 2 4 5 2 3" xfId="12818" xr:uid="{5B5F88FD-7483-4F8F-93A2-365A7E41FDE6}"/>
    <cellStyle name="Normal 5 2 2 2 4 5 3" xfId="6441" xr:uid="{00000000-0005-0000-0000-000080170000}"/>
    <cellStyle name="Normal 5 2 2 2 4 5 3 2" xfId="14891" xr:uid="{7BA065CC-58E1-4A0F-BF69-1686F8649972}"/>
    <cellStyle name="Normal 5 2 2 2 4 5 4" xfId="10673" xr:uid="{4595678E-5938-4E4F-8E6D-94DC439F175A}"/>
    <cellStyle name="Normal 5 2 2 2 4 6" xfId="2571" xr:uid="{00000000-0005-0000-0000-000081170000}"/>
    <cellStyle name="Normal 5 2 2 2 4 6 2" xfId="6854" xr:uid="{00000000-0005-0000-0000-000082170000}"/>
    <cellStyle name="Normal 5 2 2 2 4 6 2 2" xfId="15304" xr:uid="{2E306C04-4B07-423A-832B-C96136DAF596}"/>
    <cellStyle name="Normal 5 2 2 2 4 6 3" xfId="11086" xr:uid="{92D50974-00DE-4454-B12F-43D9F315F80C}"/>
    <cellStyle name="Normal 5 2 2 2 4 7" xfId="4789" xr:uid="{00000000-0005-0000-0000-000083170000}"/>
    <cellStyle name="Normal 5 2 2 2 4 7 2" xfId="13239" xr:uid="{9697A793-A8DF-4153-9566-16C53F94CAE4}"/>
    <cellStyle name="Normal 5 2 2 2 4 8" xfId="9021" xr:uid="{7C2DB95F-A7A1-4F14-8597-58E4E5A29237}"/>
    <cellStyle name="Normal 5 2 2 2 5" xfId="883" xr:uid="{00000000-0005-0000-0000-000084170000}"/>
    <cellStyle name="Normal 5 2 2 2 5 2" xfId="3118" xr:uid="{00000000-0005-0000-0000-000085170000}"/>
    <cellStyle name="Normal 5 2 2 2 5 2 2" xfId="7340" xr:uid="{00000000-0005-0000-0000-000086170000}"/>
    <cellStyle name="Normal 5 2 2 2 5 2 2 2" xfId="15790" xr:uid="{3566B0C1-5100-4227-9103-4A16C8E5A3CD}"/>
    <cellStyle name="Normal 5 2 2 2 5 2 3" xfId="11572" xr:uid="{53F020A3-BB82-4045-83FE-996DB8D12DDB}"/>
    <cellStyle name="Normal 5 2 2 2 5 3" xfId="5195" xr:uid="{00000000-0005-0000-0000-000087170000}"/>
    <cellStyle name="Normal 5 2 2 2 5 3 2" xfId="13645" xr:uid="{3C02037F-8173-4E43-95DB-82A0160A5A54}"/>
    <cellStyle name="Normal 5 2 2 2 5 4" xfId="9427" xr:uid="{D294AFD0-0246-4280-9555-BF14D0B5A403}"/>
    <cellStyle name="Normal 5 2 2 2 6" xfId="1301" xr:uid="{00000000-0005-0000-0000-000088170000}"/>
    <cellStyle name="Normal 5 2 2 2 6 2" xfId="3531" xr:uid="{00000000-0005-0000-0000-000089170000}"/>
    <cellStyle name="Normal 5 2 2 2 6 2 2" xfId="7753" xr:uid="{00000000-0005-0000-0000-00008A170000}"/>
    <cellStyle name="Normal 5 2 2 2 6 2 2 2" xfId="16203" xr:uid="{51E77F56-BB0E-4D62-99B7-E29061D518DD}"/>
    <cellStyle name="Normal 5 2 2 2 6 2 3" xfId="11985" xr:uid="{726AE465-2571-4615-95C3-23BE2A0C9644}"/>
    <cellStyle name="Normal 5 2 2 2 6 3" xfId="5608" xr:uid="{00000000-0005-0000-0000-00008B170000}"/>
    <cellStyle name="Normal 5 2 2 2 6 3 2" xfId="14058" xr:uid="{B26DA095-24E3-4BB4-BF28-979BAB35D1B0}"/>
    <cellStyle name="Normal 5 2 2 2 6 4" xfId="9840" xr:uid="{85297415-0877-4A28-A6D4-DC10950CB7B8}"/>
    <cellStyle name="Normal 5 2 2 2 7" xfId="1714" xr:uid="{00000000-0005-0000-0000-00008C170000}"/>
    <cellStyle name="Normal 5 2 2 2 7 2" xfId="3944" xr:uid="{00000000-0005-0000-0000-00008D170000}"/>
    <cellStyle name="Normal 5 2 2 2 7 2 2" xfId="8166" xr:uid="{00000000-0005-0000-0000-00008E170000}"/>
    <cellStyle name="Normal 5 2 2 2 7 2 2 2" xfId="16616" xr:uid="{6EE054C2-6DE2-4EB4-B8D8-FC7047A62C44}"/>
    <cellStyle name="Normal 5 2 2 2 7 2 3" xfId="12398" xr:uid="{A31FD8BC-3FC5-4F3E-8B5B-1C369E6170AA}"/>
    <cellStyle name="Normal 5 2 2 2 7 3" xfId="6021" xr:uid="{00000000-0005-0000-0000-00008F170000}"/>
    <cellStyle name="Normal 5 2 2 2 7 3 2" xfId="14471" xr:uid="{D22CCE89-A97A-46B0-A41B-5DF25AD28794}"/>
    <cellStyle name="Normal 5 2 2 2 7 4" xfId="10253" xr:uid="{02F47C28-8255-4D02-A974-1A6C4E7578AB}"/>
    <cellStyle name="Normal 5 2 2 2 8" xfId="2128" xr:uid="{00000000-0005-0000-0000-000090170000}"/>
    <cellStyle name="Normal 5 2 2 2 8 2" xfId="4357" xr:uid="{00000000-0005-0000-0000-000091170000}"/>
    <cellStyle name="Normal 5 2 2 2 8 2 2" xfId="8579" xr:uid="{00000000-0005-0000-0000-000092170000}"/>
    <cellStyle name="Normal 5 2 2 2 8 2 2 2" xfId="17029" xr:uid="{07EB05CC-6341-44B5-9D92-3114FEAE5B5E}"/>
    <cellStyle name="Normal 5 2 2 2 8 2 3" xfId="12811" xr:uid="{CD7B3701-F251-40E0-8AA5-A34C5CDFBE45}"/>
    <cellStyle name="Normal 5 2 2 2 8 3" xfId="6434" xr:uid="{00000000-0005-0000-0000-000093170000}"/>
    <cellStyle name="Normal 5 2 2 2 8 3 2" xfId="14884" xr:uid="{D9DED0D2-60AC-4082-ADD0-3CC2F12607BC}"/>
    <cellStyle name="Normal 5 2 2 2 8 4" xfId="10666" xr:uid="{E8639010-9BCE-4C5B-8244-43E2042F1EFC}"/>
    <cellStyle name="Normal 5 2 2 2 9" xfId="2564" xr:uid="{00000000-0005-0000-0000-000094170000}"/>
    <cellStyle name="Normal 5 2 2 2 9 2" xfId="6847" xr:uid="{00000000-0005-0000-0000-000095170000}"/>
    <cellStyle name="Normal 5 2 2 2 9 2 2" xfId="15297" xr:uid="{1258D6F5-4AB8-4992-88D2-B9E267EEA347}"/>
    <cellStyle name="Normal 5 2 2 2 9 3" xfId="11079" xr:uid="{91D97F9C-54B2-4461-A03A-4568BB0A1E73}"/>
    <cellStyle name="Normal 5 2 2 3" xfId="417" xr:uid="{00000000-0005-0000-0000-000096170000}"/>
    <cellStyle name="Normal 5 2 2 3 10" xfId="9022" xr:uid="{E95364DE-C9BE-495C-9452-C740E9BE7AFD}"/>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2 2 2" xfId="15800" xr:uid="{0B4E335C-0C0E-4191-9E92-56D141EFC86E}"/>
    <cellStyle name="Normal 5 2 2 3 2 2 2 2 3" xfId="11582" xr:uid="{EC52ACB8-2219-4CC4-8066-DCB168393518}"/>
    <cellStyle name="Normal 5 2 2 3 2 2 2 3" xfId="5205" xr:uid="{00000000-0005-0000-0000-00009C170000}"/>
    <cellStyle name="Normal 5 2 2 3 2 2 2 3 2" xfId="13655" xr:uid="{24E251EE-6443-4F1D-AA91-4A8C92DCAEF6}"/>
    <cellStyle name="Normal 5 2 2 3 2 2 2 4" xfId="9437" xr:uid="{6EFD80D1-916B-4997-8B3A-C50DFCBA507C}"/>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2 2 2" xfId="16213" xr:uid="{746F55B9-D1DC-486B-9FFB-E1A1B86EBB8C}"/>
    <cellStyle name="Normal 5 2 2 3 2 2 3 2 3" xfId="11995" xr:uid="{9B5C0D54-4FD0-4F51-9E25-11437A6DF02E}"/>
    <cellStyle name="Normal 5 2 2 3 2 2 3 3" xfId="5618" xr:uid="{00000000-0005-0000-0000-0000A0170000}"/>
    <cellStyle name="Normal 5 2 2 3 2 2 3 3 2" xfId="14068" xr:uid="{0C2E7AB8-B5A0-4A3C-9BA6-C5CF38E415D3}"/>
    <cellStyle name="Normal 5 2 2 3 2 2 3 4" xfId="9850" xr:uid="{227146BE-C464-40FA-BD4B-8B45C1C5D05F}"/>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2 2 2" xfId="16626" xr:uid="{C1EF21E8-564E-415C-90DF-D406AB232222}"/>
    <cellStyle name="Normal 5 2 2 3 2 2 4 2 3" xfId="12408" xr:uid="{30975322-3587-4DA8-8FB8-B2288CA4A483}"/>
    <cellStyle name="Normal 5 2 2 3 2 2 4 3" xfId="6031" xr:uid="{00000000-0005-0000-0000-0000A4170000}"/>
    <cellStyle name="Normal 5 2 2 3 2 2 4 3 2" xfId="14481" xr:uid="{C531D814-C559-49C5-897F-C7376C66EAB5}"/>
    <cellStyle name="Normal 5 2 2 3 2 2 4 4" xfId="10263" xr:uid="{EAD9203F-B97C-4796-B13D-D2589C89F259}"/>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2 2 2" xfId="17039" xr:uid="{CD59C316-32DD-4A7E-9EFF-034FA3F19DA8}"/>
    <cellStyle name="Normal 5 2 2 3 2 2 5 2 3" xfId="12821" xr:uid="{4CE8D2B7-9F0F-4026-9A24-40EDB3EF7E2F}"/>
    <cellStyle name="Normal 5 2 2 3 2 2 5 3" xfId="6444" xr:uid="{00000000-0005-0000-0000-0000A8170000}"/>
    <cellStyle name="Normal 5 2 2 3 2 2 5 3 2" xfId="14894" xr:uid="{AD99402C-58ED-48A3-97E1-8FA3A2CA71FB}"/>
    <cellStyle name="Normal 5 2 2 3 2 2 5 4" xfId="10676" xr:uid="{136CD89E-3B96-476B-B3E3-9FE053A2DAD9}"/>
    <cellStyle name="Normal 5 2 2 3 2 2 6" xfId="2574" xr:uid="{00000000-0005-0000-0000-0000A9170000}"/>
    <cellStyle name="Normal 5 2 2 3 2 2 6 2" xfId="6857" xr:uid="{00000000-0005-0000-0000-0000AA170000}"/>
    <cellStyle name="Normal 5 2 2 3 2 2 6 2 2" xfId="15307" xr:uid="{91759C78-46CE-416B-B633-415B2FC5CB64}"/>
    <cellStyle name="Normal 5 2 2 3 2 2 6 3" xfId="11089" xr:uid="{4794E165-5788-4407-93D8-5897E24BF533}"/>
    <cellStyle name="Normal 5 2 2 3 2 2 7" xfId="4792" xr:uid="{00000000-0005-0000-0000-0000AB170000}"/>
    <cellStyle name="Normal 5 2 2 3 2 2 7 2" xfId="13242" xr:uid="{928F9EAC-7E76-4CA7-9EB9-C00B3B686CBD}"/>
    <cellStyle name="Normal 5 2 2 3 2 2 8" xfId="9024" xr:uid="{85794A3C-2338-482F-8AD3-5986DEC0B5C9}"/>
    <cellStyle name="Normal 5 2 2 3 2 3" xfId="892" xr:uid="{00000000-0005-0000-0000-0000AC170000}"/>
    <cellStyle name="Normal 5 2 2 3 2 3 2" xfId="3127" xr:uid="{00000000-0005-0000-0000-0000AD170000}"/>
    <cellStyle name="Normal 5 2 2 3 2 3 2 2" xfId="7349" xr:uid="{00000000-0005-0000-0000-0000AE170000}"/>
    <cellStyle name="Normal 5 2 2 3 2 3 2 2 2" xfId="15799" xr:uid="{048ECC0E-8513-4B88-B7A1-EE552CC79F4E}"/>
    <cellStyle name="Normal 5 2 2 3 2 3 2 3" xfId="11581" xr:uid="{77350488-D665-4DBD-95CB-BB3ACFDCD77C}"/>
    <cellStyle name="Normal 5 2 2 3 2 3 3" xfId="5204" xr:uid="{00000000-0005-0000-0000-0000AF170000}"/>
    <cellStyle name="Normal 5 2 2 3 2 3 3 2" xfId="13654" xr:uid="{4313FDF3-BDE7-46E4-99E1-B83B59273762}"/>
    <cellStyle name="Normal 5 2 2 3 2 3 4" xfId="9436" xr:uid="{F45A675D-70F1-4E66-A23B-46F997175400}"/>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2 2 2" xfId="16212" xr:uid="{7D88F1CA-0A02-4CD5-B305-4AAF490B2EEF}"/>
    <cellStyle name="Normal 5 2 2 3 2 4 2 3" xfId="11994" xr:uid="{D00C16D1-AC3F-410D-89FE-1A64E93F1CAB}"/>
    <cellStyle name="Normal 5 2 2 3 2 4 3" xfId="5617" xr:uid="{00000000-0005-0000-0000-0000B3170000}"/>
    <cellStyle name="Normal 5 2 2 3 2 4 3 2" xfId="14067" xr:uid="{DCF52749-56FC-4381-91C7-3525CC46714B}"/>
    <cellStyle name="Normal 5 2 2 3 2 4 4" xfId="9849" xr:uid="{C638F066-566E-4E00-80AC-70E7FA25F07B}"/>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2 2 2" xfId="16625" xr:uid="{DA7A89C1-CBEF-4D9F-AE1F-D9653AA2B47F}"/>
    <cellStyle name="Normal 5 2 2 3 2 5 2 3" xfId="12407" xr:uid="{655DC33A-4B14-4387-8750-88A16B3410B2}"/>
    <cellStyle name="Normal 5 2 2 3 2 5 3" xfId="6030" xr:uid="{00000000-0005-0000-0000-0000B7170000}"/>
    <cellStyle name="Normal 5 2 2 3 2 5 3 2" xfId="14480" xr:uid="{63905B11-6A87-4661-8516-25B598B6C1C8}"/>
    <cellStyle name="Normal 5 2 2 3 2 5 4" xfId="10262" xr:uid="{B4008AAC-9DD5-4790-A114-773663B23F79}"/>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2 2 2" xfId="17038" xr:uid="{1329CCFA-5725-4F49-83EC-2835AED2D883}"/>
    <cellStyle name="Normal 5 2 2 3 2 6 2 3" xfId="12820" xr:uid="{F7A0590F-7411-4FE7-8A7D-EB7D4A21D833}"/>
    <cellStyle name="Normal 5 2 2 3 2 6 3" xfId="6443" xr:uid="{00000000-0005-0000-0000-0000BB170000}"/>
    <cellStyle name="Normal 5 2 2 3 2 6 3 2" xfId="14893" xr:uid="{3B6C1662-6E6A-490D-A0C5-0980C35730ED}"/>
    <cellStyle name="Normal 5 2 2 3 2 6 4" xfId="10675" xr:uid="{55A30640-3A6C-47A6-9509-57385360BB27}"/>
    <cellStyle name="Normal 5 2 2 3 2 7" xfId="2573" xr:uid="{00000000-0005-0000-0000-0000BC170000}"/>
    <cellStyle name="Normal 5 2 2 3 2 7 2" xfId="6856" xr:uid="{00000000-0005-0000-0000-0000BD170000}"/>
    <cellStyle name="Normal 5 2 2 3 2 7 2 2" xfId="15306" xr:uid="{D53C644D-38FF-45AE-8873-CA695720C1DF}"/>
    <cellStyle name="Normal 5 2 2 3 2 7 3" xfId="11088" xr:uid="{C39A0AD7-6FB5-4CC8-A0EC-E666D7302BF7}"/>
    <cellStyle name="Normal 5 2 2 3 2 8" xfId="4791" xr:uid="{00000000-0005-0000-0000-0000BE170000}"/>
    <cellStyle name="Normal 5 2 2 3 2 8 2" xfId="13241" xr:uid="{BF290B24-026C-44C1-B9FE-ADC50B85188C}"/>
    <cellStyle name="Normal 5 2 2 3 2 9" xfId="9023" xr:uid="{BC664AD5-A7A7-4864-A70A-7B56F31A6D2C}"/>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2 2 2" xfId="15801" xr:uid="{0183F30F-9251-4250-98B1-47393F259A47}"/>
    <cellStyle name="Normal 5 2 2 3 3 2 2 3" xfId="11583" xr:uid="{3A49DD05-021E-4052-8740-90C31BFD678E}"/>
    <cellStyle name="Normal 5 2 2 3 3 2 3" xfId="5206" xr:uid="{00000000-0005-0000-0000-0000C3170000}"/>
    <cellStyle name="Normal 5 2 2 3 3 2 3 2" xfId="13656" xr:uid="{07BAB8AE-3F0C-45A3-BF6C-B75D0E473A90}"/>
    <cellStyle name="Normal 5 2 2 3 3 2 4" xfId="9438" xr:uid="{62CF73CB-DCB5-4A98-A467-9907F4E39732}"/>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2 2 2" xfId="16214" xr:uid="{9CA54533-EE15-440A-A1C4-6405609313BF}"/>
    <cellStyle name="Normal 5 2 2 3 3 3 2 3" xfId="11996" xr:uid="{CF74D18A-901E-4AA5-8177-B0B9AFD23CEC}"/>
    <cellStyle name="Normal 5 2 2 3 3 3 3" xfId="5619" xr:uid="{00000000-0005-0000-0000-0000C7170000}"/>
    <cellStyle name="Normal 5 2 2 3 3 3 3 2" xfId="14069" xr:uid="{AD966658-2FB7-4812-BE15-075E76F480BA}"/>
    <cellStyle name="Normal 5 2 2 3 3 3 4" xfId="9851" xr:uid="{7ED32B56-1511-4EBA-8288-0CF7E7B8E43D}"/>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2 2 2" xfId="16627" xr:uid="{377FA1AE-7A75-4885-87E4-4195DA8FC8AE}"/>
    <cellStyle name="Normal 5 2 2 3 3 4 2 3" xfId="12409" xr:uid="{DC02CB83-193F-4FF8-B90A-326DAD171042}"/>
    <cellStyle name="Normal 5 2 2 3 3 4 3" xfId="6032" xr:uid="{00000000-0005-0000-0000-0000CB170000}"/>
    <cellStyle name="Normal 5 2 2 3 3 4 3 2" xfId="14482" xr:uid="{C06C7E1C-04D9-427B-8E69-9A73D2193F91}"/>
    <cellStyle name="Normal 5 2 2 3 3 4 4" xfId="10264" xr:uid="{2D4BFF32-C739-4732-B164-CDFCC588435D}"/>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2 2 2" xfId="17040" xr:uid="{84F5EB22-B9AE-4DBE-800E-796C6AF81039}"/>
    <cellStyle name="Normal 5 2 2 3 3 5 2 3" xfId="12822" xr:uid="{9B8817BD-2A45-4B31-821E-CA8172F7C942}"/>
    <cellStyle name="Normal 5 2 2 3 3 5 3" xfId="6445" xr:uid="{00000000-0005-0000-0000-0000CF170000}"/>
    <cellStyle name="Normal 5 2 2 3 3 5 3 2" xfId="14895" xr:uid="{6C4DF978-DEFD-48C8-B564-2655A6F2F746}"/>
    <cellStyle name="Normal 5 2 2 3 3 5 4" xfId="10677" xr:uid="{8B49475E-E4E5-4D04-B3BF-A90281CE2DC7}"/>
    <cellStyle name="Normal 5 2 2 3 3 6" xfId="2575" xr:uid="{00000000-0005-0000-0000-0000D0170000}"/>
    <cellStyle name="Normal 5 2 2 3 3 6 2" xfId="6858" xr:uid="{00000000-0005-0000-0000-0000D1170000}"/>
    <cellStyle name="Normal 5 2 2 3 3 6 2 2" xfId="15308" xr:uid="{4071972F-6121-464F-888A-18D6B6A03375}"/>
    <cellStyle name="Normal 5 2 2 3 3 6 3" xfId="11090" xr:uid="{A5F74AC0-68FF-4AC0-AF93-F4B795A5B145}"/>
    <cellStyle name="Normal 5 2 2 3 3 7" xfId="4793" xr:uid="{00000000-0005-0000-0000-0000D2170000}"/>
    <cellStyle name="Normal 5 2 2 3 3 7 2" xfId="13243" xr:uid="{83284518-DC7C-44D9-90D2-F1DB7C4CC8B6}"/>
    <cellStyle name="Normal 5 2 2 3 3 8" xfId="9025" xr:uid="{2C22E53A-8F56-4527-AA47-6749A0448070}"/>
    <cellStyle name="Normal 5 2 2 3 4" xfId="891" xr:uid="{00000000-0005-0000-0000-0000D3170000}"/>
    <cellStyle name="Normal 5 2 2 3 4 2" xfId="3126" xr:uid="{00000000-0005-0000-0000-0000D4170000}"/>
    <cellStyle name="Normal 5 2 2 3 4 2 2" xfId="7348" xr:uid="{00000000-0005-0000-0000-0000D5170000}"/>
    <cellStyle name="Normal 5 2 2 3 4 2 2 2" xfId="15798" xr:uid="{B22E8773-0C8A-49BB-820C-7B2726A83E8B}"/>
    <cellStyle name="Normal 5 2 2 3 4 2 3" xfId="11580" xr:uid="{51919CD6-DC0D-499D-BE60-4F178616FE93}"/>
    <cellStyle name="Normal 5 2 2 3 4 3" xfId="5203" xr:uid="{00000000-0005-0000-0000-0000D6170000}"/>
    <cellStyle name="Normal 5 2 2 3 4 3 2" xfId="13653" xr:uid="{DAB132C7-9C77-4288-9ED0-61138E6BF769}"/>
    <cellStyle name="Normal 5 2 2 3 4 4" xfId="9435" xr:uid="{6B4384D2-12A9-4ED7-AC5F-46BA1B5802C7}"/>
    <cellStyle name="Normal 5 2 2 3 5" xfId="1309" xr:uid="{00000000-0005-0000-0000-0000D7170000}"/>
    <cellStyle name="Normal 5 2 2 3 5 2" xfId="3539" xr:uid="{00000000-0005-0000-0000-0000D8170000}"/>
    <cellStyle name="Normal 5 2 2 3 5 2 2" xfId="7761" xr:uid="{00000000-0005-0000-0000-0000D9170000}"/>
    <cellStyle name="Normal 5 2 2 3 5 2 2 2" xfId="16211" xr:uid="{41637B5B-F9CC-45C8-98E7-5676923F7E06}"/>
    <cellStyle name="Normal 5 2 2 3 5 2 3" xfId="11993" xr:uid="{151D304A-59AB-4E1D-A27A-28E351BAE2F2}"/>
    <cellStyle name="Normal 5 2 2 3 5 3" xfId="5616" xr:uid="{00000000-0005-0000-0000-0000DA170000}"/>
    <cellStyle name="Normal 5 2 2 3 5 3 2" xfId="14066" xr:uid="{6AFCCAFE-D7C3-4C6E-911B-D9BB62D4BD52}"/>
    <cellStyle name="Normal 5 2 2 3 5 4" xfId="9848" xr:uid="{19A21147-2F98-401B-BA29-5AABF08465DD}"/>
    <cellStyle name="Normal 5 2 2 3 6" xfId="1722" xr:uid="{00000000-0005-0000-0000-0000DB170000}"/>
    <cellStyle name="Normal 5 2 2 3 6 2" xfId="3952" xr:uid="{00000000-0005-0000-0000-0000DC170000}"/>
    <cellStyle name="Normal 5 2 2 3 6 2 2" xfId="8174" xr:uid="{00000000-0005-0000-0000-0000DD170000}"/>
    <cellStyle name="Normal 5 2 2 3 6 2 2 2" xfId="16624" xr:uid="{7F5B776C-6251-4EDB-ADA6-665907928D25}"/>
    <cellStyle name="Normal 5 2 2 3 6 2 3" xfId="12406" xr:uid="{731B0BA0-5018-4907-AA4B-6CB940C50B51}"/>
    <cellStyle name="Normal 5 2 2 3 6 3" xfId="6029" xr:uid="{00000000-0005-0000-0000-0000DE170000}"/>
    <cellStyle name="Normal 5 2 2 3 6 3 2" xfId="14479" xr:uid="{592D15AE-22ED-405B-B8B3-DB835FFED04A}"/>
    <cellStyle name="Normal 5 2 2 3 6 4" xfId="10261" xr:uid="{78685B3C-9996-4AB6-9FC9-86628B0540D7}"/>
    <cellStyle name="Normal 5 2 2 3 7" xfId="2136" xr:uid="{00000000-0005-0000-0000-0000DF170000}"/>
    <cellStyle name="Normal 5 2 2 3 7 2" xfId="4365" xr:uid="{00000000-0005-0000-0000-0000E0170000}"/>
    <cellStyle name="Normal 5 2 2 3 7 2 2" xfId="8587" xr:uid="{00000000-0005-0000-0000-0000E1170000}"/>
    <cellStyle name="Normal 5 2 2 3 7 2 2 2" xfId="17037" xr:uid="{2AFB634C-3B5F-4B94-80E0-D8B74B320239}"/>
    <cellStyle name="Normal 5 2 2 3 7 2 3" xfId="12819" xr:uid="{5B60022B-8D7F-4626-8FF1-D6F11C1DEA8D}"/>
    <cellStyle name="Normal 5 2 2 3 7 3" xfId="6442" xr:uid="{00000000-0005-0000-0000-0000E2170000}"/>
    <cellStyle name="Normal 5 2 2 3 7 3 2" xfId="14892" xr:uid="{A107B2D4-7A31-4C68-9E46-B12C2C6EDBF2}"/>
    <cellStyle name="Normal 5 2 2 3 7 4" xfId="10674" xr:uid="{CBAA07F3-0A7B-4552-9AB2-CA8B6B6C9708}"/>
    <cellStyle name="Normal 5 2 2 3 8" xfId="2572" xr:uid="{00000000-0005-0000-0000-0000E3170000}"/>
    <cellStyle name="Normal 5 2 2 3 8 2" xfId="6855" xr:uid="{00000000-0005-0000-0000-0000E4170000}"/>
    <cellStyle name="Normal 5 2 2 3 8 2 2" xfId="15305" xr:uid="{B8FE7FDD-F609-40B2-AD23-A9EE55D4BFE1}"/>
    <cellStyle name="Normal 5 2 2 3 8 3" xfId="11087" xr:uid="{049D917C-3CD5-4602-95A3-341E28CB74F6}"/>
    <cellStyle name="Normal 5 2 2 3 9" xfId="4790" xr:uid="{00000000-0005-0000-0000-0000E5170000}"/>
    <cellStyle name="Normal 5 2 2 3 9 2" xfId="13240" xr:uid="{334E4FAA-0198-4317-84C0-F5E7B620745A}"/>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2 2 2" xfId="15803" xr:uid="{BA68DF46-CDB8-4D2B-8949-D8A55A23EB19}"/>
    <cellStyle name="Normal 5 2 2 4 2 2 2 3" xfId="11585" xr:uid="{6EA9C5A8-401D-4C79-9747-D9136975DD81}"/>
    <cellStyle name="Normal 5 2 2 4 2 2 3" xfId="5208" xr:uid="{00000000-0005-0000-0000-0000EB170000}"/>
    <cellStyle name="Normal 5 2 2 4 2 2 3 2" xfId="13658" xr:uid="{5F0395D6-7F98-4B6C-BD3B-C977EFFFF008}"/>
    <cellStyle name="Normal 5 2 2 4 2 2 4" xfId="9440" xr:uid="{B9359E42-C810-44AE-8EB8-7796A3827C31}"/>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2 2 2" xfId="16216" xr:uid="{7474E0FA-0356-46E4-8A0A-52DFC6F332B0}"/>
    <cellStyle name="Normal 5 2 2 4 2 3 2 3" xfId="11998" xr:uid="{9ED17A1F-72EA-4872-9EDE-E33ED10AE61C}"/>
    <cellStyle name="Normal 5 2 2 4 2 3 3" xfId="5621" xr:uid="{00000000-0005-0000-0000-0000EF170000}"/>
    <cellStyle name="Normal 5 2 2 4 2 3 3 2" xfId="14071" xr:uid="{7BDDA87D-E3B9-49A4-AFD3-0482330238B4}"/>
    <cellStyle name="Normal 5 2 2 4 2 3 4" xfId="9853" xr:uid="{8CC59759-ACCB-43DF-85A4-042BE9ED6963}"/>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2 2 2" xfId="16629" xr:uid="{42A93302-67C7-460A-B507-FEE44D5671A0}"/>
    <cellStyle name="Normal 5 2 2 4 2 4 2 3" xfId="12411" xr:uid="{9696B328-0717-49FD-86C1-DCC761E3BC95}"/>
    <cellStyle name="Normal 5 2 2 4 2 4 3" xfId="6034" xr:uid="{00000000-0005-0000-0000-0000F3170000}"/>
    <cellStyle name="Normal 5 2 2 4 2 4 3 2" xfId="14484" xr:uid="{1579406E-4E9E-4B79-8194-651A9AE335A8}"/>
    <cellStyle name="Normal 5 2 2 4 2 4 4" xfId="10266" xr:uid="{071DB9C3-5364-40A8-B03C-EE7933636865}"/>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2 2 2" xfId="17042" xr:uid="{96614620-68C1-499B-AF47-B7154F6DD2FD}"/>
    <cellStyle name="Normal 5 2 2 4 2 5 2 3" xfId="12824" xr:uid="{4070DC3F-9E19-40B9-9E58-EDCBE23CF1F9}"/>
    <cellStyle name="Normal 5 2 2 4 2 5 3" xfId="6447" xr:uid="{00000000-0005-0000-0000-0000F7170000}"/>
    <cellStyle name="Normal 5 2 2 4 2 5 3 2" xfId="14897" xr:uid="{F457EFCA-6E51-4FCA-9C99-5353BC4E4AED}"/>
    <cellStyle name="Normal 5 2 2 4 2 5 4" xfId="10679" xr:uid="{C56E6144-8A39-470A-8B39-B43F833F8900}"/>
    <cellStyle name="Normal 5 2 2 4 2 6" xfId="2577" xr:uid="{00000000-0005-0000-0000-0000F8170000}"/>
    <cellStyle name="Normal 5 2 2 4 2 6 2" xfId="6860" xr:uid="{00000000-0005-0000-0000-0000F9170000}"/>
    <cellStyle name="Normal 5 2 2 4 2 6 2 2" xfId="15310" xr:uid="{0DA9A3F2-1A84-45CB-A9FC-7E7221780483}"/>
    <cellStyle name="Normal 5 2 2 4 2 6 3" xfId="11092" xr:uid="{0E9B7AD7-3576-457A-9616-DA6A99B3E0FF}"/>
    <cellStyle name="Normal 5 2 2 4 2 7" xfId="4795" xr:uid="{00000000-0005-0000-0000-0000FA170000}"/>
    <cellStyle name="Normal 5 2 2 4 2 7 2" xfId="13245" xr:uid="{8FACBEB4-7A10-43B2-8374-5CFCE17FCF85}"/>
    <cellStyle name="Normal 5 2 2 4 2 8" xfId="9027" xr:uid="{250ACF19-377F-441B-8635-823768BECE5D}"/>
    <cellStyle name="Normal 5 2 2 4 3" xfId="895" xr:uid="{00000000-0005-0000-0000-0000FB170000}"/>
    <cellStyle name="Normal 5 2 2 4 3 2" xfId="3130" xr:uid="{00000000-0005-0000-0000-0000FC170000}"/>
    <cellStyle name="Normal 5 2 2 4 3 2 2" xfId="7352" xr:uid="{00000000-0005-0000-0000-0000FD170000}"/>
    <cellStyle name="Normal 5 2 2 4 3 2 2 2" xfId="15802" xr:uid="{C2EB982C-37F1-4B66-A9CF-5D068D1522D9}"/>
    <cellStyle name="Normal 5 2 2 4 3 2 3" xfId="11584" xr:uid="{CF3251D8-BC86-4A14-9AAD-B9CAD99E914D}"/>
    <cellStyle name="Normal 5 2 2 4 3 3" xfId="5207" xr:uid="{00000000-0005-0000-0000-0000FE170000}"/>
    <cellStyle name="Normal 5 2 2 4 3 3 2" xfId="13657" xr:uid="{D3B5F7B6-B99D-46D1-9C3F-44F6255083FF}"/>
    <cellStyle name="Normal 5 2 2 4 3 4" xfId="9439" xr:uid="{A3D26F63-88E7-4238-9028-8CEA97D98D81}"/>
    <cellStyle name="Normal 5 2 2 4 4" xfId="1313" xr:uid="{00000000-0005-0000-0000-0000FF170000}"/>
    <cellStyle name="Normal 5 2 2 4 4 2" xfId="3543" xr:uid="{00000000-0005-0000-0000-000000180000}"/>
    <cellStyle name="Normal 5 2 2 4 4 2 2" xfId="7765" xr:uid="{00000000-0005-0000-0000-000001180000}"/>
    <cellStyle name="Normal 5 2 2 4 4 2 2 2" xfId="16215" xr:uid="{0951FDE9-2F85-413E-82AA-19E3B5FA1512}"/>
    <cellStyle name="Normal 5 2 2 4 4 2 3" xfId="11997" xr:uid="{CEC60C0F-375C-414F-8CB3-39BEB9224C13}"/>
    <cellStyle name="Normal 5 2 2 4 4 3" xfId="5620" xr:uid="{00000000-0005-0000-0000-000002180000}"/>
    <cellStyle name="Normal 5 2 2 4 4 3 2" xfId="14070" xr:uid="{D54163F0-40A5-43A9-866F-D3F2C79DC5EC}"/>
    <cellStyle name="Normal 5 2 2 4 4 4" xfId="9852" xr:uid="{55CA9C5B-91AF-4361-A465-CF2F44B9C995}"/>
    <cellStyle name="Normal 5 2 2 4 5" xfId="1726" xr:uid="{00000000-0005-0000-0000-000003180000}"/>
    <cellStyle name="Normal 5 2 2 4 5 2" xfId="3956" xr:uid="{00000000-0005-0000-0000-000004180000}"/>
    <cellStyle name="Normal 5 2 2 4 5 2 2" xfId="8178" xr:uid="{00000000-0005-0000-0000-000005180000}"/>
    <cellStyle name="Normal 5 2 2 4 5 2 2 2" xfId="16628" xr:uid="{4E8462FB-4C25-4EF7-BBC8-C8E8F6392B28}"/>
    <cellStyle name="Normal 5 2 2 4 5 2 3" xfId="12410" xr:uid="{779D9E09-74FE-4871-9F84-DCD63E12CC7E}"/>
    <cellStyle name="Normal 5 2 2 4 5 3" xfId="6033" xr:uid="{00000000-0005-0000-0000-000006180000}"/>
    <cellStyle name="Normal 5 2 2 4 5 3 2" xfId="14483" xr:uid="{E7A283A6-EFAB-4945-9E75-B72F28E33952}"/>
    <cellStyle name="Normal 5 2 2 4 5 4" xfId="10265" xr:uid="{B785F6EA-FBF2-40AD-AD93-A742DBE58867}"/>
    <cellStyle name="Normal 5 2 2 4 6" xfId="2140" xr:uid="{00000000-0005-0000-0000-000007180000}"/>
    <cellStyle name="Normal 5 2 2 4 6 2" xfId="4369" xr:uid="{00000000-0005-0000-0000-000008180000}"/>
    <cellStyle name="Normal 5 2 2 4 6 2 2" xfId="8591" xr:uid="{00000000-0005-0000-0000-000009180000}"/>
    <cellStyle name="Normal 5 2 2 4 6 2 2 2" xfId="17041" xr:uid="{86E26F57-C905-4262-A2A7-DF16A7896255}"/>
    <cellStyle name="Normal 5 2 2 4 6 2 3" xfId="12823" xr:uid="{97C34E86-B98A-4238-9B3C-505043629F3E}"/>
    <cellStyle name="Normal 5 2 2 4 6 3" xfId="6446" xr:uid="{00000000-0005-0000-0000-00000A180000}"/>
    <cellStyle name="Normal 5 2 2 4 6 3 2" xfId="14896" xr:uid="{C1CE05DC-2945-4AED-8F98-4E13DF908B69}"/>
    <cellStyle name="Normal 5 2 2 4 6 4" xfId="10678" xr:uid="{1F5B1E54-AA32-4335-8FDA-39972B77D416}"/>
    <cellStyle name="Normal 5 2 2 4 7" xfId="2576" xr:uid="{00000000-0005-0000-0000-00000B180000}"/>
    <cellStyle name="Normal 5 2 2 4 7 2" xfId="6859" xr:uid="{00000000-0005-0000-0000-00000C180000}"/>
    <cellStyle name="Normal 5 2 2 4 7 2 2" xfId="15309" xr:uid="{A9DCB01D-DBB4-45C9-8303-AAA2E81B110C}"/>
    <cellStyle name="Normal 5 2 2 4 7 3" xfId="11091" xr:uid="{FAA3E5E5-EB05-47E4-B6CF-D977DC727C38}"/>
    <cellStyle name="Normal 5 2 2 4 8" xfId="4794" xr:uid="{00000000-0005-0000-0000-00000D180000}"/>
    <cellStyle name="Normal 5 2 2 4 8 2" xfId="13244" xr:uid="{1DF2E54B-4DC1-49CF-8E51-B5ED4DC9B84E}"/>
    <cellStyle name="Normal 5 2 2 4 9" xfId="9026" xr:uid="{A5B2016C-2948-4AC1-AE03-426CF6C48910}"/>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2 2 2" xfId="15804" xr:uid="{D41A56BF-5F43-4DC0-8630-9521021C0504}"/>
    <cellStyle name="Normal 5 2 2 5 2 2 3" xfId="11586" xr:uid="{A08C3C57-5F6E-45D2-A09A-C66BC466B890}"/>
    <cellStyle name="Normal 5 2 2 5 2 3" xfId="5209" xr:uid="{00000000-0005-0000-0000-000012180000}"/>
    <cellStyle name="Normal 5 2 2 5 2 3 2" xfId="13659" xr:uid="{95C30FA1-2132-4CF9-A33B-1852B2D48FAF}"/>
    <cellStyle name="Normal 5 2 2 5 2 4" xfId="9441" xr:uid="{5994FC08-5B42-4675-ACC1-34F47474FA8E}"/>
    <cellStyle name="Normal 5 2 2 5 3" xfId="1315" xr:uid="{00000000-0005-0000-0000-000013180000}"/>
    <cellStyle name="Normal 5 2 2 5 3 2" xfId="3545" xr:uid="{00000000-0005-0000-0000-000014180000}"/>
    <cellStyle name="Normal 5 2 2 5 3 2 2" xfId="7767" xr:uid="{00000000-0005-0000-0000-000015180000}"/>
    <cellStyle name="Normal 5 2 2 5 3 2 2 2" xfId="16217" xr:uid="{E661CA2A-DACF-43B9-B84B-E5F30FD8F1C1}"/>
    <cellStyle name="Normal 5 2 2 5 3 2 3" xfId="11999" xr:uid="{56EDD6DF-AD1F-4DCE-B245-1A10DBCB5A7B}"/>
    <cellStyle name="Normal 5 2 2 5 3 3" xfId="5622" xr:uid="{00000000-0005-0000-0000-000016180000}"/>
    <cellStyle name="Normal 5 2 2 5 3 3 2" xfId="14072" xr:uid="{DDF1F4F4-1EAD-4BBA-9487-74FDFA5CAE6C}"/>
    <cellStyle name="Normal 5 2 2 5 3 4" xfId="9854" xr:uid="{A260FA77-4FCD-48BA-A95C-03198A183A19}"/>
    <cellStyle name="Normal 5 2 2 5 4" xfId="1728" xr:uid="{00000000-0005-0000-0000-000017180000}"/>
    <cellStyle name="Normal 5 2 2 5 4 2" xfId="3958" xr:uid="{00000000-0005-0000-0000-000018180000}"/>
    <cellStyle name="Normal 5 2 2 5 4 2 2" xfId="8180" xr:uid="{00000000-0005-0000-0000-000019180000}"/>
    <cellStyle name="Normal 5 2 2 5 4 2 2 2" xfId="16630" xr:uid="{DC7485BA-6806-4657-A823-346122559D6E}"/>
    <cellStyle name="Normal 5 2 2 5 4 2 3" xfId="12412" xr:uid="{5EC53D2B-6072-4C66-A5D2-04235F3FCFF5}"/>
    <cellStyle name="Normal 5 2 2 5 4 3" xfId="6035" xr:uid="{00000000-0005-0000-0000-00001A180000}"/>
    <cellStyle name="Normal 5 2 2 5 4 3 2" xfId="14485" xr:uid="{2920BB76-8224-4737-B3DC-BF5E1787C15F}"/>
    <cellStyle name="Normal 5 2 2 5 4 4" xfId="10267" xr:uid="{AB2E47CB-9107-4BD2-9836-088F9FB395D8}"/>
    <cellStyle name="Normal 5 2 2 5 5" xfId="2142" xr:uid="{00000000-0005-0000-0000-00001B180000}"/>
    <cellStyle name="Normal 5 2 2 5 5 2" xfId="4371" xr:uid="{00000000-0005-0000-0000-00001C180000}"/>
    <cellStyle name="Normal 5 2 2 5 5 2 2" xfId="8593" xr:uid="{00000000-0005-0000-0000-00001D180000}"/>
    <cellStyle name="Normal 5 2 2 5 5 2 2 2" xfId="17043" xr:uid="{04971D95-84DA-4C20-9147-8F0C0D410E3D}"/>
    <cellStyle name="Normal 5 2 2 5 5 2 3" xfId="12825" xr:uid="{FFD5DDEA-E675-4E6A-A44B-8A93406788BF}"/>
    <cellStyle name="Normal 5 2 2 5 5 3" xfId="6448" xr:uid="{00000000-0005-0000-0000-00001E180000}"/>
    <cellStyle name="Normal 5 2 2 5 5 3 2" xfId="14898" xr:uid="{96AEE288-50A8-439F-ACB1-94D760AE4A6E}"/>
    <cellStyle name="Normal 5 2 2 5 5 4" xfId="10680" xr:uid="{EBA45BA0-BE72-421E-A7D3-22D0CA88286B}"/>
    <cellStyle name="Normal 5 2 2 5 6" xfId="2578" xr:uid="{00000000-0005-0000-0000-00001F180000}"/>
    <cellStyle name="Normal 5 2 2 5 6 2" xfId="6861" xr:uid="{00000000-0005-0000-0000-000020180000}"/>
    <cellStyle name="Normal 5 2 2 5 6 2 2" xfId="15311" xr:uid="{03AB91D5-395D-43DE-A4FB-A44A6EA21257}"/>
    <cellStyle name="Normal 5 2 2 5 6 3" xfId="11093" xr:uid="{11597C2D-BC95-4E83-B3D2-4FC6CE8A5076}"/>
    <cellStyle name="Normal 5 2 2 5 7" xfId="4796" xr:uid="{00000000-0005-0000-0000-000021180000}"/>
    <cellStyle name="Normal 5 2 2 5 7 2" xfId="13246" xr:uid="{CEBE5081-3571-4B75-A333-D866E6617FAF}"/>
    <cellStyle name="Normal 5 2 2 5 8" xfId="9028" xr:uid="{BF03442A-B034-4049-B1A6-D3BA338733A2}"/>
    <cellStyle name="Normal 5 2 2 6" xfId="882" xr:uid="{00000000-0005-0000-0000-000022180000}"/>
    <cellStyle name="Normal 5 2 2 6 2" xfId="3117" xr:uid="{00000000-0005-0000-0000-000023180000}"/>
    <cellStyle name="Normal 5 2 2 6 2 2" xfId="7339" xr:uid="{00000000-0005-0000-0000-000024180000}"/>
    <cellStyle name="Normal 5 2 2 6 2 2 2" xfId="15789" xr:uid="{D1E6CA90-B357-46ED-9FC1-A764BFE7CFBC}"/>
    <cellStyle name="Normal 5 2 2 6 2 3" xfId="11571" xr:uid="{249D1453-0B94-4C35-A612-61B9CD579956}"/>
    <cellStyle name="Normal 5 2 2 6 3" xfId="5194" xr:uid="{00000000-0005-0000-0000-000025180000}"/>
    <cellStyle name="Normal 5 2 2 6 3 2" xfId="13644" xr:uid="{6DDB7E5F-51E8-4E11-A354-0D8497C19771}"/>
    <cellStyle name="Normal 5 2 2 6 4" xfId="9426" xr:uid="{BAD2BCBD-2E9C-4BC5-A6E2-C0F9F508722C}"/>
    <cellStyle name="Normal 5 2 2 7" xfId="1300" xr:uid="{00000000-0005-0000-0000-000026180000}"/>
    <cellStyle name="Normal 5 2 2 7 2" xfId="3530" xr:uid="{00000000-0005-0000-0000-000027180000}"/>
    <cellStyle name="Normal 5 2 2 7 2 2" xfId="7752" xr:uid="{00000000-0005-0000-0000-000028180000}"/>
    <cellStyle name="Normal 5 2 2 7 2 2 2" xfId="16202" xr:uid="{86D7201F-AAD4-461F-8D6D-7E0552746A36}"/>
    <cellStyle name="Normal 5 2 2 7 2 3" xfId="11984" xr:uid="{A24A2480-8015-425A-BF4B-8450D4C71559}"/>
    <cellStyle name="Normal 5 2 2 7 3" xfId="5607" xr:uid="{00000000-0005-0000-0000-000029180000}"/>
    <cellStyle name="Normal 5 2 2 7 3 2" xfId="14057" xr:uid="{83034D5C-907E-4326-9D39-CE8208319811}"/>
    <cellStyle name="Normal 5 2 2 7 4" xfId="9839" xr:uid="{9F845A0F-169A-4562-B578-BAE2296266AD}"/>
    <cellStyle name="Normal 5 2 2 8" xfId="1713" xr:uid="{00000000-0005-0000-0000-00002A180000}"/>
    <cellStyle name="Normal 5 2 2 8 2" xfId="3943" xr:uid="{00000000-0005-0000-0000-00002B180000}"/>
    <cellStyle name="Normal 5 2 2 8 2 2" xfId="8165" xr:uid="{00000000-0005-0000-0000-00002C180000}"/>
    <cellStyle name="Normal 5 2 2 8 2 2 2" xfId="16615" xr:uid="{39DCB4AC-81AB-430E-AE39-DFB596D1F549}"/>
    <cellStyle name="Normal 5 2 2 8 2 3" xfId="12397" xr:uid="{96A64831-E053-4514-AC70-8AC8DD8368A5}"/>
    <cellStyle name="Normal 5 2 2 8 3" xfId="6020" xr:uid="{00000000-0005-0000-0000-00002D180000}"/>
    <cellStyle name="Normal 5 2 2 8 3 2" xfId="14470" xr:uid="{679F2433-65DC-45C8-8E59-B0D8F39F9CE6}"/>
    <cellStyle name="Normal 5 2 2 8 4" xfId="10252" xr:uid="{5E9D1355-09D7-4DA3-8B8A-DF8D1DCA0425}"/>
    <cellStyle name="Normal 5 2 2 9" xfId="2127" xr:uid="{00000000-0005-0000-0000-00002E180000}"/>
    <cellStyle name="Normal 5 2 2 9 2" xfId="4356" xr:uid="{00000000-0005-0000-0000-00002F180000}"/>
    <cellStyle name="Normal 5 2 2 9 2 2" xfId="8578" xr:uid="{00000000-0005-0000-0000-000030180000}"/>
    <cellStyle name="Normal 5 2 2 9 2 2 2" xfId="17028" xr:uid="{D438F04B-349B-4D4C-BCED-45503F8A7A08}"/>
    <cellStyle name="Normal 5 2 2 9 2 3" xfId="12810" xr:uid="{68A4585A-8415-43F5-A886-E0889EFC9563}"/>
    <cellStyle name="Normal 5 2 2 9 3" xfId="6433" xr:uid="{00000000-0005-0000-0000-000031180000}"/>
    <cellStyle name="Normal 5 2 2 9 3 2" xfId="14883" xr:uid="{ECB8CD2C-157C-4B57-AF94-A1B451727B06}"/>
    <cellStyle name="Normal 5 2 2 9 4" xfId="10665" xr:uid="{29718D3A-1F29-43A6-908E-4E552882EE7B}"/>
    <cellStyle name="Normal 5 2 3" xfId="424" xr:uid="{00000000-0005-0000-0000-000032180000}"/>
    <cellStyle name="Normal 5 2 3 10" xfId="4797" xr:uid="{00000000-0005-0000-0000-000033180000}"/>
    <cellStyle name="Normal 5 2 3 10 2" xfId="13247" xr:uid="{3F7F9F66-B5AE-46DA-A41B-CE9446DD556B}"/>
    <cellStyle name="Normal 5 2 3 11" xfId="9029" xr:uid="{84D38391-4D41-426E-8FF6-BA703C940DBE}"/>
    <cellStyle name="Normal 5 2 3 2" xfId="425" xr:uid="{00000000-0005-0000-0000-000034180000}"/>
    <cellStyle name="Normal 5 2 3 2 10" xfId="9030" xr:uid="{C05A5D3B-35A5-46DA-A452-9DBBFA5C8265}"/>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2 2 2" xfId="15808" xr:uid="{84B0CB26-71C3-4E2F-8365-38F63993A429}"/>
    <cellStyle name="Normal 5 2 3 2 2 2 2 2 3" xfId="11590" xr:uid="{763BF513-0FA8-4229-B2D7-17E4B6004712}"/>
    <cellStyle name="Normal 5 2 3 2 2 2 2 3" xfId="5213" xr:uid="{00000000-0005-0000-0000-00003A180000}"/>
    <cellStyle name="Normal 5 2 3 2 2 2 2 3 2" xfId="13663" xr:uid="{2020221D-A778-4703-9A32-41AF0FFC1CFB}"/>
    <cellStyle name="Normal 5 2 3 2 2 2 2 4" xfId="9445" xr:uid="{8756D26B-844D-4A13-A462-0720A6D40641}"/>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2 2 2" xfId="16221" xr:uid="{CC16D649-8A83-445D-A290-3BB219894F26}"/>
    <cellStyle name="Normal 5 2 3 2 2 2 3 2 3" xfId="12003" xr:uid="{FEA1AC69-B68A-4FA0-9AC9-7DE1689775C8}"/>
    <cellStyle name="Normal 5 2 3 2 2 2 3 3" xfId="5626" xr:uid="{00000000-0005-0000-0000-00003E180000}"/>
    <cellStyle name="Normal 5 2 3 2 2 2 3 3 2" xfId="14076" xr:uid="{2D94D772-44B6-4760-A8D3-59E30CAC4509}"/>
    <cellStyle name="Normal 5 2 3 2 2 2 3 4" xfId="9858" xr:uid="{1274A05E-4979-49DF-A9A0-F91487E208A7}"/>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2 2 2" xfId="16634" xr:uid="{24ABDD20-A276-4A91-AB3E-5CB265CE694D}"/>
    <cellStyle name="Normal 5 2 3 2 2 2 4 2 3" xfId="12416" xr:uid="{DEB38A30-9B27-4FAD-B451-3525FC2A851A}"/>
    <cellStyle name="Normal 5 2 3 2 2 2 4 3" xfId="6039" xr:uid="{00000000-0005-0000-0000-000042180000}"/>
    <cellStyle name="Normal 5 2 3 2 2 2 4 3 2" xfId="14489" xr:uid="{A50103BE-1DDD-405B-B97E-232036CA11BC}"/>
    <cellStyle name="Normal 5 2 3 2 2 2 4 4" xfId="10271" xr:uid="{FEF50ABC-BB24-4F98-B19D-13448ED7C2F9}"/>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2 2 2" xfId="17047" xr:uid="{6C620F97-537E-4C68-A9F0-FDD2809701DD}"/>
    <cellStyle name="Normal 5 2 3 2 2 2 5 2 3" xfId="12829" xr:uid="{3B6DE77C-762D-4C37-B037-CE430B5DEDD5}"/>
    <cellStyle name="Normal 5 2 3 2 2 2 5 3" xfId="6452" xr:uid="{00000000-0005-0000-0000-000046180000}"/>
    <cellStyle name="Normal 5 2 3 2 2 2 5 3 2" xfId="14902" xr:uid="{11F3ABC7-4F70-407E-9F8D-FE7CC6294CFD}"/>
    <cellStyle name="Normal 5 2 3 2 2 2 5 4" xfId="10684" xr:uid="{A61E58D2-34F7-43F4-B405-02987B5B623D}"/>
    <cellStyle name="Normal 5 2 3 2 2 2 6" xfId="2582" xr:uid="{00000000-0005-0000-0000-000047180000}"/>
    <cellStyle name="Normal 5 2 3 2 2 2 6 2" xfId="6865" xr:uid="{00000000-0005-0000-0000-000048180000}"/>
    <cellStyle name="Normal 5 2 3 2 2 2 6 2 2" xfId="15315" xr:uid="{D721E8C9-ECEB-4B81-9E14-8EBF5A4EC978}"/>
    <cellStyle name="Normal 5 2 3 2 2 2 6 3" xfId="11097" xr:uid="{273718ED-9187-44FC-98BB-C8BAF710CD92}"/>
    <cellStyle name="Normal 5 2 3 2 2 2 7" xfId="4800" xr:uid="{00000000-0005-0000-0000-000049180000}"/>
    <cellStyle name="Normal 5 2 3 2 2 2 7 2" xfId="13250" xr:uid="{8A7B5E79-3A74-4121-8152-635FAA15427C}"/>
    <cellStyle name="Normal 5 2 3 2 2 2 8" xfId="9032" xr:uid="{80D95E1B-6169-4559-9480-BEA24895B2E6}"/>
    <cellStyle name="Normal 5 2 3 2 2 3" xfId="900" xr:uid="{00000000-0005-0000-0000-00004A180000}"/>
    <cellStyle name="Normal 5 2 3 2 2 3 2" xfId="3135" xr:uid="{00000000-0005-0000-0000-00004B180000}"/>
    <cellStyle name="Normal 5 2 3 2 2 3 2 2" xfId="7357" xr:uid="{00000000-0005-0000-0000-00004C180000}"/>
    <cellStyle name="Normal 5 2 3 2 2 3 2 2 2" xfId="15807" xr:uid="{1BD85841-C816-4CBF-9308-C80E6013059B}"/>
    <cellStyle name="Normal 5 2 3 2 2 3 2 3" xfId="11589" xr:uid="{C511A615-C7C3-49D6-9D54-28924BBB0913}"/>
    <cellStyle name="Normal 5 2 3 2 2 3 3" xfId="5212" xr:uid="{00000000-0005-0000-0000-00004D180000}"/>
    <cellStyle name="Normal 5 2 3 2 2 3 3 2" xfId="13662" xr:uid="{26F66643-53A7-4FB1-A4A4-B3EA8BD7FF55}"/>
    <cellStyle name="Normal 5 2 3 2 2 3 4" xfId="9444" xr:uid="{66CE75FB-892E-452B-8EDF-557E4522C19E}"/>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2 2 2" xfId="16220" xr:uid="{48AC7460-8C25-4FE9-9DA6-952668567B37}"/>
    <cellStyle name="Normal 5 2 3 2 2 4 2 3" xfId="12002" xr:uid="{60561E44-C3CA-4BAD-BC44-770EF9268F58}"/>
    <cellStyle name="Normal 5 2 3 2 2 4 3" xfId="5625" xr:uid="{00000000-0005-0000-0000-000051180000}"/>
    <cellStyle name="Normal 5 2 3 2 2 4 3 2" xfId="14075" xr:uid="{F9E4259B-32DC-4A4E-A727-F15B4E45FBBC}"/>
    <cellStyle name="Normal 5 2 3 2 2 4 4" xfId="9857" xr:uid="{EA7610DB-9FBB-4B24-8092-2A8C05AF328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2 2 2" xfId="16633" xr:uid="{CD2001F0-64CF-4255-B0A4-7031ED8C5655}"/>
    <cellStyle name="Normal 5 2 3 2 2 5 2 3" xfId="12415" xr:uid="{FF14D328-8C1C-4825-83FE-83529B583940}"/>
    <cellStyle name="Normal 5 2 3 2 2 5 3" xfId="6038" xr:uid="{00000000-0005-0000-0000-000055180000}"/>
    <cellStyle name="Normal 5 2 3 2 2 5 3 2" xfId="14488" xr:uid="{1F62A558-F33E-4C46-805E-FC2708FC2539}"/>
    <cellStyle name="Normal 5 2 3 2 2 5 4" xfId="10270" xr:uid="{07FE6189-2BFB-43FD-AC47-5EAB1C795392}"/>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2 2 2" xfId="17046" xr:uid="{DFA5D082-5AA1-4D81-93E1-D48C9724A1B9}"/>
    <cellStyle name="Normal 5 2 3 2 2 6 2 3" xfId="12828" xr:uid="{21632312-C121-4F77-8074-59A2AA152BB1}"/>
    <cellStyle name="Normal 5 2 3 2 2 6 3" xfId="6451" xr:uid="{00000000-0005-0000-0000-000059180000}"/>
    <cellStyle name="Normal 5 2 3 2 2 6 3 2" xfId="14901" xr:uid="{81C01586-546B-4C59-BCC5-83F8AA4916FA}"/>
    <cellStyle name="Normal 5 2 3 2 2 6 4" xfId="10683" xr:uid="{1ED02280-D143-456E-B314-344AEE7005A2}"/>
    <cellStyle name="Normal 5 2 3 2 2 7" xfId="2581" xr:uid="{00000000-0005-0000-0000-00005A180000}"/>
    <cellStyle name="Normal 5 2 3 2 2 7 2" xfId="6864" xr:uid="{00000000-0005-0000-0000-00005B180000}"/>
    <cellStyle name="Normal 5 2 3 2 2 7 2 2" xfId="15314" xr:uid="{ECBB9143-C426-4F0C-A038-2CD52851F961}"/>
    <cellStyle name="Normal 5 2 3 2 2 7 3" xfId="11096" xr:uid="{37D5F150-507E-4780-9171-0A63820C0FFC}"/>
    <cellStyle name="Normal 5 2 3 2 2 8" xfId="4799" xr:uid="{00000000-0005-0000-0000-00005C180000}"/>
    <cellStyle name="Normal 5 2 3 2 2 8 2" xfId="13249" xr:uid="{3873A942-63F5-4921-92D5-08584B8D7495}"/>
    <cellStyle name="Normal 5 2 3 2 2 9" xfId="9031" xr:uid="{2DFABC59-F650-4478-95EB-7F33640DF382}"/>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2 2 2" xfId="15809" xr:uid="{6DB85D6A-0810-4F38-94AC-5881F7E3424B}"/>
    <cellStyle name="Normal 5 2 3 2 3 2 2 3" xfId="11591" xr:uid="{11E49F12-AA47-42FA-9B91-02607995F2AC}"/>
    <cellStyle name="Normal 5 2 3 2 3 2 3" xfId="5214" xr:uid="{00000000-0005-0000-0000-000061180000}"/>
    <cellStyle name="Normal 5 2 3 2 3 2 3 2" xfId="13664" xr:uid="{73D47156-851A-412A-A943-6319DF247B28}"/>
    <cellStyle name="Normal 5 2 3 2 3 2 4" xfId="9446" xr:uid="{1C6690C9-8B44-4E40-BF25-ECEFF10297A9}"/>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2 2 2" xfId="16222" xr:uid="{CBEF26AB-5A30-4455-A233-56DAB3496C27}"/>
    <cellStyle name="Normal 5 2 3 2 3 3 2 3" xfId="12004" xr:uid="{80318E3D-72B4-4841-AC50-556ADBD41583}"/>
    <cellStyle name="Normal 5 2 3 2 3 3 3" xfId="5627" xr:uid="{00000000-0005-0000-0000-000065180000}"/>
    <cellStyle name="Normal 5 2 3 2 3 3 3 2" xfId="14077" xr:uid="{F220FEC1-5D89-468E-A6B0-242F4C6EA546}"/>
    <cellStyle name="Normal 5 2 3 2 3 3 4" xfId="9859" xr:uid="{17E68C12-7A59-4582-8D56-F173AAEF495C}"/>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2 2 2" xfId="16635" xr:uid="{5C97E0DF-4729-4EC3-8363-D9EF3BCE3436}"/>
    <cellStyle name="Normal 5 2 3 2 3 4 2 3" xfId="12417" xr:uid="{B4965B2E-D4FE-400D-836E-53E2DE354974}"/>
    <cellStyle name="Normal 5 2 3 2 3 4 3" xfId="6040" xr:uid="{00000000-0005-0000-0000-000069180000}"/>
    <cellStyle name="Normal 5 2 3 2 3 4 3 2" xfId="14490" xr:uid="{F1B39429-997E-43E6-9B23-D2B9183B9EA7}"/>
    <cellStyle name="Normal 5 2 3 2 3 4 4" xfId="10272" xr:uid="{EA9F7442-20CC-4639-8AE0-74668D416DD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2 2 2" xfId="17048" xr:uid="{0CAD7BD3-070F-4BA8-B607-1DB7274116CD}"/>
    <cellStyle name="Normal 5 2 3 2 3 5 2 3" xfId="12830" xr:uid="{34426459-2AA2-44AC-AAA2-9D6E0E9AEEA3}"/>
    <cellStyle name="Normal 5 2 3 2 3 5 3" xfId="6453" xr:uid="{00000000-0005-0000-0000-00006D180000}"/>
    <cellStyle name="Normal 5 2 3 2 3 5 3 2" xfId="14903" xr:uid="{A5C33909-20C8-4930-936A-6BEA5A4B619E}"/>
    <cellStyle name="Normal 5 2 3 2 3 5 4" xfId="10685" xr:uid="{8CF5CCC2-3615-4D68-AD34-F3901ECF44F2}"/>
    <cellStyle name="Normal 5 2 3 2 3 6" xfId="2583" xr:uid="{00000000-0005-0000-0000-00006E180000}"/>
    <cellStyle name="Normal 5 2 3 2 3 6 2" xfId="6866" xr:uid="{00000000-0005-0000-0000-00006F180000}"/>
    <cellStyle name="Normal 5 2 3 2 3 6 2 2" xfId="15316" xr:uid="{8A005ADE-95A7-4C0D-BE6C-7CBE82B269D1}"/>
    <cellStyle name="Normal 5 2 3 2 3 6 3" xfId="11098" xr:uid="{7A4BA740-2596-43A0-80EA-597C55C65997}"/>
    <cellStyle name="Normal 5 2 3 2 3 7" xfId="4801" xr:uid="{00000000-0005-0000-0000-000070180000}"/>
    <cellStyle name="Normal 5 2 3 2 3 7 2" xfId="13251" xr:uid="{F49EE11F-8CE0-448B-BF29-D9A044452F33}"/>
    <cellStyle name="Normal 5 2 3 2 3 8" xfId="9033" xr:uid="{B796F87C-9DA5-4FCC-8239-8FF62E7619B6}"/>
    <cellStyle name="Normal 5 2 3 2 4" xfId="899" xr:uid="{00000000-0005-0000-0000-000071180000}"/>
    <cellStyle name="Normal 5 2 3 2 4 2" xfId="3134" xr:uid="{00000000-0005-0000-0000-000072180000}"/>
    <cellStyle name="Normal 5 2 3 2 4 2 2" xfId="7356" xr:uid="{00000000-0005-0000-0000-000073180000}"/>
    <cellStyle name="Normal 5 2 3 2 4 2 2 2" xfId="15806" xr:uid="{56777B0F-E074-45DE-80BD-C027982EC767}"/>
    <cellStyle name="Normal 5 2 3 2 4 2 3" xfId="11588" xr:uid="{A40BD95B-6B26-45B8-A887-388E3981B5E2}"/>
    <cellStyle name="Normal 5 2 3 2 4 3" xfId="5211" xr:uid="{00000000-0005-0000-0000-000074180000}"/>
    <cellStyle name="Normal 5 2 3 2 4 3 2" xfId="13661" xr:uid="{6A78BD56-8A71-4EDB-8387-302AB7EF77BF}"/>
    <cellStyle name="Normal 5 2 3 2 4 4" xfId="9443" xr:uid="{A8578DFA-8429-452B-8E09-5D94EECA71BB}"/>
    <cellStyle name="Normal 5 2 3 2 5" xfId="1317" xr:uid="{00000000-0005-0000-0000-000075180000}"/>
    <cellStyle name="Normal 5 2 3 2 5 2" xfId="3547" xr:uid="{00000000-0005-0000-0000-000076180000}"/>
    <cellStyle name="Normal 5 2 3 2 5 2 2" xfId="7769" xr:uid="{00000000-0005-0000-0000-000077180000}"/>
    <cellStyle name="Normal 5 2 3 2 5 2 2 2" xfId="16219" xr:uid="{513F6CFF-D64C-4062-A2CF-6795E941E5B5}"/>
    <cellStyle name="Normal 5 2 3 2 5 2 3" xfId="12001" xr:uid="{3E879E2C-BA9F-42D0-9367-AB2758C17AA0}"/>
    <cellStyle name="Normal 5 2 3 2 5 3" xfId="5624" xr:uid="{00000000-0005-0000-0000-000078180000}"/>
    <cellStyle name="Normal 5 2 3 2 5 3 2" xfId="14074" xr:uid="{67825A8C-57E9-482A-A6A9-40DFCB1A4E31}"/>
    <cellStyle name="Normal 5 2 3 2 5 4" xfId="9856" xr:uid="{C9FCB928-8E77-4C01-899E-68D766408E64}"/>
    <cellStyle name="Normal 5 2 3 2 6" xfId="1730" xr:uid="{00000000-0005-0000-0000-000079180000}"/>
    <cellStyle name="Normal 5 2 3 2 6 2" xfId="3960" xr:uid="{00000000-0005-0000-0000-00007A180000}"/>
    <cellStyle name="Normal 5 2 3 2 6 2 2" xfId="8182" xr:uid="{00000000-0005-0000-0000-00007B180000}"/>
    <cellStyle name="Normal 5 2 3 2 6 2 2 2" xfId="16632" xr:uid="{025D82D6-9E7E-42F5-973F-38144EEC89C8}"/>
    <cellStyle name="Normal 5 2 3 2 6 2 3" xfId="12414" xr:uid="{AA0FB8B9-2B12-4E11-B719-2C023EF80B0B}"/>
    <cellStyle name="Normal 5 2 3 2 6 3" xfId="6037" xr:uid="{00000000-0005-0000-0000-00007C180000}"/>
    <cellStyle name="Normal 5 2 3 2 6 3 2" xfId="14487" xr:uid="{2158BFF1-6816-4FB2-AD1E-A9D1A5A7542E}"/>
    <cellStyle name="Normal 5 2 3 2 6 4" xfId="10269" xr:uid="{21221EDF-8921-40C1-A8E8-AD515996FC6F}"/>
    <cellStyle name="Normal 5 2 3 2 7" xfId="2144" xr:uid="{00000000-0005-0000-0000-00007D180000}"/>
    <cellStyle name="Normal 5 2 3 2 7 2" xfId="4373" xr:uid="{00000000-0005-0000-0000-00007E180000}"/>
    <cellStyle name="Normal 5 2 3 2 7 2 2" xfId="8595" xr:uid="{00000000-0005-0000-0000-00007F180000}"/>
    <cellStyle name="Normal 5 2 3 2 7 2 2 2" xfId="17045" xr:uid="{B6D80554-93BC-4CB9-B52E-2E8042ED7550}"/>
    <cellStyle name="Normal 5 2 3 2 7 2 3" xfId="12827" xr:uid="{33AA5852-C55E-4CF9-B096-F08E1A07BC36}"/>
    <cellStyle name="Normal 5 2 3 2 7 3" xfId="6450" xr:uid="{00000000-0005-0000-0000-000080180000}"/>
    <cellStyle name="Normal 5 2 3 2 7 3 2" xfId="14900" xr:uid="{3FA301F5-3619-4B1E-A49F-CF2EC61A26A5}"/>
    <cellStyle name="Normal 5 2 3 2 7 4" xfId="10682" xr:uid="{12220A58-8D88-4DF6-A3BA-07E3D3DCEB41}"/>
    <cellStyle name="Normal 5 2 3 2 8" xfId="2580" xr:uid="{00000000-0005-0000-0000-000081180000}"/>
    <cellStyle name="Normal 5 2 3 2 8 2" xfId="6863" xr:uid="{00000000-0005-0000-0000-000082180000}"/>
    <cellStyle name="Normal 5 2 3 2 8 2 2" xfId="15313" xr:uid="{DC059ED6-8F56-4D98-8575-85BC6F15798F}"/>
    <cellStyle name="Normal 5 2 3 2 8 3" xfId="11095" xr:uid="{8EBC1C89-6F58-45B0-A20B-5C7C9FAB7B02}"/>
    <cellStyle name="Normal 5 2 3 2 9" xfId="4798" xr:uid="{00000000-0005-0000-0000-000083180000}"/>
    <cellStyle name="Normal 5 2 3 2 9 2" xfId="13248" xr:uid="{A46BEC5F-5ACF-46B9-81F4-88BDF15C0DF9}"/>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2 2 2" xfId="15811" xr:uid="{1F96C606-B497-4D82-800E-B8FD05E9AE84}"/>
    <cellStyle name="Normal 5 2 3 3 2 2 2 3" xfId="11593" xr:uid="{D38B0888-CF24-423C-9405-E2CEF7B4CF44}"/>
    <cellStyle name="Normal 5 2 3 3 2 2 3" xfId="5216" xr:uid="{00000000-0005-0000-0000-000089180000}"/>
    <cellStyle name="Normal 5 2 3 3 2 2 3 2" xfId="13666" xr:uid="{30EB1D24-D81F-46DA-BC84-D847BAD80472}"/>
    <cellStyle name="Normal 5 2 3 3 2 2 4" xfId="9448" xr:uid="{1776F365-4D0B-4CC8-98BD-0C1C99675E1A}"/>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2 2 2" xfId="16224" xr:uid="{6020F74E-B6D6-4197-8272-D1E409399E51}"/>
    <cellStyle name="Normal 5 2 3 3 2 3 2 3" xfId="12006" xr:uid="{43E062FC-3E77-481E-BE88-43E55F8E5019}"/>
    <cellStyle name="Normal 5 2 3 3 2 3 3" xfId="5629" xr:uid="{00000000-0005-0000-0000-00008D180000}"/>
    <cellStyle name="Normal 5 2 3 3 2 3 3 2" xfId="14079" xr:uid="{ED9A9ED8-3C0C-49A9-BACE-FF6F9578CA02}"/>
    <cellStyle name="Normal 5 2 3 3 2 3 4" xfId="9861" xr:uid="{686284D3-FADA-476F-84AF-47A73D99274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2 2 2" xfId="16637" xr:uid="{A6A24699-A93A-4337-8A86-97518DB3CB9B}"/>
    <cellStyle name="Normal 5 2 3 3 2 4 2 3" xfId="12419" xr:uid="{318F677D-6B11-4B88-818C-16684B90A800}"/>
    <cellStyle name="Normal 5 2 3 3 2 4 3" xfId="6042" xr:uid="{00000000-0005-0000-0000-000091180000}"/>
    <cellStyle name="Normal 5 2 3 3 2 4 3 2" xfId="14492" xr:uid="{15859C78-5F3E-48F4-B918-85C6DC6CC187}"/>
    <cellStyle name="Normal 5 2 3 3 2 4 4" xfId="10274" xr:uid="{D2EC469B-A75C-4593-8041-39A59C726DEE}"/>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2 2 2" xfId="17050" xr:uid="{FFD67F4E-ACEA-48D3-A462-17E4584106E4}"/>
    <cellStyle name="Normal 5 2 3 3 2 5 2 3" xfId="12832" xr:uid="{584B5313-F004-40C4-8347-975477A9EF1D}"/>
    <cellStyle name="Normal 5 2 3 3 2 5 3" xfId="6455" xr:uid="{00000000-0005-0000-0000-000095180000}"/>
    <cellStyle name="Normal 5 2 3 3 2 5 3 2" xfId="14905" xr:uid="{0273A3A1-39C0-4764-9AE5-BD9FBA7B68FD}"/>
    <cellStyle name="Normal 5 2 3 3 2 5 4" xfId="10687" xr:uid="{BA082CD6-AA8D-4578-99D0-2DDAEE84091F}"/>
    <cellStyle name="Normal 5 2 3 3 2 6" xfId="2585" xr:uid="{00000000-0005-0000-0000-000096180000}"/>
    <cellStyle name="Normal 5 2 3 3 2 6 2" xfId="6868" xr:uid="{00000000-0005-0000-0000-000097180000}"/>
    <cellStyle name="Normal 5 2 3 3 2 6 2 2" xfId="15318" xr:uid="{F693E5B4-B583-49D6-8C20-76428A343BAF}"/>
    <cellStyle name="Normal 5 2 3 3 2 6 3" xfId="11100" xr:uid="{ADA39DAF-F206-494C-A375-2F24EDC66B45}"/>
    <cellStyle name="Normal 5 2 3 3 2 7" xfId="4803" xr:uid="{00000000-0005-0000-0000-000098180000}"/>
    <cellStyle name="Normal 5 2 3 3 2 7 2" xfId="13253" xr:uid="{15471518-C369-47A5-8130-62C5E30422C1}"/>
    <cellStyle name="Normal 5 2 3 3 2 8" xfId="9035" xr:uid="{B0604E60-F345-447A-AC9E-8CA35EBC7E49}"/>
    <cellStyle name="Normal 5 2 3 3 3" xfId="903" xr:uid="{00000000-0005-0000-0000-000099180000}"/>
    <cellStyle name="Normal 5 2 3 3 3 2" xfId="3138" xr:uid="{00000000-0005-0000-0000-00009A180000}"/>
    <cellStyle name="Normal 5 2 3 3 3 2 2" xfId="7360" xr:uid="{00000000-0005-0000-0000-00009B180000}"/>
    <cellStyle name="Normal 5 2 3 3 3 2 2 2" xfId="15810" xr:uid="{F47DAC69-8CE5-4357-8A5E-F63F9D3D1B73}"/>
    <cellStyle name="Normal 5 2 3 3 3 2 3" xfId="11592" xr:uid="{D14FDC6A-79F9-4A6F-B710-877CE10C357F}"/>
    <cellStyle name="Normal 5 2 3 3 3 3" xfId="5215" xr:uid="{00000000-0005-0000-0000-00009C180000}"/>
    <cellStyle name="Normal 5 2 3 3 3 3 2" xfId="13665" xr:uid="{6ADE2981-EEE0-422C-BFDA-CDBF330A3819}"/>
    <cellStyle name="Normal 5 2 3 3 3 4" xfId="9447" xr:uid="{350C7AA9-C76B-4ACA-8CD9-B5F64B353C92}"/>
    <cellStyle name="Normal 5 2 3 3 4" xfId="1321" xr:uid="{00000000-0005-0000-0000-00009D180000}"/>
    <cellStyle name="Normal 5 2 3 3 4 2" xfId="3551" xr:uid="{00000000-0005-0000-0000-00009E180000}"/>
    <cellStyle name="Normal 5 2 3 3 4 2 2" xfId="7773" xr:uid="{00000000-0005-0000-0000-00009F180000}"/>
    <cellStyle name="Normal 5 2 3 3 4 2 2 2" xfId="16223" xr:uid="{85A2FB53-0881-4C42-878E-5B6A457623AD}"/>
    <cellStyle name="Normal 5 2 3 3 4 2 3" xfId="12005" xr:uid="{2D923E34-989A-43A5-B7EC-0C9FF65B8D29}"/>
    <cellStyle name="Normal 5 2 3 3 4 3" xfId="5628" xr:uid="{00000000-0005-0000-0000-0000A0180000}"/>
    <cellStyle name="Normal 5 2 3 3 4 3 2" xfId="14078" xr:uid="{A600975B-1A82-4E5D-B3E2-22C06D2C1C86}"/>
    <cellStyle name="Normal 5 2 3 3 4 4" xfId="9860" xr:uid="{FB02A4CC-8BAB-4B42-BB00-0E06A3C5FAD8}"/>
    <cellStyle name="Normal 5 2 3 3 5" xfId="1734" xr:uid="{00000000-0005-0000-0000-0000A1180000}"/>
    <cellStyle name="Normal 5 2 3 3 5 2" xfId="3964" xr:uid="{00000000-0005-0000-0000-0000A2180000}"/>
    <cellStyle name="Normal 5 2 3 3 5 2 2" xfId="8186" xr:uid="{00000000-0005-0000-0000-0000A3180000}"/>
    <cellStyle name="Normal 5 2 3 3 5 2 2 2" xfId="16636" xr:uid="{3DA8C432-F4EE-4354-9846-59FCC086CA8B}"/>
    <cellStyle name="Normal 5 2 3 3 5 2 3" xfId="12418" xr:uid="{0514B9BA-E3E2-4F4B-A349-8A4CDFE70C29}"/>
    <cellStyle name="Normal 5 2 3 3 5 3" xfId="6041" xr:uid="{00000000-0005-0000-0000-0000A4180000}"/>
    <cellStyle name="Normal 5 2 3 3 5 3 2" xfId="14491" xr:uid="{F53BB8D1-8163-474A-AB14-41EAA211FCB2}"/>
    <cellStyle name="Normal 5 2 3 3 5 4" xfId="10273" xr:uid="{641FC078-B72F-493D-BC7C-207F79CD1756}"/>
    <cellStyle name="Normal 5 2 3 3 6" xfId="2148" xr:uid="{00000000-0005-0000-0000-0000A5180000}"/>
    <cellStyle name="Normal 5 2 3 3 6 2" xfId="4377" xr:uid="{00000000-0005-0000-0000-0000A6180000}"/>
    <cellStyle name="Normal 5 2 3 3 6 2 2" xfId="8599" xr:uid="{00000000-0005-0000-0000-0000A7180000}"/>
    <cellStyle name="Normal 5 2 3 3 6 2 2 2" xfId="17049" xr:uid="{73FF8EEE-541D-4376-9B2D-03DBE35FF99D}"/>
    <cellStyle name="Normal 5 2 3 3 6 2 3" xfId="12831" xr:uid="{84507AE6-3727-45B2-88CA-7EAFB6F5BA62}"/>
    <cellStyle name="Normal 5 2 3 3 6 3" xfId="6454" xr:uid="{00000000-0005-0000-0000-0000A8180000}"/>
    <cellStyle name="Normal 5 2 3 3 6 3 2" xfId="14904" xr:uid="{ED04D2CE-49A9-4F36-A639-98BCF9E6DFE3}"/>
    <cellStyle name="Normal 5 2 3 3 6 4" xfId="10686" xr:uid="{354996A0-E8FF-4493-9271-6528D8C20085}"/>
    <cellStyle name="Normal 5 2 3 3 7" xfId="2584" xr:uid="{00000000-0005-0000-0000-0000A9180000}"/>
    <cellStyle name="Normal 5 2 3 3 7 2" xfId="6867" xr:uid="{00000000-0005-0000-0000-0000AA180000}"/>
    <cellStyle name="Normal 5 2 3 3 7 2 2" xfId="15317" xr:uid="{B2548EB8-7B45-4B24-A933-B71E6263C787}"/>
    <cellStyle name="Normal 5 2 3 3 7 3" xfId="11099" xr:uid="{A8E51A4D-5EE0-45B9-968C-00439F9C8A2B}"/>
    <cellStyle name="Normal 5 2 3 3 8" xfId="4802" xr:uid="{00000000-0005-0000-0000-0000AB180000}"/>
    <cellStyle name="Normal 5 2 3 3 8 2" xfId="13252" xr:uid="{8AAF4326-B830-46CB-A529-75C63185962F}"/>
    <cellStyle name="Normal 5 2 3 3 9" xfId="9034" xr:uid="{23CEDEB2-16ED-44D7-A2C5-AC2D03D1A7C2}"/>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2 2 2" xfId="15812" xr:uid="{DC2B1E67-6F6E-443E-ADDA-8D52BA3453B3}"/>
    <cellStyle name="Normal 5 2 3 4 2 2 3" xfId="11594" xr:uid="{36711767-B624-43B1-894E-BA49EDE4B566}"/>
    <cellStyle name="Normal 5 2 3 4 2 3" xfId="5217" xr:uid="{00000000-0005-0000-0000-0000B0180000}"/>
    <cellStyle name="Normal 5 2 3 4 2 3 2" xfId="13667" xr:uid="{99C0A35C-86DA-4C7A-BCD4-5795F3CC19E9}"/>
    <cellStyle name="Normal 5 2 3 4 2 4" xfId="9449" xr:uid="{2EC62F47-9D4F-421D-8E36-C7FAA2BBBDC1}"/>
    <cellStyle name="Normal 5 2 3 4 3" xfId="1323" xr:uid="{00000000-0005-0000-0000-0000B1180000}"/>
    <cellStyle name="Normal 5 2 3 4 3 2" xfId="3553" xr:uid="{00000000-0005-0000-0000-0000B2180000}"/>
    <cellStyle name="Normal 5 2 3 4 3 2 2" xfId="7775" xr:uid="{00000000-0005-0000-0000-0000B3180000}"/>
    <cellStyle name="Normal 5 2 3 4 3 2 2 2" xfId="16225" xr:uid="{DB686789-1DE6-45ED-9CEC-C5489FB0BAB0}"/>
    <cellStyle name="Normal 5 2 3 4 3 2 3" xfId="12007" xr:uid="{76023E68-426E-4625-BB59-46BD94042F34}"/>
    <cellStyle name="Normal 5 2 3 4 3 3" xfId="5630" xr:uid="{00000000-0005-0000-0000-0000B4180000}"/>
    <cellStyle name="Normal 5 2 3 4 3 3 2" xfId="14080" xr:uid="{33E6296F-C715-414F-B3AC-05DF58BBF1A3}"/>
    <cellStyle name="Normal 5 2 3 4 3 4" xfId="9862" xr:uid="{966EF642-72AD-4DA6-8B06-69C6C7AA21BE}"/>
    <cellStyle name="Normal 5 2 3 4 4" xfId="1736" xr:uid="{00000000-0005-0000-0000-0000B5180000}"/>
    <cellStyle name="Normal 5 2 3 4 4 2" xfId="3966" xr:uid="{00000000-0005-0000-0000-0000B6180000}"/>
    <cellStyle name="Normal 5 2 3 4 4 2 2" xfId="8188" xr:uid="{00000000-0005-0000-0000-0000B7180000}"/>
    <cellStyle name="Normal 5 2 3 4 4 2 2 2" xfId="16638" xr:uid="{4266A3CA-4B76-474D-AAC9-79B8E4D242E5}"/>
    <cellStyle name="Normal 5 2 3 4 4 2 3" xfId="12420" xr:uid="{6F7785D3-EB99-49D6-BADE-C404B28DEAA4}"/>
    <cellStyle name="Normal 5 2 3 4 4 3" xfId="6043" xr:uid="{00000000-0005-0000-0000-0000B8180000}"/>
    <cellStyle name="Normal 5 2 3 4 4 3 2" xfId="14493" xr:uid="{635E8E58-9845-4431-B886-F895A485B751}"/>
    <cellStyle name="Normal 5 2 3 4 4 4" xfId="10275" xr:uid="{91533DC1-838F-4E64-B483-6C8367133780}"/>
    <cellStyle name="Normal 5 2 3 4 5" xfId="2150" xr:uid="{00000000-0005-0000-0000-0000B9180000}"/>
    <cellStyle name="Normal 5 2 3 4 5 2" xfId="4379" xr:uid="{00000000-0005-0000-0000-0000BA180000}"/>
    <cellStyle name="Normal 5 2 3 4 5 2 2" xfId="8601" xr:uid="{00000000-0005-0000-0000-0000BB180000}"/>
    <cellStyle name="Normal 5 2 3 4 5 2 2 2" xfId="17051" xr:uid="{B359DE36-294E-4A06-8743-46A03E32103B}"/>
    <cellStyle name="Normal 5 2 3 4 5 2 3" xfId="12833" xr:uid="{18005D73-6823-46A6-81FA-50B52B8F8DB9}"/>
    <cellStyle name="Normal 5 2 3 4 5 3" xfId="6456" xr:uid="{00000000-0005-0000-0000-0000BC180000}"/>
    <cellStyle name="Normal 5 2 3 4 5 3 2" xfId="14906" xr:uid="{91CC263C-CCB7-40D6-B469-C7312B290B4C}"/>
    <cellStyle name="Normal 5 2 3 4 5 4" xfId="10688" xr:uid="{457EEBC4-F58D-4278-A097-0C02DF37FA7B}"/>
    <cellStyle name="Normal 5 2 3 4 6" xfId="2586" xr:uid="{00000000-0005-0000-0000-0000BD180000}"/>
    <cellStyle name="Normal 5 2 3 4 6 2" xfId="6869" xr:uid="{00000000-0005-0000-0000-0000BE180000}"/>
    <cellStyle name="Normal 5 2 3 4 6 2 2" xfId="15319" xr:uid="{6CCE31D8-095C-49B2-B3DA-0346408FC4C1}"/>
    <cellStyle name="Normal 5 2 3 4 6 3" xfId="11101" xr:uid="{ACF16E03-5863-4171-9095-62B438716649}"/>
    <cellStyle name="Normal 5 2 3 4 7" xfId="4804" xr:uid="{00000000-0005-0000-0000-0000BF180000}"/>
    <cellStyle name="Normal 5 2 3 4 7 2" xfId="13254" xr:uid="{FB0A48DE-6672-48E8-A14D-3B16E9EB1F43}"/>
    <cellStyle name="Normal 5 2 3 4 8" xfId="9036" xr:uid="{2857492C-02B1-4124-8CFE-C30D658D1518}"/>
    <cellStyle name="Normal 5 2 3 5" xfId="898" xr:uid="{00000000-0005-0000-0000-0000C0180000}"/>
    <cellStyle name="Normal 5 2 3 5 2" xfId="3133" xr:uid="{00000000-0005-0000-0000-0000C1180000}"/>
    <cellStyle name="Normal 5 2 3 5 2 2" xfId="7355" xr:uid="{00000000-0005-0000-0000-0000C2180000}"/>
    <cellStyle name="Normal 5 2 3 5 2 2 2" xfId="15805" xr:uid="{FFA67BD8-574B-4B60-B65A-3776DF5AF74D}"/>
    <cellStyle name="Normal 5 2 3 5 2 3" xfId="11587" xr:uid="{3D3F2A2A-71F8-4127-8594-DCB0385A9F62}"/>
    <cellStyle name="Normal 5 2 3 5 3" xfId="5210" xr:uid="{00000000-0005-0000-0000-0000C3180000}"/>
    <cellStyle name="Normal 5 2 3 5 3 2" xfId="13660" xr:uid="{E046A150-5FD8-4CD6-B894-54A289A2CE39}"/>
    <cellStyle name="Normal 5 2 3 5 4" xfId="9442" xr:uid="{573577A4-3128-41A4-AB77-18BEB48EAD9C}"/>
    <cellStyle name="Normal 5 2 3 6" xfId="1316" xr:uid="{00000000-0005-0000-0000-0000C4180000}"/>
    <cellStyle name="Normal 5 2 3 6 2" xfId="3546" xr:uid="{00000000-0005-0000-0000-0000C5180000}"/>
    <cellStyle name="Normal 5 2 3 6 2 2" xfId="7768" xr:uid="{00000000-0005-0000-0000-0000C6180000}"/>
    <cellStyle name="Normal 5 2 3 6 2 2 2" xfId="16218" xr:uid="{3DEC31F7-4F10-46FB-9DBA-F047CA3B74F4}"/>
    <cellStyle name="Normal 5 2 3 6 2 3" xfId="12000" xr:uid="{85EFDD4B-1579-47CF-B7B1-3B6FC7D4E93F}"/>
    <cellStyle name="Normal 5 2 3 6 3" xfId="5623" xr:uid="{00000000-0005-0000-0000-0000C7180000}"/>
    <cellStyle name="Normal 5 2 3 6 3 2" xfId="14073" xr:uid="{3C4A2A52-02E3-40F7-81FB-4EBAE8568F4A}"/>
    <cellStyle name="Normal 5 2 3 6 4" xfId="9855" xr:uid="{E518AEA6-0785-4839-871C-8E1210CD9E49}"/>
    <cellStyle name="Normal 5 2 3 7" xfId="1729" xr:uid="{00000000-0005-0000-0000-0000C8180000}"/>
    <cellStyle name="Normal 5 2 3 7 2" xfId="3959" xr:uid="{00000000-0005-0000-0000-0000C9180000}"/>
    <cellStyle name="Normal 5 2 3 7 2 2" xfId="8181" xr:uid="{00000000-0005-0000-0000-0000CA180000}"/>
    <cellStyle name="Normal 5 2 3 7 2 2 2" xfId="16631" xr:uid="{58DD51C7-C0D5-47BA-BA92-6174A1FBBC4B}"/>
    <cellStyle name="Normal 5 2 3 7 2 3" xfId="12413" xr:uid="{3B30B34D-097C-47C6-A47C-3A4054F4FA25}"/>
    <cellStyle name="Normal 5 2 3 7 3" xfId="6036" xr:uid="{00000000-0005-0000-0000-0000CB180000}"/>
    <cellStyle name="Normal 5 2 3 7 3 2" xfId="14486" xr:uid="{AC33F4A4-0ACA-4E17-98E5-A491D95A0839}"/>
    <cellStyle name="Normal 5 2 3 7 4" xfId="10268" xr:uid="{95052D95-22FE-4D00-87DD-39531A61BC34}"/>
    <cellStyle name="Normal 5 2 3 8" xfId="2143" xr:uid="{00000000-0005-0000-0000-0000CC180000}"/>
    <cellStyle name="Normal 5 2 3 8 2" xfId="4372" xr:uid="{00000000-0005-0000-0000-0000CD180000}"/>
    <cellStyle name="Normal 5 2 3 8 2 2" xfId="8594" xr:uid="{00000000-0005-0000-0000-0000CE180000}"/>
    <cellStyle name="Normal 5 2 3 8 2 2 2" xfId="17044" xr:uid="{D9E58012-5654-42A9-B99A-16E3F61D1FBE}"/>
    <cellStyle name="Normal 5 2 3 8 2 3" xfId="12826" xr:uid="{5E137A02-715A-4E97-93D3-4FEAF92FD0EB}"/>
    <cellStyle name="Normal 5 2 3 8 3" xfId="6449" xr:uid="{00000000-0005-0000-0000-0000CF180000}"/>
    <cellStyle name="Normal 5 2 3 8 3 2" xfId="14899" xr:uid="{B187DBB8-0185-4759-93F0-2F6749C691C2}"/>
    <cellStyle name="Normal 5 2 3 8 4" xfId="10681" xr:uid="{C88CD523-4464-451F-BB7B-FA3932D40118}"/>
    <cellStyle name="Normal 5 2 3 9" xfId="2579" xr:uid="{00000000-0005-0000-0000-0000D0180000}"/>
    <cellStyle name="Normal 5 2 3 9 2" xfId="6862" xr:uid="{00000000-0005-0000-0000-0000D1180000}"/>
    <cellStyle name="Normal 5 2 3 9 2 2" xfId="15312" xr:uid="{55386C74-26C4-4A61-8076-F70C35393190}"/>
    <cellStyle name="Normal 5 2 3 9 3" xfId="11094" xr:uid="{158022EE-F7AB-4BE8-B514-FA78785E8C34}"/>
    <cellStyle name="Normal 5 2 4" xfId="432" xr:uid="{00000000-0005-0000-0000-0000D2180000}"/>
    <cellStyle name="Normal 5 2 4 10" xfId="9037" xr:uid="{50646E6E-8A69-4562-86ED-6A0518274837}"/>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2 2 2" xfId="15815" xr:uid="{1EA36D52-0EE8-4193-9EA4-B273DE801E7D}"/>
    <cellStyle name="Normal 5 2 4 2 2 2 2 3" xfId="11597" xr:uid="{34A3C8C4-226F-45A8-9E77-1C4C0064168A}"/>
    <cellStyle name="Normal 5 2 4 2 2 2 3" xfId="5220" xr:uid="{00000000-0005-0000-0000-0000D8180000}"/>
    <cellStyle name="Normal 5 2 4 2 2 2 3 2" xfId="13670" xr:uid="{E6EE08A0-5A43-4144-A238-4D7AD0AA9AEA}"/>
    <cellStyle name="Normal 5 2 4 2 2 2 4" xfId="9452" xr:uid="{F97BDAA5-0618-446C-8B36-EC813F76E5BF}"/>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2 2 2" xfId="16228" xr:uid="{E7182D10-0D5E-488F-B317-03F89DEDC490}"/>
    <cellStyle name="Normal 5 2 4 2 2 3 2 3" xfId="12010" xr:uid="{6EE7D5E3-A22A-44A7-B626-245AA66C38D1}"/>
    <cellStyle name="Normal 5 2 4 2 2 3 3" xfId="5633" xr:uid="{00000000-0005-0000-0000-0000DC180000}"/>
    <cellStyle name="Normal 5 2 4 2 2 3 3 2" xfId="14083" xr:uid="{01FC6609-136F-4792-AAF5-6E689D4CC318}"/>
    <cellStyle name="Normal 5 2 4 2 2 3 4" xfId="9865" xr:uid="{B10F2563-D16C-47C6-A1F6-65DB63E57BF3}"/>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2 2 2" xfId="16641" xr:uid="{386E4F02-5F66-4B3E-91E5-C2C76F802A32}"/>
    <cellStyle name="Normal 5 2 4 2 2 4 2 3" xfId="12423" xr:uid="{B5B153F8-3B12-4E80-BB4B-A5F3FF4BCCE8}"/>
    <cellStyle name="Normal 5 2 4 2 2 4 3" xfId="6046" xr:uid="{00000000-0005-0000-0000-0000E0180000}"/>
    <cellStyle name="Normal 5 2 4 2 2 4 3 2" xfId="14496" xr:uid="{928B08B0-A865-4EE9-9D51-C96BFF953024}"/>
    <cellStyle name="Normal 5 2 4 2 2 4 4" xfId="10278" xr:uid="{B3F33D56-E93E-42EC-8AB4-3C0D7E6B113A}"/>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2 2 2" xfId="17054" xr:uid="{EDB8C08B-06E7-42AA-9CFA-ECF4978A91B3}"/>
    <cellStyle name="Normal 5 2 4 2 2 5 2 3" xfId="12836" xr:uid="{F536AB02-DBD2-4912-9A7C-A1B2F428754F}"/>
    <cellStyle name="Normal 5 2 4 2 2 5 3" xfId="6459" xr:uid="{00000000-0005-0000-0000-0000E4180000}"/>
    <cellStyle name="Normal 5 2 4 2 2 5 3 2" xfId="14909" xr:uid="{3F853A26-8B74-4AE8-BECD-4B8C1AECBCE8}"/>
    <cellStyle name="Normal 5 2 4 2 2 5 4" xfId="10691" xr:uid="{EC6E5216-B314-4448-A2C0-536DEE125411}"/>
    <cellStyle name="Normal 5 2 4 2 2 6" xfId="2589" xr:uid="{00000000-0005-0000-0000-0000E5180000}"/>
    <cellStyle name="Normal 5 2 4 2 2 6 2" xfId="6872" xr:uid="{00000000-0005-0000-0000-0000E6180000}"/>
    <cellStyle name="Normal 5 2 4 2 2 6 2 2" xfId="15322" xr:uid="{C2069B71-6CE2-442A-9144-032143F775B2}"/>
    <cellStyle name="Normal 5 2 4 2 2 6 3" xfId="11104" xr:uid="{3F5ACA7C-E371-4A56-886F-FA55BF369F36}"/>
    <cellStyle name="Normal 5 2 4 2 2 7" xfId="4807" xr:uid="{00000000-0005-0000-0000-0000E7180000}"/>
    <cellStyle name="Normal 5 2 4 2 2 7 2" xfId="13257" xr:uid="{E74AAE77-1451-492A-8765-F8B47B5D3982}"/>
    <cellStyle name="Normal 5 2 4 2 2 8" xfId="9039" xr:uid="{640DBF25-0F37-4C96-BD23-FCF45A64E464}"/>
    <cellStyle name="Normal 5 2 4 2 3" xfId="907" xr:uid="{00000000-0005-0000-0000-0000E8180000}"/>
    <cellStyle name="Normal 5 2 4 2 3 2" xfId="3142" xr:uid="{00000000-0005-0000-0000-0000E9180000}"/>
    <cellStyle name="Normal 5 2 4 2 3 2 2" xfId="7364" xr:uid="{00000000-0005-0000-0000-0000EA180000}"/>
    <cellStyle name="Normal 5 2 4 2 3 2 2 2" xfId="15814" xr:uid="{38DF7396-38E3-4975-8CE4-B0A6D60A9AD6}"/>
    <cellStyle name="Normal 5 2 4 2 3 2 3" xfId="11596" xr:uid="{05C6AB13-0104-4C84-B680-67DB0AED763D}"/>
    <cellStyle name="Normal 5 2 4 2 3 3" xfId="5219" xr:uid="{00000000-0005-0000-0000-0000EB180000}"/>
    <cellStyle name="Normal 5 2 4 2 3 3 2" xfId="13669" xr:uid="{74FF2E29-007B-4C84-89A3-F59509FA9943}"/>
    <cellStyle name="Normal 5 2 4 2 3 4" xfId="9451" xr:uid="{0EA025BD-8632-4C5B-83A1-9C9A92AD049D}"/>
    <cellStyle name="Normal 5 2 4 2 4" xfId="1325" xr:uid="{00000000-0005-0000-0000-0000EC180000}"/>
    <cellStyle name="Normal 5 2 4 2 4 2" xfId="3555" xr:uid="{00000000-0005-0000-0000-0000ED180000}"/>
    <cellStyle name="Normal 5 2 4 2 4 2 2" xfId="7777" xr:uid="{00000000-0005-0000-0000-0000EE180000}"/>
    <cellStyle name="Normal 5 2 4 2 4 2 2 2" xfId="16227" xr:uid="{8B5930A6-CC0D-4839-BCC0-D540E6B942A2}"/>
    <cellStyle name="Normal 5 2 4 2 4 2 3" xfId="12009" xr:uid="{909B54C9-D99B-4BF0-B752-F6F6EB812209}"/>
    <cellStyle name="Normal 5 2 4 2 4 3" xfId="5632" xr:uid="{00000000-0005-0000-0000-0000EF180000}"/>
    <cellStyle name="Normal 5 2 4 2 4 3 2" xfId="14082" xr:uid="{A7EB4920-9788-409E-A07D-3D377A8DE601}"/>
    <cellStyle name="Normal 5 2 4 2 4 4" xfId="9864" xr:uid="{EA46D309-5DD0-48FE-9EC2-079764A55EDF}"/>
    <cellStyle name="Normal 5 2 4 2 5" xfId="1738" xr:uid="{00000000-0005-0000-0000-0000F0180000}"/>
    <cellStyle name="Normal 5 2 4 2 5 2" xfId="3968" xr:uid="{00000000-0005-0000-0000-0000F1180000}"/>
    <cellStyle name="Normal 5 2 4 2 5 2 2" xfId="8190" xr:uid="{00000000-0005-0000-0000-0000F2180000}"/>
    <cellStyle name="Normal 5 2 4 2 5 2 2 2" xfId="16640" xr:uid="{3EA1850D-242B-44B2-B54C-7C2628441B8F}"/>
    <cellStyle name="Normal 5 2 4 2 5 2 3" xfId="12422" xr:uid="{79D0DC56-9BEF-4028-BF55-B2D83781B02D}"/>
    <cellStyle name="Normal 5 2 4 2 5 3" xfId="6045" xr:uid="{00000000-0005-0000-0000-0000F3180000}"/>
    <cellStyle name="Normal 5 2 4 2 5 3 2" xfId="14495" xr:uid="{7089D936-255C-414B-A05A-E5A26C80136E}"/>
    <cellStyle name="Normal 5 2 4 2 5 4" xfId="10277" xr:uid="{CC447C01-94F6-4A95-A7BF-F57EE5BF7772}"/>
    <cellStyle name="Normal 5 2 4 2 6" xfId="2152" xr:uid="{00000000-0005-0000-0000-0000F4180000}"/>
    <cellStyle name="Normal 5 2 4 2 6 2" xfId="4381" xr:uid="{00000000-0005-0000-0000-0000F5180000}"/>
    <cellStyle name="Normal 5 2 4 2 6 2 2" xfId="8603" xr:uid="{00000000-0005-0000-0000-0000F6180000}"/>
    <cellStyle name="Normal 5 2 4 2 6 2 2 2" xfId="17053" xr:uid="{388E66FF-C332-43C6-A19A-C2E37C942FA6}"/>
    <cellStyle name="Normal 5 2 4 2 6 2 3" xfId="12835" xr:uid="{6131C673-3EEF-4291-B457-2D01E98E93C0}"/>
    <cellStyle name="Normal 5 2 4 2 6 3" xfId="6458" xr:uid="{00000000-0005-0000-0000-0000F7180000}"/>
    <cellStyle name="Normal 5 2 4 2 6 3 2" xfId="14908" xr:uid="{7FD36CBD-3CDF-44BE-9713-43A91FCCD7B9}"/>
    <cellStyle name="Normal 5 2 4 2 6 4" xfId="10690" xr:uid="{3242D516-16D2-4C0F-AC29-A497CBD1D130}"/>
    <cellStyle name="Normal 5 2 4 2 7" xfId="2588" xr:uid="{00000000-0005-0000-0000-0000F8180000}"/>
    <cellStyle name="Normal 5 2 4 2 7 2" xfId="6871" xr:uid="{00000000-0005-0000-0000-0000F9180000}"/>
    <cellStyle name="Normal 5 2 4 2 7 2 2" xfId="15321" xr:uid="{012DEB63-1DBC-4273-BFBA-0D8B8FD6E4B3}"/>
    <cellStyle name="Normal 5 2 4 2 7 3" xfId="11103" xr:uid="{34E39BEA-5194-4A60-98DC-3B10F9AE8A45}"/>
    <cellStyle name="Normal 5 2 4 2 8" xfId="4806" xr:uid="{00000000-0005-0000-0000-0000FA180000}"/>
    <cellStyle name="Normal 5 2 4 2 8 2" xfId="13256" xr:uid="{01CCA514-ABDE-44B1-9791-41E5E5FD9F43}"/>
    <cellStyle name="Normal 5 2 4 2 9" xfId="9038" xr:uid="{E5C8531D-841E-4307-8477-2F16122EB1E4}"/>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2 2 2" xfId="15816" xr:uid="{BA604D32-A94B-4C8C-A2DC-FAC545B45B62}"/>
    <cellStyle name="Normal 5 2 4 3 2 2 3" xfId="11598" xr:uid="{FB81301B-38F0-4C1E-AD6F-657AFCBBAB98}"/>
    <cellStyle name="Normal 5 2 4 3 2 3" xfId="5221" xr:uid="{00000000-0005-0000-0000-0000FF180000}"/>
    <cellStyle name="Normal 5 2 4 3 2 3 2" xfId="13671" xr:uid="{0A5F24D4-80FA-4FF6-A342-0C080AA85C65}"/>
    <cellStyle name="Normal 5 2 4 3 2 4" xfId="9453" xr:uid="{A4872E52-FD76-4493-9B7A-3A6B9B7F1271}"/>
    <cellStyle name="Normal 5 2 4 3 3" xfId="1327" xr:uid="{00000000-0005-0000-0000-000000190000}"/>
    <cellStyle name="Normal 5 2 4 3 3 2" xfId="3557" xr:uid="{00000000-0005-0000-0000-000001190000}"/>
    <cellStyle name="Normal 5 2 4 3 3 2 2" xfId="7779" xr:uid="{00000000-0005-0000-0000-000002190000}"/>
    <cellStyle name="Normal 5 2 4 3 3 2 2 2" xfId="16229" xr:uid="{AA694519-2C05-4A90-9398-BD65828528E4}"/>
    <cellStyle name="Normal 5 2 4 3 3 2 3" xfId="12011" xr:uid="{7FCDE852-662E-4092-9B0B-7005D92E44B1}"/>
    <cellStyle name="Normal 5 2 4 3 3 3" xfId="5634" xr:uid="{00000000-0005-0000-0000-000003190000}"/>
    <cellStyle name="Normal 5 2 4 3 3 3 2" xfId="14084" xr:uid="{80A9BA7C-F049-4AD4-ABB6-C9C06CD55BD2}"/>
    <cellStyle name="Normal 5 2 4 3 3 4" xfId="9866" xr:uid="{8F04D642-BC75-4559-B16F-14AB738DEC75}"/>
    <cellStyle name="Normal 5 2 4 3 4" xfId="1740" xr:uid="{00000000-0005-0000-0000-000004190000}"/>
    <cellStyle name="Normal 5 2 4 3 4 2" xfId="3970" xr:uid="{00000000-0005-0000-0000-000005190000}"/>
    <cellStyle name="Normal 5 2 4 3 4 2 2" xfId="8192" xr:uid="{00000000-0005-0000-0000-000006190000}"/>
    <cellStyle name="Normal 5 2 4 3 4 2 2 2" xfId="16642" xr:uid="{1D33F420-9712-43C6-9760-7109698DE0D2}"/>
    <cellStyle name="Normal 5 2 4 3 4 2 3" xfId="12424" xr:uid="{26200E72-886B-41C9-B734-6FB4E144177E}"/>
    <cellStyle name="Normal 5 2 4 3 4 3" xfId="6047" xr:uid="{00000000-0005-0000-0000-000007190000}"/>
    <cellStyle name="Normal 5 2 4 3 4 3 2" xfId="14497" xr:uid="{F2865EDC-0DA0-4157-BBDD-AC5E006F290C}"/>
    <cellStyle name="Normal 5 2 4 3 4 4" xfId="10279" xr:uid="{C6CA8BDB-0FF3-4275-BDE6-3C87F84EB4F3}"/>
    <cellStyle name="Normal 5 2 4 3 5" xfId="2154" xr:uid="{00000000-0005-0000-0000-000008190000}"/>
    <cellStyle name="Normal 5 2 4 3 5 2" xfId="4383" xr:uid="{00000000-0005-0000-0000-000009190000}"/>
    <cellStyle name="Normal 5 2 4 3 5 2 2" xfId="8605" xr:uid="{00000000-0005-0000-0000-00000A190000}"/>
    <cellStyle name="Normal 5 2 4 3 5 2 2 2" xfId="17055" xr:uid="{2672E0F1-871E-4971-B0C1-EB50C070EF76}"/>
    <cellStyle name="Normal 5 2 4 3 5 2 3" xfId="12837" xr:uid="{4A13B35C-F35E-4499-89D4-26A916CB2300}"/>
    <cellStyle name="Normal 5 2 4 3 5 3" xfId="6460" xr:uid="{00000000-0005-0000-0000-00000B190000}"/>
    <cellStyle name="Normal 5 2 4 3 5 3 2" xfId="14910" xr:uid="{10E0D112-40D8-4E3B-8C38-D9F2667948F7}"/>
    <cellStyle name="Normal 5 2 4 3 5 4" xfId="10692" xr:uid="{458971D7-0BE4-4828-A586-F42D7B66F5A5}"/>
    <cellStyle name="Normal 5 2 4 3 6" xfId="2590" xr:uid="{00000000-0005-0000-0000-00000C190000}"/>
    <cellStyle name="Normal 5 2 4 3 6 2" xfId="6873" xr:uid="{00000000-0005-0000-0000-00000D190000}"/>
    <cellStyle name="Normal 5 2 4 3 6 2 2" xfId="15323" xr:uid="{A7F95F12-F046-4290-8EA2-106F6A54AC9A}"/>
    <cellStyle name="Normal 5 2 4 3 6 3" xfId="11105" xr:uid="{6E2BE66A-81B5-40FD-9233-9932CEDAAFE0}"/>
    <cellStyle name="Normal 5 2 4 3 7" xfId="4808" xr:uid="{00000000-0005-0000-0000-00000E190000}"/>
    <cellStyle name="Normal 5 2 4 3 7 2" xfId="13258" xr:uid="{EF2CE656-F4CF-40DA-A40A-6474FACF784C}"/>
    <cellStyle name="Normal 5 2 4 3 8" xfId="9040" xr:uid="{08B14616-EF9D-424E-BF66-DE1A866CAA8A}"/>
    <cellStyle name="Normal 5 2 4 4" xfId="906" xr:uid="{00000000-0005-0000-0000-00000F190000}"/>
    <cellStyle name="Normal 5 2 4 4 2" xfId="3141" xr:uid="{00000000-0005-0000-0000-000010190000}"/>
    <cellStyle name="Normal 5 2 4 4 2 2" xfId="7363" xr:uid="{00000000-0005-0000-0000-000011190000}"/>
    <cellStyle name="Normal 5 2 4 4 2 2 2" xfId="15813" xr:uid="{F3F6559E-9DA9-4A36-8C28-72B290BE27AD}"/>
    <cellStyle name="Normal 5 2 4 4 2 3" xfId="11595" xr:uid="{1BD85D91-CDA3-46BD-8BD7-EF95AE89D531}"/>
    <cellStyle name="Normal 5 2 4 4 3" xfId="5218" xr:uid="{00000000-0005-0000-0000-000012190000}"/>
    <cellStyle name="Normal 5 2 4 4 3 2" xfId="13668" xr:uid="{5C086325-C229-4367-BC57-87FEAB659CEB}"/>
    <cellStyle name="Normal 5 2 4 4 4" xfId="9450" xr:uid="{DE86B4F2-07BA-49F0-8778-CC8406445818}"/>
    <cellStyle name="Normal 5 2 4 5" xfId="1324" xr:uid="{00000000-0005-0000-0000-000013190000}"/>
    <cellStyle name="Normal 5 2 4 5 2" xfId="3554" xr:uid="{00000000-0005-0000-0000-000014190000}"/>
    <cellStyle name="Normal 5 2 4 5 2 2" xfId="7776" xr:uid="{00000000-0005-0000-0000-000015190000}"/>
    <cellStyle name="Normal 5 2 4 5 2 2 2" xfId="16226" xr:uid="{826F0166-E4A4-49DC-A74F-91F1770CEDE6}"/>
    <cellStyle name="Normal 5 2 4 5 2 3" xfId="12008" xr:uid="{9A26CBC1-CF4C-4336-8F78-FF90D261EA6E}"/>
    <cellStyle name="Normal 5 2 4 5 3" xfId="5631" xr:uid="{00000000-0005-0000-0000-000016190000}"/>
    <cellStyle name="Normal 5 2 4 5 3 2" xfId="14081" xr:uid="{CFCFB693-F708-410D-9043-CA924E413F45}"/>
    <cellStyle name="Normal 5 2 4 5 4" xfId="9863" xr:uid="{CAF9D9D8-150E-48FE-8C9D-DCDF00ADC8D6}"/>
    <cellStyle name="Normal 5 2 4 6" xfId="1737" xr:uid="{00000000-0005-0000-0000-000017190000}"/>
    <cellStyle name="Normal 5 2 4 6 2" xfId="3967" xr:uid="{00000000-0005-0000-0000-000018190000}"/>
    <cellStyle name="Normal 5 2 4 6 2 2" xfId="8189" xr:uid="{00000000-0005-0000-0000-000019190000}"/>
    <cellStyle name="Normal 5 2 4 6 2 2 2" xfId="16639" xr:uid="{3CEF31D4-30D1-45C6-A27E-E606D1E9A2A0}"/>
    <cellStyle name="Normal 5 2 4 6 2 3" xfId="12421" xr:uid="{9D25A50B-5AF5-4E21-85BF-28271FB15264}"/>
    <cellStyle name="Normal 5 2 4 6 3" xfId="6044" xr:uid="{00000000-0005-0000-0000-00001A190000}"/>
    <cellStyle name="Normal 5 2 4 6 3 2" xfId="14494" xr:uid="{C85CC1C4-7487-476E-B819-8E65256A0326}"/>
    <cellStyle name="Normal 5 2 4 6 4" xfId="10276" xr:uid="{6D234515-D438-438A-805F-7B8183B9F6EF}"/>
    <cellStyle name="Normal 5 2 4 7" xfId="2151" xr:uid="{00000000-0005-0000-0000-00001B190000}"/>
    <cellStyle name="Normal 5 2 4 7 2" xfId="4380" xr:uid="{00000000-0005-0000-0000-00001C190000}"/>
    <cellStyle name="Normal 5 2 4 7 2 2" xfId="8602" xr:uid="{00000000-0005-0000-0000-00001D190000}"/>
    <cellStyle name="Normal 5 2 4 7 2 2 2" xfId="17052" xr:uid="{E6B0C36C-E1A0-456F-BDBE-FCF7FDA9908E}"/>
    <cellStyle name="Normal 5 2 4 7 2 3" xfId="12834" xr:uid="{A8A12458-48BA-46DD-BB18-0A66FDB452CD}"/>
    <cellStyle name="Normal 5 2 4 7 3" xfId="6457" xr:uid="{00000000-0005-0000-0000-00001E190000}"/>
    <cellStyle name="Normal 5 2 4 7 3 2" xfId="14907" xr:uid="{398FB0F5-EC92-4A72-B182-02BB94988325}"/>
    <cellStyle name="Normal 5 2 4 7 4" xfId="10689" xr:uid="{9E4E1B6C-22D5-4512-A4F0-78CE50A3C859}"/>
    <cellStyle name="Normal 5 2 4 8" xfId="2587" xr:uid="{00000000-0005-0000-0000-00001F190000}"/>
    <cellStyle name="Normal 5 2 4 8 2" xfId="6870" xr:uid="{00000000-0005-0000-0000-000020190000}"/>
    <cellStyle name="Normal 5 2 4 8 2 2" xfId="15320" xr:uid="{0F5D43E3-CC69-41CB-A64D-5209F6B49A13}"/>
    <cellStyle name="Normal 5 2 4 8 3" xfId="11102" xr:uid="{F44E0E3E-2109-4941-B59F-BBAC8CE8F5A9}"/>
    <cellStyle name="Normal 5 2 4 9" xfId="4805" xr:uid="{00000000-0005-0000-0000-000021190000}"/>
    <cellStyle name="Normal 5 2 4 9 2" xfId="13255" xr:uid="{9B2CCCBB-3243-441B-A1AB-833794BDD45A}"/>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2 2 2" xfId="15818" xr:uid="{1078404A-DBFB-4DA6-BF11-D4B62274E282}"/>
    <cellStyle name="Normal 5 2 5 2 2 2 3" xfId="11600" xr:uid="{4E38CE6E-1B2C-43F5-8C3B-308B45FDC690}"/>
    <cellStyle name="Normal 5 2 5 2 2 3" xfId="5223" xr:uid="{00000000-0005-0000-0000-000027190000}"/>
    <cellStyle name="Normal 5 2 5 2 2 3 2" xfId="13673" xr:uid="{5985F3D6-FBB2-4405-AC19-FF7CE6E12A64}"/>
    <cellStyle name="Normal 5 2 5 2 2 4" xfId="9455" xr:uid="{910E483B-1FDD-48F0-A9D8-0A07B7B46748}"/>
    <cellStyle name="Normal 5 2 5 2 3" xfId="1329" xr:uid="{00000000-0005-0000-0000-000028190000}"/>
    <cellStyle name="Normal 5 2 5 2 3 2" xfId="3559" xr:uid="{00000000-0005-0000-0000-000029190000}"/>
    <cellStyle name="Normal 5 2 5 2 3 2 2" xfId="7781" xr:uid="{00000000-0005-0000-0000-00002A190000}"/>
    <cellStyle name="Normal 5 2 5 2 3 2 2 2" xfId="16231" xr:uid="{8F65E287-A9A1-4272-B729-E70375AD5964}"/>
    <cellStyle name="Normal 5 2 5 2 3 2 3" xfId="12013" xr:uid="{49DB4256-E90C-4EB6-A610-94171DE23CC0}"/>
    <cellStyle name="Normal 5 2 5 2 3 3" xfId="5636" xr:uid="{00000000-0005-0000-0000-00002B190000}"/>
    <cellStyle name="Normal 5 2 5 2 3 3 2" xfId="14086" xr:uid="{8093C99D-5F9B-419A-AAE8-C807520A2A75}"/>
    <cellStyle name="Normal 5 2 5 2 3 4" xfId="9868" xr:uid="{06264F76-B8E9-45AA-B6BA-0A921C97F3E0}"/>
    <cellStyle name="Normal 5 2 5 2 4" xfId="1742" xr:uid="{00000000-0005-0000-0000-00002C190000}"/>
    <cellStyle name="Normal 5 2 5 2 4 2" xfId="3972" xr:uid="{00000000-0005-0000-0000-00002D190000}"/>
    <cellStyle name="Normal 5 2 5 2 4 2 2" xfId="8194" xr:uid="{00000000-0005-0000-0000-00002E190000}"/>
    <cellStyle name="Normal 5 2 5 2 4 2 2 2" xfId="16644" xr:uid="{07943A3F-AA31-4E29-9BCF-D672111A456F}"/>
    <cellStyle name="Normal 5 2 5 2 4 2 3" xfId="12426" xr:uid="{67D3F818-4EE8-411E-BF1C-0A25EAC5EDEA}"/>
    <cellStyle name="Normal 5 2 5 2 4 3" xfId="6049" xr:uid="{00000000-0005-0000-0000-00002F190000}"/>
    <cellStyle name="Normal 5 2 5 2 4 3 2" xfId="14499" xr:uid="{4087CF6F-19FF-4509-AA59-E583C3CD75A1}"/>
    <cellStyle name="Normal 5 2 5 2 4 4" xfId="10281" xr:uid="{B7015464-FAF1-4A3F-9786-786559A256FA}"/>
    <cellStyle name="Normal 5 2 5 2 5" xfId="2156" xr:uid="{00000000-0005-0000-0000-000030190000}"/>
    <cellStyle name="Normal 5 2 5 2 5 2" xfId="4385" xr:uid="{00000000-0005-0000-0000-000031190000}"/>
    <cellStyle name="Normal 5 2 5 2 5 2 2" xfId="8607" xr:uid="{00000000-0005-0000-0000-000032190000}"/>
    <cellStyle name="Normal 5 2 5 2 5 2 2 2" xfId="17057" xr:uid="{48E2284E-A7CD-4813-9920-3350C6C8AFA3}"/>
    <cellStyle name="Normal 5 2 5 2 5 2 3" xfId="12839" xr:uid="{C7A1DB0D-5D6E-47FC-A5E5-04C3421D5255}"/>
    <cellStyle name="Normal 5 2 5 2 5 3" xfId="6462" xr:uid="{00000000-0005-0000-0000-000033190000}"/>
    <cellStyle name="Normal 5 2 5 2 5 3 2" xfId="14912" xr:uid="{331DF602-8DE3-427B-9023-9AA7C0D76696}"/>
    <cellStyle name="Normal 5 2 5 2 5 4" xfId="10694" xr:uid="{E5726BE6-702C-41D6-A935-C722C66EFB39}"/>
    <cellStyle name="Normal 5 2 5 2 6" xfId="2592" xr:uid="{00000000-0005-0000-0000-000034190000}"/>
    <cellStyle name="Normal 5 2 5 2 6 2" xfId="6875" xr:uid="{00000000-0005-0000-0000-000035190000}"/>
    <cellStyle name="Normal 5 2 5 2 6 2 2" xfId="15325" xr:uid="{213E7A30-E78C-470C-AD12-F6D3928557BF}"/>
    <cellStyle name="Normal 5 2 5 2 6 3" xfId="11107" xr:uid="{C8664ADC-79C3-476B-B965-4E69CEDD4FF8}"/>
    <cellStyle name="Normal 5 2 5 2 7" xfId="4810" xr:uid="{00000000-0005-0000-0000-000036190000}"/>
    <cellStyle name="Normal 5 2 5 2 7 2" xfId="13260" xr:uid="{0B4804F8-23B2-4394-8BF0-35867424265D}"/>
    <cellStyle name="Normal 5 2 5 2 8" xfId="9042" xr:uid="{5756B1A2-B9E7-42C2-B236-92435B80343A}"/>
    <cellStyle name="Normal 5 2 5 3" xfId="910" xr:uid="{00000000-0005-0000-0000-000037190000}"/>
    <cellStyle name="Normal 5 2 5 3 2" xfId="3145" xr:uid="{00000000-0005-0000-0000-000038190000}"/>
    <cellStyle name="Normal 5 2 5 3 2 2" xfId="7367" xr:uid="{00000000-0005-0000-0000-000039190000}"/>
    <cellStyle name="Normal 5 2 5 3 2 2 2" xfId="15817" xr:uid="{EF33F0FA-AEDC-4E7A-95ED-C103757233B2}"/>
    <cellStyle name="Normal 5 2 5 3 2 3" xfId="11599" xr:uid="{540A9545-831C-4ECC-824E-D56EE77BF5F1}"/>
    <cellStyle name="Normal 5 2 5 3 3" xfId="5222" xr:uid="{00000000-0005-0000-0000-00003A190000}"/>
    <cellStyle name="Normal 5 2 5 3 3 2" xfId="13672" xr:uid="{363928D0-CE73-4AB2-8C8A-0032E8D852A4}"/>
    <cellStyle name="Normal 5 2 5 3 4" xfId="9454" xr:uid="{6F0F2431-91BF-4230-82E3-A0B987DFF1B1}"/>
    <cellStyle name="Normal 5 2 5 4" xfId="1328" xr:uid="{00000000-0005-0000-0000-00003B190000}"/>
    <cellStyle name="Normal 5 2 5 4 2" xfId="3558" xr:uid="{00000000-0005-0000-0000-00003C190000}"/>
    <cellStyle name="Normal 5 2 5 4 2 2" xfId="7780" xr:uid="{00000000-0005-0000-0000-00003D190000}"/>
    <cellStyle name="Normal 5 2 5 4 2 2 2" xfId="16230" xr:uid="{3C243A7C-7F27-4C3B-9E3C-31B1FB70AECC}"/>
    <cellStyle name="Normal 5 2 5 4 2 3" xfId="12012" xr:uid="{61F5617F-364F-4ACB-950D-1806623D73C9}"/>
    <cellStyle name="Normal 5 2 5 4 3" xfId="5635" xr:uid="{00000000-0005-0000-0000-00003E190000}"/>
    <cellStyle name="Normal 5 2 5 4 3 2" xfId="14085" xr:uid="{AB0010D4-2D6A-4BB0-8F96-065CAAE5B905}"/>
    <cellStyle name="Normal 5 2 5 4 4" xfId="9867" xr:uid="{1D676CB8-4E40-4BA5-991B-5F4F97FCA6DD}"/>
    <cellStyle name="Normal 5 2 5 5" xfId="1741" xr:uid="{00000000-0005-0000-0000-00003F190000}"/>
    <cellStyle name="Normal 5 2 5 5 2" xfId="3971" xr:uid="{00000000-0005-0000-0000-000040190000}"/>
    <cellStyle name="Normal 5 2 5 5 2 2" xfId="8193" xr:uid="{00000000-0005-0000-0000-000041190000}"/>
    <cellStyle name="Normal 5 2 5 5 2 2 2" xfId="16643" xr:uid="{E11B6CF9-F20E-4A21-B27B-B703ADC8E0BD}"/>
    <cellStyle name="Normal 5 2 5 5 2 3" xfId="12425" xr:uid="{D54934C0-E309-43DB-B7C9-DE84F8CA5AE7}"/>
    <cellStyle name="Normal 5 2 5 5 3" xfId="6048" xr:uid="{00000000-0005-0000-0000-000042190000}"/>
    <cellStyle name="Normal 5 2 5 5 3 2" xfId="14498" xr:uid="{B63AA754-A9DE-49A0-8FCE-24BB314E2F61}"/>
    <cellStyle name="Normal 5 2 5 5 4" xfId="10280" xr:uid="{A7FFA2D9-595C-41B3-813B-5F6AD9C56BBC}"/>
    <cellStyle name="Normal 5 2 5 6" xfId="2155" xr:uid="{00000000-0005-0000-0000-000043190000}"/>
    <cellStyle name="Normal 5 2 5 6 2" xfId="4384" xr:uid="{00000000-0005-0000-0000-000044190000}"/>
    <cellStyle name="Normal 5 2 5 6 2 2" xfId="8606" xr:uid="{00000000-0005-0000-0000-000045190000}"/>
    <cellStyle name="Normal 5 2 5 6 2 2 2" xfId="17056" xr:uid="{C80CF044-A824-46AA-85B2-8487517B25A8}"/>
    <cellStyle name="Normal 5 2 5 6 2 3" xfId="12838" xr:uid="{0A214436-CE61-4183-ABDA-81D0843875C2}"/>
    <cellStyle name="Normal 5 2 5 6 3" xfId="6461" xr:uid="{00000000-0005-0000-0000-000046190000}"/>
    <cellStyle name="Normal 5 2 5 6 3 2" xfId="14911" xr:uid="{7F18E05A-F1B7-435A-8A9A-C2138D7AC3EC}"/>
    <cellStyle name="Normal 5 2 5 6 4" xfId="10693" xr:uid="{638B4671-5B40-4C66-9927-20111D15050B}"/>
    <cellStyle name="Normal 5 2 5 7" xfId="2591" xr:uid="{00000000-0005-0000-0000-000047190000}"/>
    <cellStyle name="Normal 5 2 5 7 2" xfId="6874" xr:uid="{00000000-0005-0000-0000-000048190000}"/>
    <cellStyle name="Normal 5 2 5 7 2 2" xfId="15324" xr:uid="{83A707A9-5E99-4DA0-8BE6-39E7A45B62BF}"/>
    <cellStyle name="Normal 5 2 5 7 3" xfId="11106" xr:uid="{3EE08056-3958-4F3E-9628-91F201B9EE23}"/>
    <cellStyle name="Normal 5 2 5 8" xfId="4809" xr:uid="{00000000-0005-0000-0000-000049190000}"/>
    <cellStyle name="Normal 5 2 5 8 2" xfId="13259" xr:uid="{2DB2A56F-171A-4D34-B706-EDBAC0104674}"/>
    <cellStyle name="Normal 5 2 5 9" xfId="9041" xr:uid="{0F23F772-6081-4F0C-AD4F-D44738862363}"/>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2 2 2" xfId="15819" xr:uid="{3EF33CDD-9136-4A6C-BDBC-38DCFDC10FA5}"/>
    <cellStyle name="Normal 5 2 6 2 2 3" xfId="11601" xr:uid="{ACF18FC2-4359-4ED9-8517-CC1754006E4B}"/>
    <cellStyle name="Normal 5 2 6 2 3" xfId="5224" xr:uid="{00000000-0005-0000-0000-00004E190000}"/>
    <cellStyle name="Normal 5 2 6 2 3 2" xfId="13674" xr:uid="{10CBD099-C156-4713-BFED-516B9EE09614}"/>
    <cellStyle name="Normal 5 2 6 2 4" xfId="9456" xr:uid="{A91F8886-B950-4C58-B110-A71E3CCC2192}"/>
    <cellStyle name="Normal 5 2 6 3" xfId="1330" xr:uid="{00000000-0005-0000-0000-00004F190000}"/>
    <cellStyle name="Normal 5 2 6 3 2" xfId="3560" xr:uid="{00000000-0005-0000-0000-000050190000}"/>
    <cellStyle name="Normal 5 2 6 3 2 2" xfId="7782" xr:uid="{00000000-0005-0000-0000-000051190000}"/>
    <cellStyle name="Normal 5 2 6 3 2 2 2" xfId="16232" xr:uid="{5CE26E56-DEB4-44ED-B55D-D9E2934D8B54}"/>
    <cellStyle name="Normal 5 2 6 3 2 3" xfId="12014" xr:uid="{048CAEC5-A394-4373-8762-2B7244E59B3F}"/>
    <cellStyle name="Normal 5 2 6 3 3" xfId="5637" xr:uid="{00000000-0005-0000-0000-000052190000}"/>
    <cellStyle name="Normal 5 2 6 3 3 2" xfId="14087" xr:uid="{F5C2C3D5-1CF9-4A30-88F3-1A5CE9C605A4}"/>
    <cellStyle name="Normal 5 2 6 3 4" xfId="9869" xr:uid="{36470069-F97A-4DB4-B864-A7C0E2B7AAC7}"/>
    <cellStyle name="Normal 5 2 6 4" xfId="1743" xr:uid="{00000000-0005-0000-0000-000053190000}"/>
    <cellStyle name="Normal 5 2 6 4 2" xfId="3973" xr:uid="{00000000-0005-0000-0000-000054190000}"/>
    <cellStyle name="Normal 5 2 6 4 2 2" xfId="8195" xr:uid="{00000000-0005-0000-0000-000055190000}"/>
    <cellStyle name="Normal 5 2 6 4 2 2 2" xfId="16645" xr:uid="{89FAB20F-AA81-4A4B-84AA-78C5DC49B737}"/>
    <cellStyle name="Normal 5 2 6 4 2 3" xfId="12427" xr:uid="{BB7EBE0C-7723-440D-B7C3-A14AC6ADA331}"/>
    <cellStyle name="Normal 5 2 6 4 3" xfId="6050" xr:uid="{00000000-0005-0000-0000-000056190000}"/>
    <cellStyle name="Normal 5 2 6 4 3 2" xfId="14500" xr:uid="{C90319F2-51A0-4B62-BEA4-5291D05425E0}"/>
    <cellStyle name="Normal 5 2 6 4 4" xfId="10282" xr:uid="{562A7176-2906-4DD8-A5A4-9640D33457D3}"/>
    <cellStyle name="Normal 5 2 6 5" xfId="2157" xr:uid="{00000000-0005-0000-0000-000057190000}"/>
    <cellStyle name="Normal 5 2 6 5 2" xfId="4386" xr:uid="{00000000-0005-0000-0000-000058190000}"/>
    <cellStyle name="Normal 5 2 6 5 2 2" xfId="8608" xr:uid="{00000000-0005-0000-0000-000059190000}"/>
    <cellStyle name="Normal 5 2 6 5 2 2 2" xfId="17058" xr:uid="{6FEEAAEE-69CE-4987-AF5D-006B3C869056}"/>
    <cellStyle name="Normal 5 2 6 5 2 3" xfId="12840" xr:uid="{0C9CAA55-AC40-493A-8380-7F8BECEE47E3}"/>
    <cellStyle name="Normal 5 2 6 5 3" xfId="6463" xr:uid="{00000000-0005-0000-0000-00005A190000}"/>
    <cellStyle name="Normal 5 2 6 5 3 2" xfId="14913" xr:uid="{03E18C7B-87EE-4EF8-B23E-920978AA6063}"/>
    <cellStyle name="Normal 5 2 6 5 4" xfId="10695" xr:uid="{D91B84AF-E3E8-4873-A24A-CB607ADE3D3E}"/>
    <cellStyle name="Normal 5 2 6 6" xfId="2593" xr:uid="{00000000-0005-0000-0000-00005B190000}"/>
    <cellStyle name="Normal 5 2 6 6 2" xfId="6876" xr:uid="{00000000-0005-0000-0000-00005C190000}"/>
    <cellStyle name="Normal 5 2 6 6 2 2" xfId="15326" xr:uid="{40CE1D42-43BB-48DE-8623-06C3EECD896A}"/>
    <cellStyle name="Normal 5 2 6 6 3" xfId="11108" xr:uid="{C802E060-E0C4-4AAE-B133-31C02B14687B}"/>
    <cellStyle name="Normal 5 2 6 7" xfId="4811" xr:uid="{00000000-0005-0000-0000-00005D190000}"/>
    <cellStyle name="Normal 5 2 6 7 2" xfId="13261" xr:uid="{1B5ECCB2-A73A-4A0A-9A4C-8F69C6CCBB38}"/>
    <cellStyle name="Normal 5 2 6 8" xfId="9043" xr:uid="{2EC692BB-46AE-497C-919A-983CD034F998}"/>
    <cellStyle name="Normal 5 2 7" xfId="881" xr:uid="{00000000-0005-0000-0000-00005E190000}"/>
    <cellStyle name="Normal 5 2 7 2" xfId="3116" xr:uid="{00000000-0005-0000-0000-00005F190000}"/>
    <cellStyle name="Normal 5 2 7 2 2" xfId="7338" xr:uid="{00000000-0005-0000-0000-000060190000}"/>
    <cellStyle name="Normal 5 2 7 2 2 2" xfId="15788" xr:uid="{2B495EA0-B7C5-4FD6-AA56-3A6B22140BF0}"/>
    <cellStyle name="Normal 5 2 7 2 3" xfId="11570" xr:uid="{24866471-0B1F-44A8-904C-62D4A11A9661}"/>
    <cellStyle name="Normal 5 2 7 3" xfId="5193" xr:uid="{00000000-0005-0000-0000-000061190000}"/>
    <cellStyle name="Normal 5 2 7 3 2" xfId="13643" xr:uid="{A170B8F3-E2F0-448F-9694-59DFF65381D5}"/>
    <cellStyle name="Normal 5 2 7 4" xfId="9425" xr:uid="{FE660CB4-CAA4-4843-B8D8-FFB614687DBA}"/>
    <cellStyle name="Normal 5 2 8" xfId="1299" xr:uid="{00000000-0005-0000-0000-000062190000}"/>
    <cellStyle name="Normal 5 2 8 2" xfId="3529" xr:uid="{00000000-0005-0000-0000-000063190000}"/>
    <cellStyle name="Normal 5 2 8 2 2" xfId="7751" xr:uid="{00000000-0005-0000-0000-000064190000}"/>
    <cellStyle name="Normal 5 2 8 2 2 2" xfId="16201" xr:uid="{5CE98891-0FBA-4464-8966-485896EBEBF7}"/>
    <cellStyle name="Normal 5 2 8 2 3" xfId="11983" xr:uid="{735F851E-1246-4094-8BDD-2F1CDC6B4EA6}"/>
    <cellStyle name="Normal 5 2 8 3" xfId="5606" xr:uid="{00000000-0005-0000-0000-000065190000}"/>
    <cellStyle name="Normal 5 2 8 3 2" xfId="14056" xr:uid="{6A027604-4A6A-41A8-B2C7-ADCA17B200A9}"/>
    <cellStyle name="Normal 5 2 8 4" xfId="9838" xr:uid="{66B6309E-B178-4390-8D46-9B8853D753B4}"/>
    <cellStyle name="Normal 5 2 9" xfId="1712" xr:uid="{00000000-0005-0000-0000-000066190000}"/>
    <cellStyle name="Normal 5 2 9 2" xfId="3942" xr:uid="{00000000-0005-0000-0000-000067190000}"/>
    <cellStyle name="Normal 5 2 9 2 2" xfId="8164" xr:uid="{00000000-0005-0000-0000-000068190000}"/>
    <cellStyle name="Normal 5 2 9 2 2 2" xfId="16614" xr:uid="{E8C932AA-2C9E-4B94-B2E1-EF114FFCA1D0}"/>
    <cellStyle name="Normal 5 2 9 2 3" xfId="12396" xr:uid="{8A9941F4-41E8-4038-A51A-2BB306E13414}"/>
    <cellStyle name="Normal 5 2 9 3" xfId="6019" xr:uid="{00000000-0005-0000-0000-000069190000}"/>
    <cellStyle name="Normal 5 2 9 3 2" xfId="14469" xr:uid="{A2817EB7-ACFD-44C8-8287-B568C84BDD27}"/>
    <cellStyle name="Normal 5 2 9 4" xfId="10251" xr:uid="{B37C5F00-0839-42BA-989C-6A20BB51B948}"/>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2 2 2" xfId="17059" xr:uid="{2C4530B1-D1E1-4121-8CCA-2DECCA3121A8}"/>
    <cellStyle name="Normal 5 3 10 2 3" xfId="12841" xr:uid="{6C2E4F9F-F6FC-48BA-9094-F4351714ED8A}"/>
    <cellStyle name="Normal 5 3 10 3" xfId="6464" xr:uid="{00000000-0005-0000-0000-00006E190000}"/>
    <cellStyle name="Normal 5 3 10 3 2" xfId="14914" xr:uid="{7B49614C-1DF1-40CB-A859-A333B3E1E0AB}"/>
    <cellStyle name="Normal 5 3 10 4" xfId="10696" xr:uid="{2BAEC6DF-18D1-465F-9E4E-764D09157207}"/>
    <cellStyle name="Normal 5 3 11" xfId="2594" xr:uid="{00000000-0005-0000-0000-00006F190000}"/>
    <cellStyle name="Normal 5 3 11 2" xfId="6877" xr:uid="{00000000-0005-0000-0000-000070190000}"/>
    <cellStyle name="Normal 5 3 11 2 2" xfId="15327" xr:uid="{34A7CBA4-21D3-4D29-B713-413FB6151B59}"/>
    <cellStyle name="Normal 5 3 11 3" xfId="11109" xr:uid="{60E01BDC-8A90-40AC-9CBC-6A3328C745B3}"/>
    <cellStyle name="Normal 5 3 12" xfId="4812" xr:uid="{00000000-0005-0000-0000-000071190000}"/>
    <cellStyle name="Normal 5 3 12 2" xfId="13262" xr:uid="{684D2C4D-4214-4920-A5D9-307E4F28F040}"/>
    <cellStyle name="Normal 5 3 13" xfId="9044" xr:uid="{3CD67ABF-3294-4825-8A04-C44FE93C37C0}"/>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10 2" xfId="13263" xr:uid="{FF8BC34D-C56E-456E-9E32-4EFB520988FB}"/>
    <cellStyle name="Normal 5 3 3 11" xfId="9045" xr:uid="{B364735F-8E74-4B3D-BFD7-0890E43EAF72}"/>
    <cellStyle name="Normal 5 3 3 2" xfId="442" xr:uid="{00000000-0005-0000-0000-000076190000}"/>
    <cellStyle name="Normal 5 3 3 2 10" xfId="9046" xr:uid="{635D0A1D-2F7B-42BA-AFC5-A84875E18617}"/>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2 2 2" xfId="15824" xr:uid="{85089EAF-FEF1-4C1E-98FE-1CA0E6054167}"/>
    <cellStyle name="Normal 5 3 3 2 2 2 2 2 3" xfId="11606" xr:uid="{C50B8E8F-9F87-4046-B57D-92E6587DE11B}"/>
    <cellStyle name="Normal 5 3 3 2 2 2 2 3" xfId="5229" xr:uid="{00000000-0005-0000-0000-00007C190000}"/>
    <cellStyle name="Normal 5 3 3 2 2 2 2 3 2" xfId="13679" xr:uid="{FD42E23C-EBA6-42D6-9076-377730647CE7}"/>
    <cellStyle name="Normal 5 3 3 2 2 2 2 4" xfId="9461" xr:uid="{A5ACEB65-5115-4BFC-B794-583A172C9AE9}"/>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2 2 2" xfId="16237" xr:uid="{128B10E0-E6E3-483C-9B86-BFF627C94B93}"/>
    <cellStyle name="Normal 5 3 3 2 2 2 3 2 3" xfId="12019" xr:uid="{C079F7D6-BE5F-4F21-9B22-3B006F52F94A}"/>
    <cellStyle name="Normal 5 3 3 2 2 2 3 3" xfId="5642" xr:uid="{00000000-0005-0000-0000-000080190000}"/>
    <cellStyle name="Normal 5 3 3 2 2 2 3 3 2" xfId="14092" xr:uid="{24A1120F-F3BC-4AD1-863B-E35506E706E3}"/>
    <cellStyle name="Normal 5 3 3 2 2 2 3 4" xfId="9874" xr:uid="{BB63C236-6D19-4E8B-AECB-C0EB656BFAF4}"/>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2 2 2" xfId="16650" xr:uid="{FCB7009B-66E6-4BDC-AE83-602DC0CC49C1}"/>
    <cellStyle name="Normal 5 3 3 2 2 2 4 2 3" xfId="12432" xr:uid="{3E927B45-9FA1-40FB-AEAB-7C71D20D37C8}"/>
    <cellStyle name="Normal 5 3 3 2 2 2 4 3" xfId="6055" xr:uid="{00000000-0005-0000-0000-000084190000}"/>
    <cellStyle name="Normal 5 3 3 2 2 2 4 3 2" xfId="14505" xr:uid="{0B07E5E9-080A-439D-81F5-D503B47940A5}"/>
    <cellStyle name="Normal 5 3 3 2 2 2 4 4" xfId="10287" xr:uid="{93CF364C-9493-4DFD-BC00-63CCE73D3B98}"/>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2 2 2" xfId="17063" xr:uid="{F259838C-6F45-452F-A511-2FA00B73197A}"/>
    <cellStyle name="Normal 5 3 3 2 2 2 5 2 3" xfId="12845" xr:uid="{5B4FFE10-F388-427B-81AC-DD336DFBE2A5}"/>
    <cellStyle name="Normal 5 3 3 2 2 2 5 3" xfId="6468" xr:uid="{00000000-0005-0000-0000-000088190000}"/>
    <cellStyle name="Normal 5 3 3 2 2 2 5 3 2" xfId="14918" xr:uid="{6107FE12-11A3-4DE8-B166-5C7F008AFF3A}"/>
    <cellStyle name="Normal 5 3 3 2 2 2 5 4" xfId="10700" xr:uid="{1DA2382B-AA78-4533-A6AE-2F7EC11E16C5}"/>
    <cellStyle name="Normal 5 3 3 2 2 2 6" xfId="2598" xr:uid="{00000000-0005-0000-0000-000089190000}"/>
    <cellStyle name="Normal 5 3 3 2 2 2 6 2" xfId="6881" xr:uid="{00000000-0005-0000-0000-00008A190000}"/>
    <cellStyle name="Normal 5 3 3 2 2 2 6 2 2" xfId="15331" xr:uid="{AB349D0B-A4A4-4E36-8FB0-015677C69A54}"/>
    <cellStyle name="Normal 5 3 3 2 2 2 6 3" xfId="11113" xr:uid="{8E553EBB-59A0-4A3B-9D85-519A435F9B33}"/>
    <cellStyle name="Normal 5 3 3 2 2 2 7" xfId="4816" xr:uid="{00000000-0005-0000-0000-00008B190000}"/>
    <cellStyle name="Normal 5 3 3 2 2 2 7 2" xfId="13266" xr:uid="{6E807BB4-60C5-48EB-BC45-BE1491D12E6C}"/>
    <cellStyle name="Normal 5 3 3 2 2 2 8" xfId="9048" xr:uid="{C2C571A8-FE9E-4172-9CFF-F75FEDB81517}"/>
    <cellStyle name="Normal 5 3 3 2 2 3" xfId="917" xr:uid="{00000000-0005-0000-0000-00008C190000}"/>
    <cellStyle name="Normal 5 3 3 2 2 3 2" xfId="3151" xr:uid="{00000000-0005-0000-0000-00008D190000}"/>
    <cellStyle name="Normal 5 3 3 2 2 3 2 2" xfId="7373" xr:uid="{00000000-0005-0000-0000-00008E190000}"/>
    <cellStyle name="Normal 5 3 3 2 2 3 2 2 2" xfId="15823" xr:uid="{185A74C4-82FE-4779-BB52-3AF3DA965A21}"/>
    <cellStyle name="Normal 5 3 3 2 2 3 2 3" xfId="11605" xr:uid="{3BC88668-75A2-4A6D-8BEF-4744D354482A}"/>
    <cellStyle name="Normal 5 3 3 2 2 3 3" xfId="5228" xr:uid="{00000000-0005-0000-0000-00008F190000}"/>
    <cellStyle name="Normal 5 3 3 2 2 3 3 2" xfId="13678" xr:uid="{55EF8D98-EBCD-4555-987B-5933182D8AF0}"/>
    <cellStyle name="Normal 5 3 3 2 2 3 4" xfId="9460" xr:uid="{CEAB01BF-E93A-459B-BFB1-276A8C0A01CD}"/>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2 2 2" xfId="16236" xr:uid="{92E3B9A3-8A46-497C-8347-56AB4E3BB158}"/>
    <cellStyle name="Normal 5 3 3 2 2 4 2 3" xfId="12018" xr:uid="{8D20C331-3768-4537-86AC-A51ED406EA9D}"/>
    <cellStyle name="Normal 5 3 3 2 2 4 3" xfId="5641" xr:uid="{00000000-0005-0000-0000-000093190000}"/>
    <cellStyle name="Normal 5 3 3 2 2 4 3 2" xfId="14091" xr:uid="{2551AACE-F8F2-4952-8241-5B82641AE8D8}"/>
    <cellStyle name="Normal 5 3 3 2 2 4 4" xfId="9873" xr:uid="{EA9BB506-36EB-46B6-A9FC-ACE9E626A3F8}"/>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2 2 2" xfId="16649" xr:uid="{38350A4B-0484-4214-B141-305A0AFD2F38}"/>
    <cellStyle name="Normal 5 3 3 2 2 5 2 3" xfId="12431" xr:uid="{65A8E41D-DD02-4218-BCD6-15D0D22D8E03}"/>
    <cellStyle name="Normal 5 3 3 2 2 5 3" xfId="6054" xr:uid="{00000000-0005-0000-0000-000097190000}"/>
    <cellStyle name="Normal 5 3 3 2 2 5 3 2" xfId="14504" xr:uid="{08C36BA4-FF48-4201-94AC-F571AD0C65F9}"/>
    <cellStyle name="Normal 5 3 3 2 2 5 4" xfId="10286" xr:uid="{593CE5D3-FE06-49A0-B414-5C900BC29939}"/>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2 2 2" xfId="17062" xr:uid="{22E0F0CF-579F-4ED3-82AE-B902E34F2C03}"/>
    <cellStyle name="Normal 5 3 3 2 2 6 2 3" xfId="12844" xr:uid="{F3205E13-6306-4DD3-A500-314A7CE80B1E}"/>
    <cellStyle name="Normal 5 3 3 2 2 6 3" xfId="6467" xr:uid="{00000000-0005-0000-0000-00009B190000}"/>
    <cellStyle name="Normal 5 3 3 2 2 6 3 2" xfId="14917" xr:uid="{557A7484-E3BE-40AD-BC5E-8D8198CD98C0}"/>
    <cellStyle name="Normal 5 3 3 2 2 6 4" xfId="10699" xr:uid="{36A149ED-F6EA-4013-B6F8-1BC1B154109C}"/>
    <cellStyle name="Normal 5 3 3 2 2 7" xfId="2597" xr:uid="{00000000-0005-0000-0000-00009C190000}"/>
    <cellStyle name="Normal 5 3 3 2 2 7 2" xfId="6880" xr:uid="{00000000-0005-0000-0000-00009D190000}"/>
    <cellStyle name="Normal 5 3 3 2 2 7 2 2" xfId="15330" xr:uid="{A4FFAD7E-FFCC-4D38-B8B5-31EC1CFE8A66}"/>
    <cellStyle name="Normal 5 3 3 2 2 7 3" xfId="11112" xr:uid="{005D90A1-CD6C-42E4-8761-43733C521543}"/>
    <cellStyle name="Normal 5 3 3 2 2 8" xfId="4815" xr:uid="{00000000-0005-0000-0000-00009E190000}"/>
    <cellStyle name="Normal 5 3 3 2 2 8 2" xfId="13265" xr:uid="{B1DD6C3C-FCE6-4240-B98D-C9F897E15581}"/>
    <cellStyle name="Normal 5 3 3 2 2 9" xfId="9047" xr:uid="{FD42C4EE-9B90-4B9D-A45B-81AD8643C76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2 2 2" xfId="15825" xr:uid="{D313722C-C6CC-4AD0-87A9-F7BE51BCF903}"/>
    <cellStyle name="Normal 5 3 3 2 3 2 2 3" xfId="11607" xr:uid="{B2A1FC41-AC02-4ACE-896D-32276B78EBE9}"/>
    <cellStyle name="Normal 5 3 3 2 3 2 3" xfId="5230" xr:uid="{00000000-0005-0000-0000-0000A3190000}"/>
    <cellStyle name="Normal 5 3 3 2 3 2 3 2" xfId="13680" xr:uid="{25B22AB5-B5A6-4C2B-8347-97E0DA9DC2EC}"/>
    <cellStyle name="Normal 5 3 3 2 3 2 4" xfId="9462" xr:uid="{3D8ABADC-A1FD-48D4-910D-E06F1629A20A}"/>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2 2 2" xfId="16238" xr:uid="{264293EE-DE36-4A93-968D-5793722E1797}"/>
    <cellStyle name="Normal 5 3 3 2 3 3 2 3" xfId="12020" xr:uid="{E4C0BF90-BDA1-431C-8BD2-758BDFBE2D47}"/>
    <cellStyle name="Normal 5 3 3 2 3 3 3" xfId="5643" xr:uid="{00000000-0005-0000-0000-0000A7190000}"/>
    <cellStyle name="Normal 5 3 3 2 3 3 3 2" xfId="14093" xr:uid="{EEF6396F-8501-4656-A653-DA8CD6CFD9A2}"/>
    <cellStyle name="Normal 5 3 3 2 3 3 4" xfId="9875" xr:uid="{6A20F165-EDBF-4817-8C77-992B0B5A2C6C}"/>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2 2 2" xfId="16651" xr:uid="{4DE6B9DC-2529-4871-A1EC-7E092AEF4014}"/>
    <cellStyle name="Normal 5 3 3 2 3 4 2 3" xfId="12433" xr:uid="{F148C0F3-5AD5-4D47-A0A8-8FB7AA443F37}"/>
    <cellStyle name="Normal 5 3 3 2 3 4 3" xfId="6056" xr:uid="{00000000-0005-0000-0000-0000AB190000}"/>
    <cellStyle name="Normal 5 3 3 2 3 4 3 2" xfId="14506" xr:uid="{A0B0C171-F081-4566-99FB-7C09B8027177}"/>
    <cellStyle name="Normal 5 3 3 2 3 4 4" xfId="10288" xr:uid="{CCFB06A5-5900-4A35-8EE6-2AFE8D5122C7}"/>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2 2 2" xfId="17064" xr:uid="{3D4305C5-06E5-44D3-85F6-C19466F4E5CF}"/>
    <cellStyle name="Normal 5 3 3 2 3 5 2 3" xfId="12846" xr:uid="{A0D0C87C-F7E1-450A-ABB7-F432FFB2F092}"/>
    <cellStyle name="Normal 5 3 3 2 3 5 3" xfId="6469" xr:uid="{00000000-0005-0000-0000-0000AF190000}"/>
    <cellStyle name="Normal 5 3 3 2 3 5 3 2" xfId="14919" xr:uid="{F5B16779-C079-4FB7-AB6B-FE7067CEC146}"/>
    <cellStyle name="Normal 5 3 3 2 3 5 4" xfId="10701" xr:uid="{4625348B-11CA-4533-8F1B-852B57F62DA7}"/>
    <cellStyle name="Normal 5 3 3 2 3 6" xfId="2599" xr:uid="{00000000-0005-0000-0000-0000B0190000}"/>
    <cellStyle name="Normal 5 3 3 2 3 6 2" xfId="6882" xr:uid="{00000000-0005-0000-0000-0000B1190000}"/>
    <cellStyle name="Normal 5 3 3 2 3 6 2 2" xfId="15332" xr:uid="{9869B507-6B3D-4BB1-9F39-0A892177D80A}"/>
    <cellStyle name="Normal 5 3 3 2 3 6 3" xfId="11114" xr:uid="{3A258771-C310-4F5F-8CFF-22D1C70E3055}"/>
    <cellStyle name="Normal 5 3 3 2 3 7" xfId="4817" xr:uid="{00000000-0005-0000-0000-0000B2190000}"/>
    <cellStyle name="Normal 5 3 3 2 3 7 2" xfId="13267" xr:uid="{788D45D3-8B63-48E8-B520-5E19711675EC}"/>
    <cellStyle name="Normal 5 3 3 2 3 8" xfId="9049" xr:uid="{2A2DB86E-9741-47C2-BEA1-2506E0303FF2}"/>
    <cellStyle name="Normal 5 3 3 2 4" xfId="916" xr:uid="{00000000-0005-0000-0000-0000B3190000}"/>
    <cellStyle name="Normal 5 3 3 2 4 2" xfId="3150" xr:uid="{00000000-0005-0000-0000-0000B4190000}"/>
    <cellStyle name="Normal 5 3 3 2 4 2 2" xfId="7372" xr:uid="{00000000-0005-0000-0000-0000B5190000}"/>
    <cellStyle name="Normal 5 3 3 2 4 2 2 2" xfId="15822" xr:uid="{401CCF38-995A-4F78-8388-7695DE840870}"/>
    <cellStyle name="Normal 5 3 3 2 4 2 3" xfId="11604" xr:uid="{083C51A6-61FA-4469-8678-7E73D9E82824}"/>
    <cellStyle name="Normal 5 3 3 2 4 3" xfId="5227" xr:uid="{00000000-0005-0000-0000-0000B6190000}"/>
    <cellStyle name="Normal 5 3 3 2 4 3 2" xfId="13677" xr:uid="{4CCEFD0E-42C5-450F-9FD7-860E6A7D39EF}"/>
    <cellStyle name="Normal 5 3 3 2 4 4" xfId="9459" xr:uid="{042231CB-A92C-48FE-BC13-8972E66E8874}"/>
    <cellStyle name="Normal 5 3 3 2 5" xfId="1333" xr:uid="{00000000-0005-0000-0000-0000B7190000}"/>
    <cellStyle name="Normal 5 3 3 2 5 2" xfId="3563" xr:uid="{00000000-0005-0000-0000-0000B8190000}"/>
    <cellStyle name="Normal 5 3 3 2 5 2 2" xfId="7785" xr:uid="{00000000-0005-0000-0000-0000B9190000}"/>
    <cellStyle name="Normal 5 3 3 2 5 2 2 2" xfId="16235" xr:uid="{D521F8A3-1835-4ACE-983E-24C774B50711}"/>
    <cellStyle name="Normal 5 3 3 2 5 2 3" xfId="12017" xr:uid="{EEC0A829-9800-4DA0-909E-3167DC46581C}"/>
    <cellStyle name="Normal 5 3 3 2 5 3" xfId="5640" xr:uid="{00000000-0005-0000-0000-0000BA190000}"/>
    <cellStyle name="Normal 5 3 3 2 5 3 2" xfId="14090" xr:uid="{30E6A3A4-AC94-4867-9466-C9B9CDF5FD0F}"/>
    <cellStyle name="Normal 5 3 3 2 5 4" xfId="9872" xr:uid="{0C2115B4-6218-473C-A6D1-C1C993727A2E}"/>
    <cellStyle name="Normal 5 3 3 2 6" xfId="1746" xr:uid="{00000000-0005-0000-0000-0000BB190000}"/>
    <cellStyle name="Normal 5 3 3 2 6 2" xfId="3976" xr:uid="{00000000-0005-0000-0000-0000BC190000}"/>
    <cellStyle name="Normal 5 3 3 2 6 2 2" xfId="8198" xr:uid="{00000000-0005-0000-0000-0000BD190000}"/>
    <cellStyle name="Normal 5 3 3 2 6 2 2 2" xfId="16648" xr:uid="{5379EBF8-412E-4A6C-9707-EFA6251BA6DE}"/>
    <cellStyle name="Normal 5 3 3 2 6 2 3" xfId="12430" xr:uid="{AC95CA46-60FB-463E-B7BB-5B13028A61D5}"/>
    <cellStyle name="Normal 5 3 3 2 6 3" xfId="6053" xr:uid="{00000000-0005-0000-0000-0000BE190000}"/>
    <cellStyle name="Normal 5 3 3 2 6 3 2" xfId="14503" xr:uid="{71B82C07-EEF7-443A-8ED8-4D7ABB9BD8E3}"/>
    <cellStyle name="Normal 5 3 3 2 6 4" xfId="10285" xr:uid="{4ACD3AE4-D89C-4BBD-AFB9-F9BF2154C9EF}"/>
    <cellStyle name="Normal 5 3 3 2 7" xfId="2160" xr:uid="{00000000-0005-0000-0000-0000BF190000}"/>
    <cellStyle name="Normal 5 3 3 2 7 2" xfId="4389" xr:uid="{00000000-0005-0000-0000-0000C0190000}"/>
    <cellStyle name="Normal 5 3 3 2 7 2 2" xfId="8611" xr:uid="{00000000-0005-0000-0000-0000C1190000}"/>
    <cellStyle name="Normal 5 3 3 2 7 2 2 2" xfId="17061" xr:uid="{D22F8BD2-7871-4732-923B-C0543AECE799}"/>
    <cellStyle name="Normal 5 3 3 2 7 2 3" xfId="12843" xr:uid="{A61B45F9-763C-49C0-87FE-550D3E4DAF53}"/>
    <cellStyle name="Normal 5 3 3 2 7 3" xfId="6466" xr:uid="{00000000-0005-0000-0000-0000C2190000}"/>
    <cellStyle name="Normal 5 3 3 2 7 3 2" xfId="14916" xr:uid="{4FA51087-D505-4AAA-B0CA-98CAC7AFF006}"/>
    <cellStyle name="Normal 5 3 3 2 7 4" xfId="10698" xr:uid="{D7FCBE30-ACEE-4876-A1DA-112F74BE80CB}"/>
    <cellStyle name="Normal 5 3 3 2 8" xfId="2596" xr:uid="{00000000-0005-0000-0000-0000C3190000}"/>
    <cellStyle name="Normal 5 3 3 2 8 2" xfId="6879" xr:uid="{00000000-0005-0000-0000-0000C4190000}"/>
    <cellStyle name="Normal 5 3 3 2 8 2 2" xfId="15329" xr:uid="{ADBFA5B8-4E01-408B-A41D-C5B2F0EFF0C0}"/>
    <cellStyle name="Normal 5 3 3 2 8 3" xfId="11111" xr:uid="{60E07EB4-B51D-4B99-9EA8-A639CD5EFCB6}"/>
    <cellStyle name="Normal 5 3 3 2 9" xfId="4814" xr:uid="{00000000-0005-0000-0000-0000C5190000}"/>
    <cellStyle name="Normal 5 3 3 2 9 2" xfId="13264" xr:uid="{5D35D0E3-E788-4772-A37D-FADAC89984BF}"/>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2 2 2" xfId="15827" xr:uid="{E28D1E77-E31E-47AA-8D6E-4C7E6E6CC924}"/>
    <cellStyle name="Normal 5 3 3 3 2 2 2 3" xfId="11609" xr:uid="{2167804C-42CB-4291-BD9A-EE494C6E1967}"/>
    <cellStyle name="Normal 5 3 3 3 2 2 3" xfId="5232" xr:uid="{00000000-0005-0000-0000-0000CB190000}"/>
    <cellStyle name="Normal 5 3 3 3 2 2 3 2" xfId="13682" xr:uid="{9D832D2B-8168-4FFE-9580-FA22A36D9A22}"/>
    <cellStyle name="Normal 5 3 3 3 2 2 4" xfId="9464" xr:uid="{4520A6AA-044D-404A-85BD-84FB3306AC0B}"/>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2 2 2" xfId="16240" xr:uid="{BD6561AE-1AFE-4AA3-AAEE-D706579472AE}"/>
    <cellStyle name="Normal 5 3 3 3 2 3 2 3" xfId="12022" xr:uid="{F541F473-6897-49B9-B5F2-EECCA4B80547}"/>
    <cellStyle name="Normal 5 3 3 3 2 3 3" xfId="5645" xr:uid="{00000000-0005-0000-0000-0000CF190000}"/>
    <cellStyle name="Normal 5 3 3 3 2 3 3 2" xfId="14095" xr:uid="{600C4D76-0DD5-4A99-82B4-FC43C3A18BE2}"/>
    <cellStyle name="Normal 5 3 3 3 2 3 4" xfId="9877" xr:uid="{4D126FE0-BBF3-4699-9AE3-E0808D3974B4}"/>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2 2 2" xfId="16653" xr:uid="{FA58A298-D9F9-4E14-9346-488C1770E821}"/>
    <cellStyle name="Normal 5 3 3 3 2 4 2 3" xfId="12435" xr:uid="{E25B74A5-AAE4-47BE-8F7E-DE32185EE746}"/>
    <cellStyle name="Normal 5 3 3 3 2 4 3" xfId="6058" xr:uid="{00000000-0005-0000-0000-0000D3190000}"/>
    <cellStyle name="Normal 5 3 3 3 2 4 3 2" xfId="14508" xr:uid="{57E46D6D-7267-46E6-916E-0BEE767F8245}"/>
    <cellStyle name="Normal 5 3 3 3 2 4 4" xfId="10290" xr:uid="{8C6E781F-E618-47BE-B89A-AF1E2526EA47}"/>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2 2 2" xfId="17066" xr:uid="{6478C578-9DEF-4B1F-857B-543FF444B828}"/>
    <cellStyle name="Normal 5 3 3 3 2 5 2 3" xfId="12848" xr:uid="{4782AF52-2D79-4363-8A07-A0DF167A513F}"/>
    <cellStyle name="Normal 5 3 3 3 2 5 3" xfId="6471" xr:uid="{00000000-0005-0000-0000-0000D7190000}"/>
    <cellStyle name="Normal 5 3 3 3 2 5 3 2" xfId="14921" xr:uid="{CA8BEE82-6A1B-48ED-A5AB-BFAA3480BAF2}"/>
    <cellStyle name="Normal 5 3 3 3 2 5 4" xfId="10703" xr:uid="{5A4C6969-E86E-4E25-B167-77A58C9D662A}"/>
    <cellStyle name="Normal 5 3 3 3 2 6" xfId="2601" xr:uid="{00000000-0005-0000-0000-0000D8190000}"/>
    <cellStyle name="Normal 5 3 3 3 2 6 2" xfId="6884" xr:uid="{00000000-0005-0000-0000-0000D9190000}"/>
    <cellStyle name="Normal 5 3 3 3 2 6 2 2" xfId="15334" xr:uid="{C9EF7FA1-0DD1-416A-8AEA-7597FD0865D0}"/>
    <cellStyle name="Normal 5 3 3 3 2 6 3" xfId="11116" xr:uid="{A0F9727D-D25D-4E17-A08C-B7F1A628738C}"/>
    <cellStyle name="Normal 5 3 3 3 2 7" xfId="4819" xr:uid="{00000000-0005-0000-0000-0000DA190000}"/>
    <cellStyle name="Normal 5 3 3 3 2 7 2" xfId="13269" xr:uid="{C7549F00-BE5D-4856-B377-A185A9EDBEAA}"/>
    <cellStyle name="Normal 5 3 3 3 2 8" xfId="9051" xr:uid="{DEF005B7-648D-4D1D-BCB6-A67FBF5B1D85}"/>
    <cellStyle name="Normal 5 3 3 3 3" xfId="920" xr:uid="{00000000-0005-0000-0000-0000DB190000}"/>
    <cellStyle name="Normal 5 3 3 3 3 2" xfId="3154" xr:uid="{00000000-0005-0000-0000-0000DC190000}"/>
    <cellStyle name="Normal 5 3 3 3 3 2 2" xfId="7376" xr:uid="{00000000-0005-0000-0000-0000DD190000}"/>
    <cellStyle name="Normal 5 3 3 3 3 2 2 2" xfId="15826" xr:uid="{2D981A30-C297-4739-B5F7-D99C42EBCDDF}"/>
    <cellStyle name="Normal 5 3 3 3 3 2 3" xfId="11608" xr:uid="{02A3BCF2-E2AF-4957-9FB0-816584F7D08C}"/>
    <cellStyle name="Normal 5 3 3 3 3 3" xfId="5231" xr:uid="{00000000-0005-0000-0000-0000DE190000}"/>
    <cellStyle name="Normal 5 3 3 3 3 3 2" xfId="13681" xr:uid="{82B11486-91CD-45E3-A31B-17ADD03C4233}"/>
    <cellStyle name="Normal 5 3 3 3 3 4" xfId="9463" xr:uid="{B8754807-A04C-411D-9348-A726D033CDA0}"/>
    <cellStyle name="Normal 5 3 3 3 4" xfId="1337" xr:uid="{00000000-0005-0000-0000-0000DF190000}"/>
    <cellStyle name="Normal 5 3 3 3 4 2" xfId="3567" xr:uid="{00000000-0005-0000-0000-0000E0190000}"/>
    <cellStyle name="Normal 5 3 3 3 4 2 2" xfId="7789" xr:uid="{00000000-0005-0000-0000-0000E1190000}"/>
    <cellStyle name="Normal 5 3 3 3 4 2 2 2" xfId="16239" xr:uid="{A6E9F4DE-3B96-4243-8D64-83A50F29A972}"/>
    <cellStyle name="Normal 5 3 3 3 4 2 3" xfId="12021" xr:uid="{EF3A656F-BB4E-4B49-8CC0-A07C1B47408D}"/>
    <cellStyle name="Normal 5 3 3 3 4 3" xfId="5644" xr:uid="{00000000-0005-0000-0000-0000E2190000}"/>
    <cellStyle name="Normal 5 3 3 3 4 3 2" xfId="14094" xr:uid="{A3CFD485-051D-4F90-851E-8C84354BE639}"/>
    <cellStyle name="Normal 5 3 3 3 4 4" xfId="9876" xr:uid="{9FF5845D-9A9C-481A-AD47-CD8B937D3D9B}"/>
    <cellStyle name="Normal 5 3 3 3 5" xfId="1750" xr:uid="{00000000-0005-0000-0000-0000E3190000}"/>
    <cellStyle name="Normal 5 3 3 3 5 2" xfId="3980" xr:uid="{00000000-0005-0000-0000-0000E4190000}"/>
    <cellStyle name="Normal 5 3 3 3 5 2 2" xfId="8202" xr:uid="{00000000-0005-0000-0000-0000E5190000}"/>
    <cellStyle name="Normal 5 3 3 3 5 2 2 2" xfId="16652" xr:uid="{3A40EEC1-7312-4CC3-B23E-E58B69D77C53}"/>
    <cellStyle name="Normal 5 3 3 3 5 2 3" xfId="12434" xr:uid="{7C8D2060-EB4A-42DA-9DBA-A9CEF8D2CF46}"/>
    <cellStyle name="Normal 5 3 3 3 5 3" xfId="6057" xr:uid="{00000000-0005-0000-0000-0000E6190000}"/>
    <cellStyle name="Normal 5 3 3 3 5 3 2" xfId="14507" xr:uid="{90F49985-ADA6-4197-AA96-1C7361498B22}"/>
    <cellStyle name="Normal 5 3 3 3 5 4" xfId="10289" xr:uid="{90B2FB4C-1179-4EFD-AC56-466BE8EF8123}"/>
    <cellStyle name="Normal 5 3 3 3 6" xfId="2164" xr:uid="{00000000-0005-0000-0000-0000E7190000}"/>
    <cellStyle name="Normal 5 3 3 3 6 2" xfId="4393" xr:uid="{00000000-0005-0000-0000-0000E8190000}"/>
    <cellStyle name="Normal 5 3 3 3 6 2 2" xfId="8615" xr:uid="{00000000-0005-0000-0000-0000E9190000}"/>
    <cellStyle name="Normal 5 3 3 3 6 2 2 2" xfId="17065" xr:uid="{8CD0C6CD-8052-4AB6-96F7-F81EF0392033}"/>
    <cellStyle name="Normal 5 3 3 3 6 2 3" xfId="12847" xr:uid="{0F39F3EC-49CE-4ECB-87BF-A407E7E7F5DE}"/>
    <cellStyle name="Normal 5 3 3 3 6 3" xfId="6470" xr:uid="{00000000-0005-0000-0000-0000EA190000}"/>
    <cellStyle name="Normal 5 3 3 3 6 3 2" xfId="14920" xr:uid="{AFD80350-71F2-4C1D-8542-BDB6B2A5EC80}"/>
    <cellStyle name="Normal 5 3 3 3 6 4" xfId="10702" xr:uid="{47D58774-D0FF-468D-971B-8C87761DE29C}"/>
    <cellStyle name="Normal 5 3 3 3 7" xfId="2600" xr:uid="{00000000-0005-0000-0000-0000EB190000}"/>
    <cellStyle name="Normal 5 3 3 3 7 2" xfId="6883" xr:uid="{00000000-0005-0000-0000-0000EC190000}"/>
    <cellStyle name="Normal 5 3 3 3 7 2 2" xfId="15333" xr:uid="{7F94929A-5DBB-40BE-A406-150E26FDBC5A}"/>
    <cellStyle name="Normal 5 3 3 3 7 3" xfId="11115" xr:uid="{71A2BF53-A27D-4A84-9320-EA0618D59B8D}"/>
    <cellStyle name="Normal 5 3 3 3 8" xfId="4818" xr:uid="{00000000-0005-0000-0000-0000ED190000}"/>
    <cellStyle name="Normal 5 3 3 3 8 2" xfId="13268" xr:uid="{7E4D9D36-8582-49DC-8199-52F2DBA6D9BE}"/>
    <cellStyle name="Normal 5 3 3 3 9" xfId="9050" xr:uid="{3E5DF41A-4E84-419A-BF0B-27451AAD17E5}"/>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2 2 2" xfId="15828" xr:uid="{6A9D367C-4B3E-4C0D-BBF4-6C19C3A24B43}"/>
    <cellStyle name="Normal 5 3 3 4 2 2 3" xfId="11610" xr:uid="{99430E36-4385-4ED7-A2A8-9F952A63890F}"/>
    <cellStyle name="Normal 5 3 3 4 2 3" xfId="5233" xr:uid="{00000000-0005-0000-0000-0000F2190000}"/>
    <cellStyle name="Normal 5 3 3 4 2 3 2" xfId="13683" xr:uid="{679B4FD2-2ED3-4944-83BD-BAD9928A5E43}"/>
    <cellStyle name="Normal 5 3 3 4 2 4" xfId="9465" xr:uid="{040FBC40-6538-40DB-8DD0-FBB61FA4B4BF}"/>
    <cellStyle name="Normal 5 3 3 4 3" xfId="1339" xr:uid="{00000000-0005-0000-0000-0000F3190000}"/>
    <cellStyle name="Normal 5 3 3 4 3 2" xfId="3569" xr:uid="{00000000-0005-0000-0000-0000F4190000}"/>
    <cellStyle name="Normal 5 3 3 4 3 2 2" xfId="7791" xr:uid="{00000000-0005-0000-0000-0000F5190000}"/>
    <cellStyle name="Normal 5 3 3 4 3 2 2 2" xfId="16241" xr:uid="{D930FEF4-F77A-4EF9-AC77-5FB8A58682C9}"/>
    <cellStyle name="Normal 5 3 3 4 3 2 3" xfId="12023" xr:uid="{6E6862DC-136B-4542-A45C-405C6FB7E57A}"/>
    <cellStyle name="Normal 5 3 3 4 3 3" xfId="5646" xr:uid="{00000000-0005-0000-0000-0000F6190000}"/>
    <cellStyle name="Normal 5 3 3 4 3 3 2" xfId="14096" xr:uid="{5A4C5E00-2A23-40F6-9787-2BB98ABDBF3B}"/>
    <cellStyle name="Normal 5 3 3 4 3 4" xfId="9878" xr:uid="{7123B096-C6F1-4BF5-A808-5F8DBE037A57}"/>
    <cellStyle name="Normal 5 3 3 4 4" xfId="1752" xr:uid="{00000000-0005-0000-0000-0000F7190000}"/>
    <cellStyle name="Normal 5 3 3 4 4 2" xfId="3982" xr:uid="{00000000-0005-0000-0000-0000F8190000}"/>
    <cellStyle name="Normal 5 3 3 4 4 2 2" xfId="8204" xr:uid="{00000000-0005-0000-0000-0000F9190000}"/>
    <cellStyle name="Normal 5 3 3 4 4 2 2 2" xfId="16654" xr:uid="{FA258743-25F6-489F-87E0-FE6CE1F2CCC6}"/>
    <cellStyle name="Normal 5 3 3 4 4 2 3" xfId="12436" xr:uid="{905F52D2-8C87-4B99-85EE-7750B57C4B35}"/>
    <cellStyle name="Normal 5 3 3 4 4 3" xfId="6059" xr:uid="{00000000-0005-0000-0000-0000FA190000}"/>
    <cellStyle name="Normal 5 3 3 4 4 3 2" xfId="14509" xr:uid="{0073DB70-88A4-4D04-BE80-81B4442DC6EF}"/>
    <cellStyle name="Normal 5 3 3 4 4 4" xfId="10291" xr:uid="{A1B834C3-2457-4F5D-9E87-AF84A960BAAC}"/>
    <cellStyle name="Normal 5 3 3 4 5" xfId="2166" xr:uid="{00000000-0005-0000-0000-0000FB190000}"/>
    <cellStyle name="Normal 5 3 3 4 5 2" xfId="4395" xr:uid="{00000000-0005-0000-0000-0000FC190000}"/>
    <cellStyle name="Normal 5 3 3 4 5 2 2" xfId="8617" xr:uid="{00000000-0005-0000-0000-0000FD190000}"/>
    <cellStyle name="Normal 5 3 3 4 5 2 2 2" xfId="17067" xr:uid="{AEC60018-056D-4996-B6D3-70CBA26CB691}"/>
    <cellStyle name="Normal 5 3 3 4 5 2 3" xfId="12849" xr:uid="{CF819193-98F6-452A-8C4D-533110C6A2A5}"/>
    <cellStyle name="Normal 5 3 3 4 5 3" xfId="6472" xr:uid="{00000000-0005-0000-0000-0000FE190000}"/>
    <cellStyle name="Normal 5 3 3 4 5 3 2" xfId="14922" xr:uid="{9CCCFCCC-5D31-4F69-822D-FE6BB202D867}"/>
    <cellStyle name="Normal 5 3 3 4 5 4" xfId="10704" xr:uid="{0381F680-8B0B-49B0-9622-1683E8CCCF0F}"/>
    <cellStyle name="Normal 5 3 3 4 6" xfId="2602" xr:uid="{00000000-0005-0000-0000-0000FF190000}"/>
    <cellStyle name="Normal 5 3 3 4 6 2" xfId="6885" xr:uid="{00000000-0005-0000-0000-0000001A0000}"/>
    <cellStyle name="Normal 5 3 3 4 6 2 2" xfId="15335" xr:uid="{95C64C3C-D13C-41E8-9E91-45B48F690E51}"/>
    <cellStyle name="Normal 5 3 3 4 6 3" xfId="11117" xr:uid="{01C67735-2CA0-40F1-80C4-EF14EECAAD81}"/>
    <cellStyle name="Normal 5 3 3 4 7" xfId="4820" xr:uid="{00000000-0005-0000-0000-0000011A0000}"/>
    <cellStyle name="Normal 5 3 3 4 7 2" xfId="13270" xr:uid="{950E53B6-89DD-475D-B3B0-760A76A94785}"/>
    <cellStyle name="Normal 5 3 3 4 8" xfId="9052" xr:uid="{F5DB9F4A-C7E7-424E-950A-7A568B7FB11A}"/>
    <cellStyle name="Normal 5 3 3 5" xfId="915" xr:uid="{00000000-0005-0000-0000-0000021A0000}"/>
    <cellStyle name="Normal 5 3 3 5 2" xfId="3149" xr:uid="{00000000-0005-0000-0000-0000031A0000}"/>
    <cellStyle name="Normal 5 3 3 5 2 2" xfId="7371" xr:uid="{00000000-0005-0000-0000-0000041A0000}"/>
    <cellStyle name="Normal 5 3 3 5 2 2 2" xfId="15821" xr:uid="{3EE8D352-2020-47EC-BAE0-7FB0DD887F28}"/>
    <cellStyle name="Normal 5 3 3 5 2 3" xfId="11603" xr:uid="{490606AF-DC9B-4922-B7B2-EF0B7A3E926C}"/>
    <cellStyle name="Normal 5 3 3 5 3" xfId="5226" xr:uid="{00000000-0005-0000-0000-0000051A0000}"/>
    <cellStyle name="Normal 5 3 3 5 3 2" xfId="13676" xr:uid="{F143B174-5C7A-47A2-87CF-8480846BA907}"/>
    <cellStyle name="Normal 5 3 3 5 4" xfId="9458" xr:uid="{1D1802FD-4D08-41BB-9B81-B00C0CEB50EA}"/>
    <cellStyle name="Normal 5 3 3 6" xfId="1332" xr:uid="{00000000-0005-0000-0000-0000061A0000}"/>
    <cellStyle name="Normal 5 3 3 6 2" xfId="3562" xr:uid="{00000000-0005-0000-0000-0000071A0000}"/>
    <cellStyle name="Normal 5 3 3 6 2 2" xfId="7784" xr:uid="{00000000-0005-0000-0000-0000081A0000}"/>
    <cellStyle name="Normal 5 3 3 6 2 2 2" xfId="16234" xr:uid="{ABBB0A35-3653-4A17-9A87-A4C02F8C0C59}"/>
    <cellStyle name="Normal 5 3 3 6 2 3" xfId="12016" xr:uid="{964C5B83-6777-41E6-ACAF-5B75935B1BD6}"/>
    <cellStyle name="Normal 5 3 3 6 3" xfId="5639" xr:uid="{00000000-0005-0000-0000-0000091A0000}"/>
    <cellStyle name="Normal 5 3 3 6 3 2" xfId="14089" xr:uid="{C3E2AD43-56E4-4356-8358-B7E920BD7663}"/>
    <cellStyle name="Normal 5 3 3 6 4" xfId="9871" xr:uid="{F0CD7327-B6C6-4939-A0C5-0BBAB21868AB}"/>
    <cellStyle name="Normal 5 3 3 7" xfId="1745" xr:uid="{00000000-0005-0000-0000-00000A1A0000}"/>
    <cellStyle name="Normal 5 3 3 7 2" xfId="3975" xr:uid="{00000000-0005-0000-0000-00000B1A0000}"/>
    <cellStyle name="Normal 5 3 3 7 2 2" xfId="8197" xr:uid="{00000000-0005-0000-0000-00000C1A0000}"/>
    <cellStyle name="Normal 5 3 3 7 2 2 2" xfId="16647" xr:uid="{AE5F8C08-7186-4815-B827-C06E228FC45F}"/>
    <cellStyle name="Normal 5 3 3 7 2 3" xfId="12429" xr:uid="{53BFCD2F-80DE-41CE-8EFD-C951FDE63FEE}"/>
    <cellStyle name="Normal 5 3 3 7 3" xfId="6052" xr:uid="{00000000-0005-0000-0000-00000D1A0000}"/>
    <cellStyle name="Normal 5 3 3 7 3 2" xfId="14502" xr:uid="{EB4F994C-2143-4FD2-B391-C9CF31262ED7}"/>
    <cellStyle name="Normal 5 3 3 7 4" xfId="10284" xr:uid="{848C27BA-3FF6-4C4B-B3CD-B1701F36E8F3}"/>
    <cellStyle name="Normal 5 3 3 8" xfId="2159" xr:uid="{00000000-0005-0000-0000-00000E1A0000}"/>
    <cellStyle name="Normal 5 3 3 8 2" xfId="4388" xr:uid="{00000000-0005-0000-0000-00000F1A0000}"/>
    <cellStyle name="Normal 5 3 3 8 2 2" xfId="8610" xr:uid="{00000000-0005-0000-0000-0000101A0000}"/>
    <cellStyle name="Normal 5 3 3 8 2 2 2" xfId="17060" xr:uid="{92FA656D-EBF8-49F0-809F-87C2E6FB17E9}"/>
    <cellStyle name="Normal 5 3 3 8 2 3" xfId="12842" xr:uid="{679197D1-C8BA-4D82-9376-4A3126ABF206}"/>
    <cellStyle name="Normal 5 3 3 8 3" xfId="6465" xr:uid="{00000000-0005-0000-0000-0000111A0000}"/>
    <cellStyle name="Normal 5 3 3 8 3 2" xfId="14915" xr:uid="{C1804AB6-606A-4148-96F3-68DA4C9C5E99}"/>
    <cellStyle name="Normal 5 3 3 8 4" xfId="10697" xr:uid="{F24F13E4-09BD-4F24-AEBD-A75EFF3295BC}"/>
    <cellStyle name="Normal 5 3 3 9" xfId="2595" xr:uid="{00000000-0005-0000-0000-0000121A0000}"/>
    <cellStyle name="Normal 5 3 3 9 2" xfId="6878" xr:uid="{00000000-0005-0000-0000-0000131A0000}"/>
    <cellStyle name="Normal 5 3 3 9 2 2" xfId="15328" xr:uid="{5263CFB0-0DB1-4E82-8903-6E590FCFD910}"/>
    <cellStyle name="Normal 5 3 3 9 3" xfId="11110" xr:uid="{1CFA91EC-56C3-4E39-9709-38350F47F44B}"/>
    <cellStyle name="Normal 5 3 4" xfId="449" xr:uid="{00000000-0005-0000-0000-0000141A0000}"/>
    <cellStyle name="Normal 5 3 4 10" xfId="9053" xr:uid="{3C427566-E199-4E5C-A183-DFF5F7581FDA}"/>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2 2 2" xfId="15831" xr:uid="{E737DE86-46CE-4973-8276-8F94472D4B00}"/>
    <cellStyle name="Normal 5 3 4 2 2 2 2 3" xfId="11613" xr:uid="{DD51AB77-0FBE-4455-9E83-05A8C3AD5FDC}"/>
    <cellStyle name="Normal 5 3 4 2 2 2 3" xfId="5236" xr:uid="{00000000-0005-0000-0000-00001A1A0000}"/>
    <cellStyle name="Normal 5 3 4 2 2 2 3 2" xfId="13686" xr:uid="{748992CE-2B9F-4F3F-AE42-AAD49439D498}"/>
    <cellStyle name="Normal 5 3 4 2 2 2 4" xfId="9468" xr:uid="{8863BEA2-FB33-42FF-BEE5-3071BA693BAE}"/>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2 2 2" xfId="16244" xr:uid="{87C6AED4-9DC7-47EA-A096-4496FD92D0BA}"/>
    <cellStyle name="Normal 5 3 4 2 2 3 2 3" xfId="12026" xr:uid="{EA1DAB4C-A855-49B4-B3E4-BDC09929E39F}"/>
    <cellStyle name="Normal 5 3 4 2 2 3 3" xfId="5649" xr:uid="{00000000-0005-0000-0000-00001E1A0000}"/>
    <cellStyle name="Normal 5 3 4 2 2 3 3 2" xfId="14099" xr:uid="{2E0122F0-ECA3-4FAF-A2C9-3FC8C6FA49E4}"/>
    <cellStyle name="Normal 5 3 4 2 2 3 4" xfId="9881" xr:uid="{FB234D34-95CF-4B7E-8230-A7500292EA7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2 2 2" xfId="16657" xr:uid="{DD5056C7-A290-4E1E-97C9-DC1C8CD8A7D4}"/>
    <cellStyle name="Normal 5 3 4 2 2 4 2 3" xfId="12439" xr:uid="{6DF18ED4-4179-4ED2-A082-E0018E28AF6E}"/>
    <cellStyle name="Normal 5 3 4 2 2 4 3" xfId="6062" xr:uid="{00000000-0005-0000-0000-0000221A0000}"/>
    <cellStyle name="Normal 5 3 4 2 2 4 3 2" xfId="14512" xr:uid="{214DF260-D6A1-40E0-A93C-535FBA8ACF5A}"/>
    <cellStyle name="Normal 5 3 4 2 2 4 4" xfId="10294" xr:uid="{ECCA3E07-3E8F-498B-B517-1DCBADFED2DB}"/>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2 2 2" xfId="17070" xr:uid="{6623C23B-928C-431C-84C5-E1D56517B245}"/>
    <cellStyle name="Normal 5 3 4 2 2 5 2 3" xfId="12852" xr:uid="{5A76FB55-9650-479E-AA07-15CA61FA2CC9}"/>
    <cellStyle name="Normal 5 3 4 2 2 5 3" xfId="6475" xr:uid="{00000000-0005-0000-0000-0000261A0000}"/>
    <cellStyle name="Normal 5 3 4 2 2 5 3 2" xfId="14925" xr:uid="{3C749569-C449-47CF-A814-02E20DDAAB8B}"/>
    <cellStyle name="Normal 5 3 4 2 2 5 4" xfId="10707" xr:uid="{9DFC30A0-9835-409A-A3EF-151A3E1C0E19}"/>
    <cellStyle name="Normal 5 3 4 2 2 6" xfId="2605" xr:uid="{00000000-0005-0000-0000-0000271A0000}"/>
    <cellStyle name="Normal 5 3 4 2 2 6 2" xfId="6888" xr:uid="{00000000-0005-0000-0000-0000281A0000}"/>
    <cellStyle name="Normal 5 3 4 2 2 6 2 2" xfId="15338" xr:uid="{09A39D1C-561B-4193-994E-E64B8251C914}"/>
    <cellStyle name="Normal 5 3 4 2 2 6 3" xfId="11120" xr:uid="{143FC7C1-15CE-4705-9424-228F74E96CBC}"/>
    <cellStyle name="Normal 5 3 4 2 2 7" xfId="4823" xr:uid="{00000000-0005-0000-0000-0000291A0000}"/>
    <cellStyle name="Normal 5 3 4 2 2 7 2" xfId="13273" xr:uid="{A8AE7590-F40F-44CF-AC35-68F11495B2F5}"/>
    <cellStyle name="Normal 5 3 4 2 2 8" xfId="9055" xr:uid="{6205F0AA-3EA7-4F71-807E-D7327039CE2F}"/>
    <cellStyle name="Normal 5 3 4 2 3" xfId="924" xr:uid="{00000000-0005-0000-0000-00002A1A0000}"/>
    <cellStyle name="Normal 5 3 4 2 3 2" xfId="3158" xr:uid="{00000000-0005-0000-0000-00002B1A0000}"/>
    <cellStyle name="Normal 5 3 4 2 3 2 2" xfId="7380" xr:uid="{00000000-0005-0000-0000-00002C1A0000}"/>
    <cellStyle name="Normal 5 3 4 2 3 2 2 2" xfId="15830" xr:uid="{E4B4444D-EF1D-4F0D-A53C-7B8CB88ABD31}"/>
    <cellStyle name="Normal 5 3 4 2 3 2 3" xfId="11612" xr:uid="{017C18BA-06CB-4495-91F4-3BD81407B64F}"/>
    <cellStyle name="Normal 5 3 4 2 3 3" xfId="5235" xr:uid="{00000000-0005-0000-0000-00002D1A0000}"/>
    <cellStyle name="Normal 5 3 4 2 3 3 2" xfId="13685" xr:uid="{87FAA271-1B11-4DC9-9021-899EDB5651DE}"/>
    <cellStyle name="Normal 5 3 4 2 3 4" xfId="9467" xr:uid="{84E251E7-F7E6-4820-B94C-0097C2B81DEC}"/>
    <cellStyle name="Normal 5 3 4 2 4" xfId="1341" xr:uid="{00000000-0005-0000-0000-00002E1A0000}"/>
    <cellStyle name="Normal 5 3 4 2 4 2" xfId="3571" xr:uid="{00000000-0005-0000-0000-00002F1A0000}"/>
    <cellStyle name="Normal 5 3 4 2 4 2 2" xfId="7793" xr:uid="{00000000-0005-0000-0000-0000301A0000}"/>
    <cellStyle name="Normal 5 3 4 2 4 2 2 2" xfId="16243" xr:uid="{BBA8FD3B-D86B-4482-8302-6F9148FA281D}"/>
    <cellStyle name="Normal 5 3 4 2 4 2 3" xfId="12025" xr:uid="{416F73BF-6D8D-4D6B-86BD-E74CD65102AB}"/>
    <cellStyle name="Normal 5 3 4 2 4 3" xfId="5648" xr:uid="{00000000-0005-0000-0000-0000311A0000}"/>
    <cellStyle name="Normal 5 3 4 2 4 3 2" xfId="14098" xr:uid="{EF2C1AB7-A657-457B-B3A5-67C2A56E5D78}"/>
    <cellStyle name="Normal 5 3 4 2 4 4" xfId="9880" xr:uid="{945A0895-F8F7-4261-A7C6-A2B094429A1F}"/>
    <cellStyle name="Normal 5 3 4 2 5" xfId="1754" xr:uid="{00000000-0005-0000-0000-0000321A0000}"/>
    <cellStyle name="Normal 5 3 4 2 5 2" xfId="3984" xr:uid="{00000000-0005-0000-0000-0000331A0000}"/>
    <cellStyle name="Normal 5 3 4 2 5 2 2" xfId="8206" xr:uid="{00000000-0005-0000-0000-0000341A0000}"/>
    <cellStyle name="Normal 5 3 4 2 5 2 2 2" xfId="16656" xr:uid="{99D69099-D6B0-4D09-BB2A-4A8DD2E61340}"/>
    <cellStyle name="Normal 5 3 4 2 5 2 3" xfId="12438" xr:uid="{6649496C-A3B5-4928-9B8F-BB9CDC97BC54}"/>
    <cellStyle name="Normal 5 3 4 2 5 3" xfId="6061" xr:uid="{00000000-0005-0000-0000-0000351A0000}"/>
    <cellStyle name="Normal 5 3 4 2 5 3 2" xfId="14511" xr:uid="{2E7E6EBF-0FD6-4F48-A199-DDA65CB918A3}"/>
    <cellStyle name="Normal 5 3 4 2 5 4" xfId="10293" xr:uid="{327743B4-0E4A-45CE-9C0D-3C38BD46C6F2}"/>
    <cellStyle name="Normal 5 3 4 2 6" xfId="2168" xr:uid="{00000000-0005-0000-0000-0000361A0000}"/>
    <cellStyle name="Normal 5 3 4 2 6 2" xfId="4397" xr:uid="{00000000-0005-0000-0000-0000371A0000}"/>
    <cellStyle name="Normal 5 3 4 2 6 2 2" xfId="8619" xr:uid="{00000000-0005-0000-0000-0000381A0000}"/>
    <cellStyle name="Normal 5 3 4 2 6 2 2 2" xfId="17069" xr:uid="{849724B2-9AC3-4237-AFBD-5587AC484268}"/>
    <cellStyle name="Normal 5 3 4 2 6 2 3" xfId="12851" xr:uid="{6C26B9CB-0C11-48CE-AF8D-2C59A62C04D0}"/>
    <cellStyle name="Normal 5 3 4 2 6 3" xfId="6474" xr:uid="{00000000-0005-0000-0000-0000391A0000}"/>
    <cellStyle name="Normal 5 3 4 2 6 3 2" xfId="14924" xr:uid="{B8EB2114-2CB1-4C45-93EF-4EDD3966E7F4}"/>
    <cellStyle name="Normal 5 3 4 2 6 4" xfId="10706" xr:uid="{BEDFBFDE-FFFD-422B-9596-7D4D83DFCC6E}"/>
    <cellStyle name="Normal 5 3 4 2 7" xfId="2604" xr:uid="{00000000-0005-0000-0000-00003A1A0000}"/>
    <cellStyle name="Normal 5 3 4 2 7 2" xfId="6887" xr:uid="{00000000-0005-0000-0000-00003B1A0000}"/>
    <cellStyle name="Normal 5 3 4 2 7 2 2" xfId="15337" xr:uid="{10CAB650-C1C5-437D-AACB-2C9223303387}"/>
    <cellStyle name="Normal 5 3 4 2 7 3" xfId="11119" xr:uid="{523EF3DC-A187-4701-9B7D-3B2D821408F3}"/>
    <cellStyle name="Normal 5 3 4 2 8" xfId="4822" xr:uid="{00000000-0005-0000-0000-00003C1A0000}"/>
    <cellStyle name="Normal 5 3 4 2 8 2" xfId="13272" xr:uid="{0DB20D14-B102-495D-9FEB-AD9AC8428CBC}"/>
    <cellStyle name="Normal 5 3 4 2 9" xfId="9054" xr:uid="{8E0DDFDD-ED07-406B-89A4-AB2717DAEAA9}"/>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2 2 2" xfId="15832" xr:uid="{AA1DD5AD-69D0-479A-9D61-F61A98C2C326}"/>
    <cellStyle name="Normal 5 3 4 3 2 2 3" xfId="11614" xr:uid="{9C49069E-66F1-4916-9947-D606C259B6C8}"/>
    <cellStyle name="Normal 5 3 4 3 2 3" xfId="5237" xr:uid="{00000000-0005-0000-0000-0000411A0000}"/>
    <cellStyle name="Normal 5 3 4 3 2 3 2" xfId="13687" xr:uid="{B6EC1961-96CB-4589-A3E4-6C0AE76821A1}"/>
    <cellStyle name="Normal 5 3 4 3 2 4" xfId="9469" xr:uid="{80296ED2-5022-49C8-A0A8-EC4539676C3B}"/>
    <cellStyle name="Normal 5 3 4 3 3" xfId="1343" xr:uid="{00000000-0005-0000-0000-0000421A0000}"/>
    <cellStyle name="Normal 5 3 4 3 3 2" xfId="3573" xr:uid="{00000000-0005-0000-0000-0000431A0000}"/>
    <cellStyle name="Normal 5 3 4 3 3 2 2" xfId="7795" xr:uid="{00000000-0005-0000-0000-0000441A0000}"/>
    <cellStyle name="Normal 5 3 4 3 3 2 2 2" xfId="16245" xr:uid="{19AEA1B9-4562-4CDD-A68C-F7D8FC00C172}"/>
    <cellStyle name="Normal 5 3 4 3 3 2 3" xfId="12027" xr:uid="{FF1D1189-C134-495A-91C9-540BDC8250E1}"/>
    <cellStyle name="Normal 5 3 4 3 3 3" xfId="5650" xr:uid="{00000000-0005-0000-0000-0000451A0000}"/>
    <cellStyle name="Normal 5 3 4 3 3 3 2" xfId="14100" xr:uid="{1A1D05F0-FDC0-4EAC-BDDE-00C13353B50D}"/>
    <cellStyle name="Normal 5 3 4 3 3 4" xfId="9882" xr:uid="{2D6F7613-AFD9-4E57-B9BB-D06490133050}"/>
    <cellStyle name="Normal 5 3 4 3 4" xfId="1756" xr:uid="{00000000-0005-0000-0000-0000461A0000}"/>
    <cellStyle name="Normal 5 3 4 3 4 2" xfId="3986" xr:uid="{00000000-0005-0000-0000-0000471A0000}"/>
    <cellStyle name="Normal 5 3 4 3 4 2 2" xfId="8208" xr:uid="{00000000-0005-0000-0000-0000481A0000}"/>
    <cellStyle name="Normal 5 3 4 3 4 2 2 2" xfId="16658" xr:uid="{0BA9D397-EB22-4076-92F7-881272C133E0}"/>
    <cellStyle name="Normal 5 3 4 3 4 2 3" xfId="12440" xr:uid="{24704F33-1BF2-4128-97BD-E53845B378F3}"/>
    <cellStyle name="Normal 5 3 4 3 4 3" xfId="6063" xr:uid="{00000000-0005-0000-0000-0000491A0000}"/>
    <cellStyle name="Normal 5 3 4 3 4 3 2" xfId="14513" xr:uid="{FB3C3BDA-3044-4C85-9B7D-7E7760F72223}"/>
    <cellStyle name="Normal 5 3 4 3 4 4" xfId="10295" xr:uid="{4617CB0F-347C-4D81-AB65-7E124C697073}"/>
    <cellStyle name="Normal 5 3 4 3 5" xfId="2170" xr:uid="{00000000-0005-0000-0000-00004A1A0000}"/>
    <cellStyle name="Normal 5 3 4 3 5 2" xfId="4399" xr:uid="{00000000-0005-0000-0000-00004B1A0000}"/>
    <cellStyle name="Normal 5 3 4 3 5 2 2" xfId="8621" xr:uid="{00000000-0005-0000-0000-00004C1A0000}"/>
    <cellStyle name="Normal 5 3 4 3 5 2 2 2" xfId="17071" xr:uid="{3BBFEA3A-E858-4FCC-8B93-D155461AB631}"/>
    <cellStyle name="Normal 5 3 4 3 5 2 3" xfId="12853" xr:uid="{22EE2138-0C1D-46BF-A1A6-9A70E22F5355}"/>
    <cellStyle name="Normal 5 3 4 3 5 3" xfId="6476" xr:uid="{00000000-0005-0000-0000-00004D1A0000}"/>
    <cellStyle name="Normal 5 3 4 3 5 3 2" xfId="14926" xr:uid="{5E3F41A5-BC86-4327-A4B3-8778828F6FCE}"/>
    <cellStyle name="Normal 5 3 4 3 5 4" xfId="10708" xr:uid="{64031206-6D07-4C28-AF9A-DD9887895978}"/>
    <cellStyle name="Normal 5 3 4 3 6" xfId="2606" xr:uid="{00000000-0005-0000-0000-00004E1A0000}"/>
    <cellStyle name="Normal 5 3 4 3 6 2" xfId="6889" xr:uid="{00000000-0005-0000-0000-00004F1A0000}"/>
    <cellStyle name="Normal 5 3 4 3 6 2 2" xfId="15339" xr:uid="{C43C16D6-0D9E-4502-B927-425D4409BF18}"/>
    <cellStyle name="Normal 5 3 4 3 6 3" xfId="11121" xr:uid="{E38DF0A7-4A49-49CB-ADE4-4521AA332132}"/>
    <cellStyle name="Normal 5 3 4 3 7" xfId="4824" xr:uid="{00000000-0005-0000-0000-0000501A0000}"/>
    <cellStyle name="Normal 5 3 4 3 7 2" xfId="13274" xr:uid="{D82310FF-DBF7-492A-ACE9-C79B922CCCA3}"/>
    <cellStyle name="Normal 5 3 4 3 8" xfId="9056" xr:uid="{F2CDFFB1-C46B-4BEF-A45B-B856DFEB2748}"/>
    <cellStyle name="Normal 5 3 4 4" xfId="923" xr:uid="{00000000-0005-0000-0000-0000511A0000}"/>
    <cellStyle name="Normal 5 3 4 4 2" xfId="3157" xr:uid="{00000000-0005-0000-0000-0000521A0000}"/>
    <cellStyle name="Normal 5 3 4 4 2 2" xfId="7379" xr:uid="{00000000-0005-0000-0000-0000531A0000}"/>
    <cellStyle name="Normal 5 3 4 4 2 2 2" xfId="15829" xr:uid="{3844A84C-FEFC-4DEF-A3FF-9F1B3B645658}"/>
    <cellStyle name="Normal 5 3 4 4 2 3" xfId="11611" xr:uid="{86DA268A-6E4F-418F-9572-90BE645DBFBD}"/>
    <cellStyle name="Normal 5 3 4 4 3" xfId="5234" xr:uid="{00000000-0005-0000-0000-0000541A0000}"/>
    <cellStyle name="Normal 5 3 4 4 3 2" xfId="13684" xr:uid="{A4D119C0-2830-47FC-B645-CA690DAE559C}"/>
    <cellStyle name="Normal 5 3 4 4 4" xfId="9466" xr:uid="{860897B0-E097-4E5A-9302-69559DEA183F}"/>
    <cellStyle name="Normal 5 3 4 5" xfId="1340" xr:uid="{00000000-0005-0000-0000-0000551A0000}"/>
    <cellStyle name="Normal 5 3 4 5 2" xfId="3570" xr:uid="{00000000-0005-0000-0000-0000561A0000}"/>
    <cellStyle name="Normal 5 3 4 5 2 2" xfId="7792" xr:uid="{00000000-0005-0000-0000-0000571A0000}"/>
    <cellStyle name="Normal 5 3 4 5 2 2 2" xfId="16242" xr:uid="{F1C3BB0B-65CF-4A5B-ABF2-A05B553DEED4}"/>
    <cellStyle name="Normal 5 3 4 5 2 3" xfId="12024" xr:uid="{0EDDEB39-D3DD-4EF8-BF4B-18999DDD6C25}"/>
    <cellStyle name="Normal 5 3 4 5 3" xfId="5647" xr:uid="{00000000-0005-0000-0000-0000581A0000}"/>
    <cellStyle name="Normal 5 3 4 5 3 2" xfId="14097" xr:uid="{208B2D42-F27B-4DA6-AFF8-0F1B7DB71B2F}"/>
    <cellStyle name="Normal 5 3 4 5 4" xfId="9879" xr:uid="{87B4C3DE-7E2E-40AC-B035-3BCDB69FF149}"/>
    <cellStyle name="Normal 5 3 4 6" xfId="1753" xr:uid="{00000000-0005-0000-0000-0000591A0000}"/>
    <cellStyle name="Normal 5 3 4 6 2" xfId="3983" xr:uid="{00000000-0005-0000-0000-00005A1A0000}"/>
    <cellStyle name="Normal 5 3 4 6 2 2" xfId="8205" xr:uid="{00000000-0005-0000-0000-00005B1A0000}"/>
    <cellStyle name="Normal 5 3 4 6 2 2 2" xfId="16655" xr:uid="{C76F01D2-6000-4113-A2FA-50C4118CB890}"/>
    <cellStyle name="Normal 5 3 4 6 2 3" xfId="12437" xr:uid="{9CF6A95A-9FA3-4C74-AD27-6BE31588ECE3}"/>
    <cellStyle name="Normal 5 3 4 6 3" xfId="6060" xr:uid="{00000000-0005-0000-0000-00005C1A0000}"/>
    <cellStyle name="Normal 5 3 4 6 3 2" xfId="14510" xr:uid="{8038EB79-BACD-4643-A575-A557C6BD9922}"/>
    <cellStyle name="Normal 5 3 4 6 4" xfId="10292" xr:uid="{61BA91AA-8B68-4F83-9C09-C7D812EA57F9}"/>
    <cellStyle name="Normal 5 3 4 7" xfId="2167" xr:uid="{00000000-0005-0000-0000-00005D1A0000}"/>
    <cellStyle name="Normal 5 3 4 7 2" xfId="4396" xr:uid="{00000000-0005-0000-0000-00005E1A0000}"/>
    <cellStyle name="Normal 5 3 4 7 2 2" xfId="8618" xr:uid="{00000000-0005-0000-0000-00005F1A0000}"/>
    <cellStyle name="Normal 5 3 4 7 2 2 2" xfId="17068" xr:uid="{01BE99CF-63CB-44CC-A74A-99928A672AFC}"/>
    <cellStyle name="Normal 5 3 4 7 2 3" xfId="12850" xr:uid="{7BA13953-8ECC-483A-88D7-EF249F1A3F3C}"/>
    <cellStyle name="Normal 5 3 4 7 3" xfId="6473" xr:uid="{00000000-0005-0000-0000-0000601A0000}"/>
    <cellStyle name="Normal 5 3 4 7 3 2" xfId="14923" xr:uid="{4066FB97-09FF-4F28-821B-1B290F07360C}"/>
    <cellStyle name="Normal 5 3 4 7 4" xfId="10705" xr:uid="{E989FF0E-F165-4D7A-B418-80C60516D6DF}"/>
    <cellStyle name="Normal 5 3 4 8" xfId="2603" xr:uid="{00000000-0005-0000-0000-0000611A0000}"/>
    <cellStyle name="Normal 5 3 4 8 2" xfId="6886" xr:uid="{00000000-0005-0000-0000-0000621A0000}"/>
    <cellStyle name="Normal 5 3 4 8 2 2" xfId="15336" xr:uid="{2A6090EF-FE9D-4E36-817B-B5A96CC5B676}"/>
    <cellStyle name="Normal 5 3 4 8 3" xfId="11118" xr:uid="{B3504A33-86EE-4189-BC90-A827615579E1}"/>
    <cellStyle name="Normal 5 3 4 9" xfId="4821" xr:uid="{00000000-0005-0000-0000-0000631A0000}"/>
    <cellStyle name="Normal 5 3 4 9 2" xfId="13271" xr:uid="{EDFB2219-7A8D-49C0-A27F-427463BB3901}"/>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2 2 2" xfId="15834" xr:uid="{9090F484-9DEE-46A9-86AD-8CC8D5B485BD}"/>
    <cellStyle name="Normal 5 3 5 2 2 2 3" xfId="11616" xr:uid="{7F40F7B0-B7B4-4FAF-86CA-C6512422B3AC}"/>
    <cellStyle name="Normal 5 3 5 2 2 3" xfId="5239" xr:uid="{00000000-0005-0000-0000-0000691A0000}"/>
    <cellStyle name="Normal 5 3 5 2 2 3 2" xfId="13689" xr:uid="{6DDC0CDC-35F6-4445-B746-7CE867215DBB}"/>
    <cellStyle name="Normal 5 3 5 2 2 4" xfId="9471" xr:uid="{FF4B5D7E-A27B-4A80-9EFE-DA8E336608D8}"/>
    <cellStyle name="Normal 5 3 5 2 3" xfId="1345" xr:uid="{00000000-0005-0000-0000-00006A1A0000}"/>
    <cellStyle name="Normal 5 3 5 2 3 2" xfId="3575" xr:uid="{00000000-0005-0000-0000-00006B1A0000}"/>
    <cellStyle name="Normal 5 3 5 2 3 2 2" xfId="7797" xr:uid="{00000000-0005-0000-0000-00006C1A0000}"/>
    <cellStyle name="Normal 5 3 5 2 3 2 2 2" xfId="16247" xr:uid="{25082771-DA41-41DB-A930-0D106563A374}"/>
    <cellStyle name="Normal 5 3 5 2 3 2 3" xfId="12029" xr:uid="{CBF78CE8-E073-402D-A18A-DC4E6EB6E2F8}"/>
    <cellStyle name="Normal 5 3 5 2 3 3" xfId="5652" xr:uid="{00000000-0005-0000-0000-00006D1A0000}"/>
    <cellStyle name="Normal 5 3 5 2 3 3 2" xfId="14102" xr:uid="{974F655D-746E-400D-AB01-AC110971B724}"/>
    <cellStyle name="Normal 5 3 5 2 3 4" xfId="9884" xr:uid="{9E173C1D-4F9E-4D03-A8FC-ED9522A78D6A}"/>
    <cellStyle name="Normal 5 3 5 2 4" xfId="1758" xr:uid="{00000000-0005-0000-0000-00006E1A0000}"/>
    <cellStyle name="Normal 5 3 5 2 4 2" xfId="3988" xr:uid="{00000000-0005-0000-0000-00006F1A0000}"/>
    <cellStyle name="Normal 5 3 5 2 4 2 2" xfId="8210" xr:uid="{00000000-0005-0000-0000-0000701A0000}"/>
    <cellStyle name="Normal 5 3 5 2 4 2 2 2" xfId="16660" xr:uid="{9F568C8F-767A-4885-B535-ECB62089C874}"/>
    <cellStyle name="Normal 5 3 5 2 4 2 3" xfId="12442" xr:uid="{45D85D0D-7557-48D5-A673-88BF9EA77D6F}"/>
    <cellStyle name="Normal 5 3 5 2 4 3" xfId="6065" xr:uid="{00000000-0005-0000-0000-0000711A0000}"/>
    <cellStyle name="Normal 5 3 5 2 4 3 2" xfId="14515" xr:uid="{F11B5642-E5FE-44AF-85B8-58B113C55CFD}"/>
    <cellStyle name="Normal 5 3 5 2 4 4" xfId="10297" xr:uid="{738847EC-FBC2-48F6-BA3C-684F9E3676CA}"/>
    <cellStyle name="Normal 5 3 5 2 5" xfId="2172" xr:uid="{00000000-0005-0000-0000-0000721A0000}"/>
    <cellStyle name="Normal 5 3 5 2 5 2" xfId="4401" xr:uid="{00000000-0005-0000-0000-0000731A0000}"/>
    <cellStyle name="Normal 5 3 5 2 5 2 2" xfId="8623" xr:uid="{00000000-0005-0000-0000-0000741A0000}"/>
    <cellStyle name="Normal 5 3 5 2 5 2 2 2" xfId="17073" xr:uid="{AD48ED46-63E0-47DD-AF7C-1231335C8B48}"/>
    <cellStyle name="Normal 5 3 5 2 5 2 3" xfId="12855" xr:uid="{38395751-3EEE-4BC0-94A1-480204EB25D1}"/>
    <cellStyle name="Normal 5 3 5 2 5 3" xfId="6478" xr:uid="{00000000-0005-0000-0000-0000751A0000}"/>
    <cellStyle name="Normal 5 3 5 2 5 3 2" xfId="14928" xr:uid="{88356B37-E3D7-4F56-8D93-0E5BCB7335E1}"/>
    <cellStyle name="Normal 5 3 5 2 5 4" xfId="10710" xr:uid="{11DA979E-2E62-41C7-B6F3-79DC026053C2}"/>
    <cellStyle name="Normal 5 3 5 2 6" xfId="2608" xr:uid="{00000000-0005-0000-0000-0000761A0000}"/>
    <cellStyle name="Normal 5 3 5 2 6 2" xfId="6891" xr:uid="{00000000-0005-0000-0000-0000771A0000}"/>
    <cellStyle name="Normal 5 3 5 2 6 2 2" xfId="15341" xr:uid="{85F5E7B0-D00E-4041-8A42-B2A41FAE8A72}"/>
    <cellStyle name="Normal 5 3 5 2 6 3" xfId="11123" xr:uid="{6168A0E5-4D68-4536-B981-EF1604FB810B}"/>
    <cellStyle name="Normal 5 3 5 2 7" xfId="4826" xr:uid="{00000000-0005-0000-0000-0000781A0000}"/>
    <cellStyle name="Normal 5 3 5 2 7 2" xfId="13276" xr:uid="{3DF14B30-6E48-4868-AB9F-7C5CEDA43B9F}"/>
    <cellStyle name="Normal 5 3 5 2 8" xfId="9058" xr:uid="{021753C2-0A43-4BAE-B3AE-A3D1487B5A07}"/>
    <cellStyle name="Normal 5 3 5 3" xfId="927" xr:uid="{00000000-0005-0000-0000-0000791A0000}"/>
    <cellStyle name="Normal 5 3 5 3 2" xfId="3161" xr:uid="{00000000-0005-0000-0000-00007A1A0000}"/>
    <cellStyle name="Normal 5 3 5 3 2 2" xfId="7383" xr:uid="{00000000-0005-0000-0000-00007B1A0000}"/>
    <cellStyle name="Normal 5 3 5 3 2 2 2" xfId="15833" xr:uid="{B8A337EB-C688-43F3-8280-ED7F0F0955E0}"/>
    <cellStyle name="Normal 5 3 5 3 2 3" xfId="11615" xr:uid="{324A25A1-2C5B-428B-9CDB-AC343EEF9ECE}"/>
    <cellStyle name="Normal 5 3 5 3 3" xfId="5238" xr:uid="{00000000-0005-0000-0000-00007C1A0000}"/>
    <cellStyle name="Normal 5 3 5 3 3 2" xfId="13688" xr:uid="{C390861F-3CCB-45B4-B24E-1E8FF78F4632}"/>
    <cellStyle name="Normal 5 3 5 3 4" xfId="9470" xr:uid="{071A436E-8C64-4C69-BA53-F12769547D52}"/>
    <cellStyle name="Normal 5 3 5 4" xfId="1344" xr:uid="{00000000-0005-0000-0000-00007D1A0000}"/>
    <cellStyle name="Normal 5 3 5 4 2" xfId="3574" xr:uid="{00000000-0005-0000-0000-00007E1A0000}"/>
    <cellStyle name="Normal 5 3 5 4 2 2" xfId="7796" xr:uid="{00000000-0005-0000-0000-00007F1A0000}"/>
    <cellStyle name="Normal 5 3 5 4 2 2 2" xfId="16246" xr:uid="{E671DF6A-F39E-48F9-9AAC-7F50476058F8}"/>
    <cellStyle name="Normal 5 3 5 4 2 3" xfId="12028" xr:uid="{AF33805E-9CBE-4AA0-A12F-996C711E87AD}"/>
    <cellStyle name="Normal 5 3 5 4 3" xfId="5651" xr:uid="{00000000-0005-0000-0000-0000801A0000}"/>
    <cellStyle name="Normal 5 3 5 4 3 2" xfId="14101" xr:uid="{8453912C-86D1-4BD6-A8BD-E7D2BB5B8A1F}"/>
    <cellStyle name="Normal 5 3 5 4 4" xfId="9883" xr:uid="{F56A9530-14A4-4CF3-B79E-5281306A7D8E}"/>
    <cellStyle name="Normal 5 3 5 5" xfId="1757" xr:uid="{00000000-0005-0000-0000-0000811A0000}"/>
    <cellStyle name="Normal 5 3 5 5 2" xfId="3987" xr:uid="{00000000-0005-0000-0000-0000821A0000}"/>
    <cellStyle name="Normal 5 3 5 5 2 2" xfId="8209" xr:uid="{00000000-0005-0000-0000-0000831A0000}"/>
    <cellStyle name="Normal 5 3 5 5 2 2 2" xfId="16659" xr:uid="{B8743F54-7857-4FD3-8E3E-C2ED48A1EBD1}"/>
    <cellStyle name="Normal 5 3 5 5 2 3" xfId="12441" xr:uid="{39B82A29-AD1C-405D-BDBE-56C400903471}"/>
    <cellStyle name="Normal 5 3 5 5 3" xfId="6064" xr:uid="{00000000-0005-0000-0000-0000841A0000}"/>
    <cellStyle name="Normal 5 3 5 5 3 2" xfId="14514" xr:uid="{9A1E012E-1856-4DF8-9BA1-E9D45B8D2DE8}"/>
    <cellStyle name="Normal 5 3 5 5 4" xfId="10296" xr:uid="{41F8EFC1-8DEA-483E-9732-D49E31DEC24D}"/>
    <cellStyle name="Normal 5 3 5 6" xfId="2171" xr:uid="{00000000-0005-0000-0000-0000851A0000}"/>
    <cellStyle name="Normal 5 3 5 6 2" xfId="4400" xr:uid="{00000000-0005-0000-0000-0000861A0000}"/>
    <cellStyle name="Normal 5 3 5 6 2 2" xfId="8622" xr:uid="{00000000-0005-0000-0000-0000871A0000}"/>
    <cellStyle name="Normal 5 3 5 6 2 2 2" xfId="17072" xr:uid="{6B5C1A6D-7D85-428B-A157-CA57C2CA909B}"/>
    <cellStyle name="Normal 5 3 5 6 2 3" xfId="12854" xr:uid="{D35A929F-646B-4C42-8AE1-92E95DC35188}"/>
    <cellStyle name="Normal 5 3 5 6 3" xfId="6477" xr:uid="{00000000-0005-0000-0000-0000881A0000}"/>
    <cellStyle name="Normal 5 3 5 6 3 2" xfId="14927" xr:uid="{11E1E049-C5B3-48E6-A0CF-9F3C5BD55576}"/>
    <cellStyle name="Normal 5 3 5 6 4" xfId="10709" xr:uid="{7C2AF153-B95F-466C-80BE-1A1F1BDA1A9F}"/>
    <cellStyle name="Normal 5 3 5 7" xfId="2607" xr:uid="{00000000-0005-0000-0000-0000891A0000}"/>
    <cellStyle name="Normal 5 3 5 7 2" xfId="6890" xr:uid="{00000000-0005-0000-0000-00008A1A0000}"/>
    <cellStyle name="Normal 5 3 5 7 2 2" xfId="15340" xr:uid="{2DA88446-6833-49E7-80C0-C360C7AF6F98}"/>
    <cellStyle name="Normal 5 3 5 7 3" xfId="11122" xr:uid="{0DCB9A05-9A30-4528-BE3B-E07B51DB5FF5}"/>
    <cellStyle name="Normal 5 3 5 8" xfId="4825" xr:uid="{00000000-0005-0000-0000-00008B1A0000}"/>
    <cellStyle name="Normal 5 3 5 8 2" xfId="13275" xr:uid="{B7D58FA9-D1A8-4D1C-B79A-5DBDE80E1441}"/>
    <cellStyle name="Normal 5 3 5 9" xfId="9057" xr:uid="{76B53170-2BBC-490E-AAEF-7494A03D60B0}"/>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2 2 2" xfId="15835" xr:uid="{D880D5BC-D435-4D74-854B-40F4DDDF5EA5}"/>
    <cellStyle name="Normal 5 3 6 2 2 3" xfId="11617" xr:uid="{0D460D8D-E9B2-4DE4-BF65-02B8D7967A9F}"/>
    <cellStyle name="Normal 5 3 6 2 3" xfId="5240" xr:uid="{00000000-0005-0000-0000-0000901A0000}"/>
    <cellStyle name="Normal 5 3 6 2 3 2" xfId="13690" xr:uid="{C20D5D8C-BB28-4918-AFE4-F8358B307AEE}"/>
    <cellStyle name="Normal 5 3 6 2 4" xfId="9472" xr:uid="{92396B90-382F-431B-A8D9-3A2F19D3A34F}"/>
    <cellStyle name="Normal 5 3 6 3" xfId="1346" xr:uid="{00000000-0005-0000-0000-0000911A0000}"/>
    <cellStyle name="Normal 5 3 6 3 2" xfId="3576" xr:uid="{00000000-0005-0000-0000-0000921A0000}"/>
    <cellStyle name="Normal 5 3 6 3 2 2" xfId="7798" xr:uid="{00000000-0005-0000-0000-0000931A0000}"/>
    <cellStyle name="Normal 5 3 6 3 2 2 2" xfId="16248" xr:uid="{3EBE6B4E-931C-47A8-BD3F-879A028E0EBB}"/>
    <cellStyle name="Normal 5 3 6 3 2 3" xfId="12030" xr:uid="{37746386-7BC2-44AF-94FC-3DAB56045919}"/>
    <cellStyle name="Normal 5 3 6 3 3" xfId="5653" xr:uid="{00000000-0005-0000-0000-0000941A0000}"/>
    <cellStyle name="Normal 5 3 6 3 3 2" xfId="14103" xr:uid="{69715128-7FB8-4F5E-9A35-AE00CF625E25}"/>
    <cellStyle name="Normal 5 3 6 3 4" xfId="9885" xr:uid="{95F65896-62BF-41E7-BBE0-E1ED02A7B472}"/>
    <cellStyle name="Normal 5 3 6 4" xfId="1759" xr:uid="{00000000-0005-0000-0000-0000951A0000}"/>
    <cellStyle name="Normal 5 3 6 4 2" xfId="3989" xr:uid="{00000000-0005-0000-0000-0000961A0000}"/>
    <cellStyle name="Normal 5 3 6 4 2 2" xfId="8211" xr:uid="{00000000-0005-0000-0000-0000971A0000}"/>
    <cellStyle name="Normal 5 3 6 4 2 2 2" xfId="16661" xr:uid="{5DFC7D13-3A54-42DB-ACE7-DD02AE37C85B}"/>
    <cellStyle name="Normal 5 3 6 4 2 3" xfId="12443" xr:uid="{FDA55FB8-5F80-472C-9EB7-868560F0F93C}"/>
    <cellStyle name="Normal 5 3 6 4 3" xfId="6066" xr:uid="{00000000-0005-0000-0000-0000981A0000}"/>
    <cellStyle name="Normal 5 3 6 4 3 2" xfId="14516" xr:uid="{70AA9CA0-22C5-432E-9A6D-482E5FBB2C73}"/>
    <cellStyle name="Normal 5 3 6 4 4" xfId="10298" xr:uid="{F6CB36F8-5402-47C2-8E56-D5EC01D48AD0}"/>
    <cellStyle name="Normal 5 3 6 5" xfId="2173" xr:uid="{00000000-0005-0000-0000-0000991A0000}"/>
    <cellStyle name="Normal 5 3 6 5 2" xfId="4402" xr:uid="{00000000-0005-0000-0000-00009A1A0000}"/>
    <cellStyle name="Normal 5 3 6 5 2 2" xfId="8624" xr:uid="{00000000-0005-0000-0000-00009B1A0000}"/>
    <cellStyle name="Normal 5 3 6 5 2 2 2" xfId="17074" xr:uid="{4A8615AF-150D-46A0-96DA-8ABB431A695A}"/>
    <cellStyle name="Normal 5 3 6 5 2 3" xfId="12856" xr:uid="{C9F89907-5D9B-4426-9B3A-920E37DD0476}"/>
    <cellStyle name="Normal 5 3 6 5 3" xfId="6479" xr:uid="{00000000-0005-0000-0000-00009C1A0000}"/>
    <cellStyle name="Normal 5 3 6 5 3 2" xfId="14929" xr:uid="{8F3817ED-09EE-469A-A34A-B152FBBCA8D8}"/>
    <cellStyle name="Normal 5 3 6 5 4" xfId="10711" xr:uid="{C2D87DF6-50AF-4C78-8C73-0E55ED3DA064}"/>
    <cellStyle name="Normal 5 3 6 6" xfId="2609" xr:uid="{00000000-0005-0000-0000-00009D1A0000}"/>
    <cellStyle name="Normal 5 3 6 6 2" xfId="6892" xr:uid="{00000000-0005-0000-0000-00009E1A0000}"/>
    <cellStyle name="Normal 5 3 6 6 2 2" xfId="15342" xr:uid="{913D5070-7D2B-49A4-8131-8620BEFE2251}"/>
    <cellStyle name="Normal 5 3 6 6 3" xfId="11124" xr:uid="{E0578CE2-000D-4E37-BDB6-231E9F3FC1EF}"/>
    <cellStyle name="Normal 5 3 6 7" xfId="4827" xr:uid="{00000000-0005-0000-0000-00009F1A0000}"/>
    <cellStyle name="Normal 5 3 6 7 2" xfId="13277" xr:uid="{4C5627A1-73CB-4935-A568-76868137CC0E}"/>
    <cellStyle name="Normal 5 3 6 8" xfId="9059" xr:uid="{33F95B0B-2B92-4020-B5CA-FCEE85D0A953}"/>
    <cellStyle name="Normal 5 3 7" xfId="913" xr:uid="{00000000-0005-0000-0000-0000A01A0000}"/>
    <cellStyle name="Normal 5 3 7 2" xfId="3148" xr:uid="{00000000-0005-0000-0000-0000A11A0000}"/>
    <cellStyle name="Normal 5 3 7 2 2" xfId="7370" xr:uid="{00000000-0005-0000-0000-0000A21A0000}"/>
    <cellStyle name="Normal 5 3 7 2 2 2" xfId="15820" xr:uid="{D743846C-9115-4FD2-839C-EB2DB93B569F}"/>
    <cellStyle name="Normal 5 3 7 2 3" xfId="11602" xr:uid="{2795EDE2-DC97-4066-BEBD-F7C5D1162523}"/>
    <cellStyle name="Normal 5 3 7 3" xfId="5225" xr:uid="{00000000-0005-0000-0000-0000A31A0000}"/>
    <cellStyle name="Normal 5 3 7 3 2" xfId="13675" xr:uid="{DA8A4DB3-E30E-47AD-AB17-34D95D3553D4}"/>
    <cellStyle name="Normal 5 3 7 4" xfId="9457" xr:uid="{BBB4B025-0FED-44AA-B414-606B2B6EB3A0}"/>
    <cellStyle name="Normal 5 3 8" xfId="1331" xr:uid="{00000000-0005-0000-0000-0000A41A0000}"/>
    <cellStyle name="Normal 5 3 8 2" xfId="3561" xr:uid="{00000000-0005-0000-0000-0000A51A0000}"/>
    <cellStyle name="Normal 5 3 8 2 2" xfId="7783" xr:uid="{00000000-0005-0000-0000-0000A61A0000}"/>
    <cellStyle name="Normal 5 3 8 2 2 2" xfId="16233" xr:uid="{DDD7D36B-47A9-45AF-80BA-B63C258CC421}"/>
    <cellStyle name="Normal 5 3 8 2 3" xfId="12015" xr:uid="{F66C7082-2F07-4574-AFD6-C63A1E59384E}"/>
    <cellStyle name="Normal 5 3 8 3" xfId="5638" xr:uid="{00000000-0005-0000-0000-0000A71A0000}"/>
    <cellStyle name="Normal 5 3 8 3 2" xfId="14088" xr:uid="{8F8FA90C-3E58-4C1B-A154-E1AA9DFBCB31}"/>
    <cellStyle name="Normal 5 3 8 4" xfId="9870" xr:uid="{B38A7201-0C3F-43B8-9692-3D9EDEA2F64C}"/>
    <cellStyle name="Normal 5 3 9" xfId="1744" xr:uid="{00000000-0005-0000-0000-0000A81A0000}"/>
    <cellStyle name="Normal 5 3 9 2" xfId="3974" xr:uid="{00000000-0005-0000-0000-0000A91A0000}"/>
    <cellStyle name="Normal 5 3 9 2 2" xfId="8196" xr:uid="{00000000-0005-0000-0000-0000AA1A0000}"/>
    <cellStyle name="Normal 5 3 9 2 2 2" xfId="16646" xr:uid="{7006005E-CF10-492B-83E1-0E5886C93073}"/>
    <cellStyle name="Normal 5 3 9 2 3" xfId="12428" xr:uid="{D0757489-87B3-457E-9ED8-7864275C603D}"/>
    <cellStyle name="Normal 5 3 9 3" xfId="6051" xr:uid="{00000000-0005-0000-0000-0000AB1A0000}"/>
    <cellStyle name="Normal 5 3 9 3 2" xfId="14501" xr:uid="{8A81CD6A-23B0-4777-BBF7-C86009A61D6B}"/>
    <cellStyle name="Normal 5 3 9 4" xfId="10283" xr:uid="{D7D15608-D567-4127-89CD-E37768BA200F}"/>
    <cellStyle name="Normal 5 4" xfId="456" xr:uid="{00000000-0005-0000-0000-0000AC1A0000}"/>
    <cellStyle name="Normal 5 4 10" xfId="4828" xr:uid="{00000000-0005-0000-0000-0000AD1A0000}"/>
    <cellStyle name="Normal 5 4 10 2" xfId="13278" xr:uid="{6F51D9C5-E3A2-4CDF-AE22-A030E424595A}"/>
    <cellStyle name="Normal 5 4 11" xfId="9060" xr:uid="{F891543A-4333-490B-8661-105D3351E3A1}"/>
    <cellStyle name="Normal 5 4 2" xfId="457" xr:uid="{00000000-0005-0000-0000-0000AE1A0000}"/>
    <cellStyle name="Normal 5 4 2 10" xfId="9061" xr:uid="{2461F8C6-6A1D-4E6E-BD7C-264F2AFC6DB6}"/>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2 2 2" xfId="15839" xr:uid="{12C635E8-E6CF-4AA0-8106-238A1CDF5E16}"/>
    <cellStyle name="Normal 5 4 2 2 2 2 2 3" xfId="11621" xr:uid="{836BB79F-0C0D-4056-8CF1-5577A62E9DD0}"/>
    <cellStyle name="Normal 5 4 2 2 2 2 3" xfId="5244" xr:uid="{00000000-0005-0000-0000-0000B41A0000}"/>
    <cellStyle name="Normal 5 4 2 2 2 2 3 2" xfId="13694" xr:uid="{C7513C37-442C-42A6-A066-3A7F0ABCB908}"/>
    <cellStyle name="Normal 5 4 2 2 2 2 4" xfId="9476" xr:uid="{DACF7B19-FFA4-4EAF-9EEA-7514CA4687D9}"/>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2 2 2" xfId="16252" xr:uid="{F73D51FF-D924-4723-A706-1F7186730C7B}"/>
    <cellStyle name="Normal 5 4 2 2 2 3 2 3" xfId="12034" xr:uid="{56222DE6-7CEF-4820-9BF3-DE5480E4DE13}"/>
    <cellStyle name="Normal 5 4 2 2 2 3 3" xfId="5657" xr:uid="{00000000-0005-0000-0000-0000B81A0000}"/>
    <cellStyle name="Normal 5 4 2 2 2 3 3 2" xfId="14107" xr:uid="{911359A5-661B-4D2E-B350-F5B81922B9F2}"/>
    <cellStyle name="Normal 5 4 2 2 2 3 4" xfId="9889" xr:uid="{4E322F34-B569-4847-9DE0-60BC4DEEBD37}"/>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2 2 2" xfId="16665" xr:uid="{1A0340C3-E1AF-49E3-9068-683F02B24EAB}"/>
    <cellStyle name="Normal 5 4 2 2 2 4 2 3" xfId="12447" xr:uid="{08BFDDFC-3A7B-4A43-BAE1-41FE719C65D4}"/>
    <cellStyle name="Normal 5 4 2 2 2 4 3" xfId="6070" xr:uid="{00000000-0005-0000-0000-0000BC1A0000}"/>
    <cellStyle name="Normal 5 4 2 2 2 4 3 2" xfId="14520" xr:uid="{77B70F87-F4C3-46BA-93F2-863814729317}"/>
    <cellStyle name="Normal 5 4 2 2 2 4 4" xfId="10302" xr:uid="{0B3F6D42-36AD-4EF9-B1C8-6FA4F11614AE}"/>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2 2 2" xfId="17078" xr:uid="{EEC15F61-96D8-463E-A093-1CA8620B5B16}"/>
    <cellStyle name="Normal 5 4 2 2 2 5 2 3" xfId="12860" xr:uid="{0C3E04F3-4BEE-4B4A-8C4F-8AE3F1728792}"/>
    <cellStyle name="Normal 5 4 2 2 2 5 3" xfId="6483" xr:uid="{00000000-0005-0000-0000-0000C01A0000}"/>
    <cellStyle name="Normal 5 4 2 2 2 5 3 2" xfId="14933" xr:uid="{49015128-CDCC-473E-8C75-405896A91FDE}"/>
    <cellStyle name="Normal 5 4 2 2 2 5 4" xfId="10715" xr:uid="{6E5C4032-4565-47D0-BBCE-B09A19B0C8F7}"/>
    <cellStyle name="Normal 5 4 2 2 2 6" xfId="2613" xr:uid="{00000000-0005-0000-0000-0000C11A0000}"/>
    <cellStyle name="Normal 5 4 2 2 2 6 2" xfId="6896" xr:uid="{00000000-0005-0000-0000-0000C21A0000}"/>
    <cellStyle name="Normal 5 4 2 2 2 6 2 2" xfId="15346" xr:uid="{18EF2CBC-216F-48C9-8DB2-01F1413B8AE7}"/>
    <cellStyle name="Normal 5 4 2 2 2 6 3" xfId="11128" xr:uid="{86E80DE4-49D1-434A-ADC9-3BA5ABE755C4}"/>
    <cellStyle name="Normal 5 4 2 2 2 7" xfId="4831" xr:uid="{00000000-0005-0000-0000-0000C31A0000}"/>
    <cellStyle name="Normal 5 4 2 2 2 7 2" xfId="13281" xr:uid="{77236E82-107C-4A33-8E96-003D4CB8561C}"/>
    <cellStyle name="Normal 5 4 2 2 2 8" xfId="9063" xr:uid="{762ACB03-DFF9-4D0E-9564-7DABCF1DFDC1}"/>
    <cellStyle name="Normal 5 4 2 2 3" xfId="932" xr:uid="{00000000-0005-0000-0000-0000C41A0000}"/>
    <cellStyle name="Normal 5 4 2 2 3 2" xfId="3166" xr:uid="{00000000-0005-0000-0000-0000C51A0000}"/>
    <cellStyle name="Normal 5 4 2 2 3 2 2" xfId="7388" xr:uid="{00000000-0005-0000-0000-0000C61A0000}"/>
    <cellStyle name="Normal 5 4 2 2 3 2 2 2" xfId="15838" xr:uid="{DFA2CB9F-B3F1-4A63-981A-2FC8EFA141F9}"/>
    <cellStyle name="Normal 5 4 2 2 3 2 3" xfId="11620" xr:uid="{1C14DB77-1EA0-4365-B4BF-27EFEC5B4C19}"/>
    <cellStyle name="Normal 5 4 2 2 3 3" xfId="5243" xr:uid="{00000000-0005-0000-0000-0000C71A0000}"/>
    <cellStyle name="Normal 5 4 2 2 3 3 2" xfId="13693" xr:uid="{196BE302-1CBA-4F0D-9696-076B433A6C18}"/>
    <cellStyle name="Normal 5 4 2 2 3 4" xfId="9475" xr:uid="{5995BE6D-16F6-4882-9757-13C9B0A32D3D}"/>
    <cellStyle name="Normal 5 4 2 2 4" xfId="1349" xr:uid="{00000000-0005-0000-0000-0000C81A0000}"/>
    <cellStyle name="Normal 5 4 2 2 4 2" xfId="3579" xr:uid="{00000000-0005-0000-0000-0000C91A0000}"/>
    <cellStyle name="Normal 5 4 2 2 4 2 2" xfId="7801" xr:uid="{00000000-0005-0000-0000-0000CA1A0000}"/>
    <cellStyle name="Normal 5 4 2 2 4 2 2 2" xfId="16251" xr:uid="{499901D1-2DF4-4EA0-8CF0-2C5B0668BD19}"/>
    <cellStyle name="Normal 5 4 2 2 4 2 3" xfId="12033" xr:uid="{3DDE767E-7BC2-4551-80BD-33C493BB5B36}"/>
    <cellStyle name="Normal 5 4 2 2 4 3" xfId="5656" xr:uid="{00000000-0005-0000-0000-0000CB1A0000}"/>
    <cellStyle name="Normal 5 4 2 2 4 3 2" xfId="14106" xr:uid="{1B33A212-BEF7-417F-89FB-6D90E50D3ACB}"/>
    <cellStyle name="Normal 5 4 2 2 4 4" xfId="9888" xr:uid="{296C2A00-B33A-4202-AC1C-F9F1380A9006}"/>
    <cellStyle name="Normal 5 4 2 2 5" xfId="1762" xr:uid="{00000000-0005-0000-0000-0000CC1A0000}"/>
    <cellStyle name="Normal 5 4 2 2 5 2" xfId="3992" xr:uid="{00000000-0005-0000-0000-0000CD1A0000}"/>
    <cellStyle name="Normal 5 4 2 2 5 2 2" xfId="8214" xr:uid="{00000000-0005-0000-0000-0000CE1A0000}"/>
    <cellStyle name="Normal 5 4 2 2 5 2 2 2" xfId="16664" xr:uid="{06E6F6AB-1065-4C62-A3CF-6D4A53CDFC78}"/>
    <cellStyle name="Normal 5 4 2 2 5 2 3" xfId="12446" xr:uid="{1EEA2A0C-FA8B-42A8-9493-1EF4346C9CAB}"/>
    <cellStyle name="Normal 5 4 2 2 5 3" xfId="6069" xr:uid="{00000000-0005-0000-0000-0000CF1A0000}"/>
    <cellStyle name="Normal 5 4 2 2 5 3 2" xfId="14519" xr:uid="{276582B8-66A3-4294-92DA-24A811A2B945}"/>
    <cellStyle name="Normal 5 4 2 2 5 4" xfId="10301" xr:uid="{294ADD67-9086-4530-B694-CD8A86C54AB0}"/>
    <cellStyle name="Normal 5 4 2 2 6" xfId="2176" xr:uid="{00000000-0005-0000-0000-0000D01A0000}"/>
    <cellStyle name="Normal 5 4 2 2 6 2" xfId="4405" xr:uid="{00000000-0005-0000-0000-0000D11A0000}"/>
    <cellStyle name="Normal 5 4 2 2 6 2 2" xfId="8627" xr:uid="{00000000-0005-0000-0000-0000D21A0000}"/>
    <cellStyle name="Normal 5 4 2 2 6 2 2 2" xfId="17077" xr:uid="{55F35115-7CA8-4141-B83D-E494DAFD4517}"/>
    <cellStyle name="Normal 5 4 2 2 6 2 3" xfId="12859" xr:uid="{3969B7F2-0EFA-4DC7-9794-3EAC5ACD3126}"/>
    <cellStyle name="Normal 5 4 2 2 6 3" xfId="6482" xr:uid="{00000000-0005-0000-0000-0000D31A0000}"/>
    <cellStyle name="Normal 5 4 2 2 6 3 2" xfId="14932" xr:uid="{CB396D57-B365-41BA-8FCA-470254F7373A}"/>
    <cellStyle name="Normal 5 4 2 2 6 4" xfId="10714" xr:uid="{80FD4283-4534-494C-AB7F-E543D0008766}"/>
    <cellStyle name="Normal 5 4 2 2 7" xfId="2612" xr:uid="{00000000-0005-0000-0000-0000D41A0000}"/>
    <cellStyle name="Normal 5 4 2 2 7 2" xfId="6895" xr:uid="{00000000-0005-0000-0000-0000D51A0000}"/>
    <cellStyle name="Normal 5 4 2 2 7 2 2" xfId="15345" xr:uid="{CF2A08F5-322F-4714-BEEA-B3D74BFA24BD}"/>
    <cellStyle name="Normal 5 4 2 2 7 3" xfId="11127" xr:uid="{296B2CA4-E929-40AB-9FDE-1BC15ECCE063}"/>
    <cellStyle name="Normal 5 4 2 2 8" xfId="4830" xr:uid="{00000000-0005-0000-0000-0000D61A0000}"/>
    <cellStyle name="Normal 5 4 2 2 8 2" xfId="13280" xr:uid="{57417F63-FDFE-47A3-ADD9-A32397C0A830}"/>
    <cellStyle name="Normal 5 4 2 2 9" xfId="9062" xr:uid="{2F05CE93-27E9-4EE1-A3C7-15E91153A27C}"/>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2 2 2" xfId="15840" xr:uid="{441A5FB8-1B5C-4CB6-83B6-990BE8DDD23D}"/>
    <cellStyle name="Normal 5 4 2 3 2 2 3" xfId="11622" xr:uid="{873F8950-F8BE-463E-B819-35557EA2BC97}"/>
    <cellStyle name="Normal 5 4 2 3 2 3" xfId="5245" xr:uid="{00000000-0005-0000-0000-0000DB1A0000}"/>
    <cellStyle name="Normal 5 4 2 3 2 3 2" xfId="13695" xr:uid="{B58D9745-4DD1-466E-BCDF-64660AAE99BD}"/>
    <cellStyle name="Normal 5 4 2 3 2 4" xfId="9477" xr:uid="{F3EE6595-62EF-4C03-9670-9924C6A2109F}"/>
    <cellStyle name="Normal 5 4 2 3 3" xfId="1351" xr:uid="{00000000-0005-0000-0000-0000DC1A0000}"/>
    <cellStyle name="Normal 5 4 2 3 3 2" xfId="3581" xr:uid="{00000000-0005-0000-0000-0000DD1A0000}"/>
    <cellStyle name="Normal 5 4 2 3 3 2 2" xfId="7803" xr:uid="{00000000-0005-0000-0000-0000DE1A0000}"/>
    <cellStyle name="Normal 5 4 2 3 3 2 2 2" xfId="16253" xr:uid="{416A11F3-EBE8-4D0C-A0B6-16A22B8F20EA}"/>
    <cellStyle name="Normal 5 4 2 3 3 2 3" xfId="12035" xr:uid="{0B777E1E-558B-4511-B434-7BB9D4F863D9}"/>
    <cellStyle name="Normal 5 4 2 3 3 3" xfId="5658" xr:uid="{00000000-0005-0000-0000-0000DF1A0000}"/>
    <cellStyle name="Normal 5 4 2 3 3 3 2" xfId="14108" xr:uid="{7E538D58-5234-4D7A-9634-6442EAC7C3CB}"/>
    <cellStyle name="Normal 5 4 2 3 3 4" xfId="9890" xr:uid="{5A90DD89-D139-4195-BC7E-8217DAAF3194}"/>
    <cellStyle name="Normal 5 4 2 3 4" xfId="1764" xr:uid="{00000000-0005-0000-0000-0000E01A0000}"/>
    <cellStyle name="Normal 5 4 2 3 4 2" xfId="3994" xr:uid="{00000000-0005-0000-0000-0000E11A0000}"/>
    <cellStyle name="Normal 5 4 2 3 4 2 2" xfId="8216" xr:uid="{00000000-0005-0000-0000-0000E21A0000}"/>
    <cellStyle name="Normal 5 4 2 3 4 2 2 2" xfId="16666" xr:uid="{C21109FB-9BAC-48A5-8BAF-1E575183B673}"/>
    <cellStyle name="Normal 5 4 2 3 4 2 3" xfId="12448" xr:uid="{C896CE93-8AB9-471F-AB26-B873455F7DD5}"/>
    <cellStyle name="Normal 5 4 2 3 4 3" xfId="6071" xr:uid="{00000000-0005-0000-0000-0000E31A0000}"/>
    <cellStyle name="Normal 5 4 2 3 4 3 2" xfId="14521" xr:uid="{1E024384-FF8E-42BF-9C48-22FCCDDBD07D}"/>
    <cellStyle name="Normal 5 4 2 3 4 4" xfId="10303" xr:uid="{157636D6-9F43-414F-9D6C-27B6C0911A62}"/>
    <cellStyle name="Normal 5 4 2 3 5" xfId="2178" xr:uid="{00000000-0005-0000-0000-0000E41A0000}"/>
    <cellStyle name="Normal 5 4 2 3 5 2" xfId="4407" xr:uid="{00000000-0005-0000-0000-0000E51A0000}"/>
    <cellStyle name="Normal 5 4 2 3 5 2 2" xfId="8629" xr:uid="{00000000-0005-0000-0000-0000E61A0000}"/>
    <cellStyle name="Normal 5 4 2 3 5 2 2 2" xfId="17079" xr:uid="{C6D91B1E-E9EA-401C-89B6-5D4A84C8530E}"/>
    <cellStyle name="Normal 5 4 2 3 5 2 3" xfId="12861" xr:uid="{7869CCE7-9000-44FA-A168-C551E466A5BD}"/>
    <cellStyle name="Normal 5 4 2 3 5 3" xfId="6484" xr:uid="{00000000-0005-0000-0000-0000E71A0000}"/>
    <cellStyle name="Normal 5 4 2 3 5 3 2" xfId="14934" xr:uid="{A131578C-5746-475B-9295-25F526ECC523}"/>
    <cellStyle name="Normal 5 4 2 3 5 4" xfId="10716" xr:uid="{4566289E-326A-4699-9E26-07C2840BCD74}"/>
    <cellStyle name="Normal 5 4 2 3 6" xfId="2614" xr:uid="{00000000-0005-0000-0000-0000E81A0000}"/>
    <cellStyle name="Normal 5 4 2 3 6 2" xfId="6897" xr:uid="{00000000-0005-0000-0000-0000E91A0000}"/>
    <cellStyle name="Normal 5 4 2 3 6 2 2" xfId="15347" xr:uid="{52A5EA5C-47EF-4CF5-BA0B-1BD18292ADF9}"/>
    <cellStyle name="Normal 5 4 2 3 6 3" xfId="11129" xr:uid="{C0DD44A4-DA13-4E06-A80D-DC818D5A2CE1}"/>
    <cellStyle name="Normal 5 4 2 3 7" xfId="4832" xr:uid="{00000000-0005-0000-0000-0000EA1A0000}"/>
    <cellStyle name="Normal 5 4 2 3 7 2" xfId="13282" xr:uid="{433BE64A-3A03-441F-8E0B-47E23D622EA1}"/>
    <cellStyle name="Normal 5 4 2 3 8" xfId="9064" xr:uid="{45617961-0978-4ADC-84E9-6483C8F5F93A}"/>
    <cellStyle name="Normal 5 4 2 4" xfId="931" xr:uid="{00000000-0005-0000-0000-0000EB1A0000}"/>
    <cellStyle name="Normal 5 4 2 4 2" xfId="3165" xr:uid="{00000000-0005-0000-0000-0000EC1A0000}"/>
    <cellStyle name="Normal 5 4 2 4 2 2" xfId="7387" xr:uid="{00000000-0005-0000-0000-0000ED1A0000}"/>
    <cellStyle name="Normal 5 4 2 4 2 2 2" xfId="15837" xr:uid="{82209810-13D4-429C-BD83-BB98143F620A}"/>
    <cellStyle name="Normal 5 4 2 4 2 3" xfId="11619" xr:uid="{45146F8A-F212-4910-8E7E-9C4007B708E2}"/>
    <cellStyle name="Normal 5 4 2 4 3" xfId="5242" xr:uid="{00000000-0005-0000-0000-0000EE1A0000}"/>
    <cellStyle name="Normal 5 4 2 4 3 2" xfId="13692" xr:uid="{EC04D0EA-C6DB-44F3-A2B2-5AE88A868AC1}"/>
    <cellStyle name="Normal 5 4 2 4 4" xfId="9474" xr:uid="{DDB3A241-632E-4267-B3BC-6ACD974EFDE1}"/>
    <cellStyle name="Normal 5 4 2 5" xfId="1348" xr:uid="{00000000-0005-0000-0000-0000EF1A0000}"/>
    <cellStyle name="Normal 5 4 2 5 2" xfId="3578" xr:uid="{00000000-0005-0000-0000-0000F01A0000}"/>
    <cellStyle name="Normal 5 4 2 5 2 2" xfId="7800" xr:uid="{00000000-0005-0000-0000-0000F11A0000}"/>
    <cellStyle name="Normal 5 4 2 5 2 2 2" xfId="16250" xr:uid="{080BFEC2-6AA7-4239-BDE2-262C09BC0FB6}"/>
    <cellStyle name="Normal 5 4 2 5 2 3" xfId="12032" xr:uid="{D7334A9A-FA89-40D6-AA9E-66D7029EF08D}"/>
    <cellStyle name="Normal 5 4 2 5 3" xfId="5655" xr:uid="{00000000-0005-0000-0000-0000F21A0000}"/>
    <cellStyle name="Normal 5 4 2 5 3 2" xfId="14105" xr:uid="{11FD38D5-6D56-4C96-8011-DE8793AE2226}"/>
    <cellStyle name="Normal 5 4 2 5 4" xfId="9887" xr:uid="{E6F0C9B4-29D3-46E2-9765-4AABB06ACB77}"/>
    <cellStyle name="Normal 5 4 2 6" xfId="1761" xr:uid="{00000000-0005-0000-0000-0000F31A0000}"/>
    <cellStyle name="Normal 5 4 2 6 2" xfId="3991" xr:uid="{00000000-0005-0000-0000-0000F41A0000}"/>
    <cellStyle name="Normal 5 4 2 6 2 2" xfId="8213" xr:uid="{00000000-0005-0000-0000-0000F51A0000}"/>
    <cellStyle name="Normal 5 4 2 6 2 2 2" xfId="16663" xr:uid="{2760A7AA-D385-4EB2-B27B-D1B60B9FDC7E}"/>
    <cellStyle name="Normal 5 4 2 6 2 3" xfId="12445" xr:uid="{A4BCC7F4-FF5D-401E-B97A-9B24566CB632}"/>
    <cellStyle name="Normal 5 4 2 6 3" xfId="6068" xr:uid="{00000000-0005-0000-0000-0000F61A0000}"/>
    <cellStyle name="Normal 5 4 2 6 3 2" xfId="14518" xr:uid="{91A26AA4-025A-43B2-8083-6A4047CA6460}"/>
    <cellStyle name="Normal 5 4 2 6 4" xfId="10300" xr:uid="{4D89ADA4-E7FE-4F86-BF9A-D2899EAF2F52}"/>
    <cellStyle name="Normal 5 4 2 7" xfId="2175" xr:uid="{00000000-0005-0000-0000-0000F71A0000}"/>
    <cellStyle name="Normal 5 4 2 7 2" xfId="4404" xr:uid="{00000000-0005-0000-0000-0000F81A0000}"/>
    <cellStyle name="Normal 5 4 2 7 2 2" xfId="8626" xr:uid="{00000000-0005-0000-0000-0000F91A0000}"/>
    <cellStyle name="Normal 5 4 2 7 2 2 2" xfId="17076" xr:uid="{EF048352-8A07-4136-9CB3-F8ABD5938770}"/>
    <cellStyle name="Normal 5 4 2 7 2 3" xfId="12858" xr:uid="{D7E4D549-28D4-4122-B95E-97703C858B9C}"/>
    <cellStyle name="Normal 5 4 2 7 3" xfId="6481" xr:uid="{00000000-0005-0000-0000-0000FA1A0000}"/>
    <cellStyle name="Normal 5 4 2 7 3 2" xfId="14931" xr:uid="{4AE0BD03-253F-4467-9398-55AB5BEC80A1}"/>
    <cellStyle name="Normal 5 4 2 7 4" xfId="10713" xr:uid="{39C23F2C-E000-4374-97BB-594FF00BD989}"/>
    <cellStyle name="Normal 5 4 2 8" xfId="2611" xr:uid="{00000000-0005-0000-0000-0000FB1A0000}"/>
    <cellStyle name="Normal 5 4 2 8 2" xfId="6894" xr:uid="{00000000-0005-0000-0000-0000FC1A0000}"/>
    <cellStyle name="Normal 5 4 2 8 2 2" xfId="15344" xr:uid="{FAFB5D22-544F-4010-BF69-0AD31B8C92E6}"/>
    <cellStyle name="Normal 5 4 2 8 3" xfId="11126" xr:uid="{A9591D00-47F2-4517-A5F6-402658AE4E6A}"/>
    <cellStyle name="Normal 5 4 2 9" xfId="4829" xr:uid="{00000000-0005-0000-0000-0000FD1A0000}"/>
    <cellStyle name="Normal 5 4 2 9 2" xfId="13279" xr:uid="{435C55C1-CB86-47B8-9746-E0EFD3A60B22}"/>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2 2 2" xfId="15842" xr:uid="{AFFBDC91-31CE-4728-AE66-A9283649C414}"/>
    <cellStyle name="Normal 5 4 3 2 2 2 3" xfId="11624" xr:uid="{DAD8EFD3-13C1-48EC-8360-236EF72E3546}"/>
    <cellStyle name="Normal 5 4 3 2 2 3" xfId="5247" xr:uid="{00000000-0005-0000-0000-0000031B0000}"/>
    <cellStyle name="Normal 5 4 3 2 2 3 2" xfId="13697" xr:uid="{1A43D6F7-83F9-4826-B40C-12F0A3DD175B}"/>
    <cellStyle name="Normal 5 4 3 2 2 4" xfId="9479" xr:uid="{F86C646E-C7BD-4E8D-B21D-0DD52CFE5935}"/>
    <cellStyle name="Normal 5 4 3 2 3" xfId="1353" xr:uid="{00000000-0005-0000-0000-0000041B0000}"/>
    <cellStyle name="Normal 5 4 3 2 3 2" xfId="3583" xr:uid="{00000000-0005-0000-0000-0000051B0000}"/>
    <cellStyle name="Normal 5 4 3 2 3 2 2" xfId="7805" xr:uid="{00000000-0005-0000-0000-0000061B0000}"/>
    <cellStyle name="Normal 5 4 3 2 3 2 2 2" xfId="16255" xr:uid="{C33B9874-68CC-47B2-B822-A9139B325401}"/>
    <cellStyle name="Normal 5 4 3 2 3 2 3" xfId="12037" xr:uid="{BB73F5AE-F60A-461C-8E93-1D17AFC886FE}"/>
    <cellStyle name="Normal 5 4 3 2 3 3" xfId="5660" xr:uid="{00000000-0005-0000-0000-0000071B0000}"/>
    <cellStyle name="Normal 5 4 3 2 3 3 2" xfId="14110" xr:uid="{6E9A673A-DF8D-4583-8F20-DCE3AEC444C4}"/>
    <cellStyle name="Normal 5 4 3 2 3 4" xfId="9892" xr:uid="{730FFA25-ACE3-41DA-B8E1-A87EA019BEAF}"/>
    <cellStyle name="Normal 5 4 3 2 4" xfId="1766" xr:uid="{00000000-0005-0000-0000-0000081B0000}"/>
    <cellStyle name="Normal 5 4 3 2 4 2" xfId="3996" xr:uid="{00000000-0005-0000-0000-0000091B0000}"/>
    <cellStyle name="Normal 5 4 3 2 4 2 2" xfId="8218" xr:uid="{00000000-0005-0000-0000-00000A1B0000}"/>
    <cellStyle name="Normal 5 4 3 2 4 2 2 2" xfId="16668" xr:uid="{3D2F3D4E-FBDF-4E1B-802A-FA9B892D645D}"/>
    <cellStyle name="Normal 5 4 3 2 4 2 3" xfId="12450" xr:uid="{D3603456-8EEE-4A62-9FFA-BD5CD2C10299}"/>
    <cellStyle name="Normal 5 4 3 2 4 3" xfId="6073" xr:uid="{00000000-0005-0000-0000-00000B1B0000}"/>
    <cellStyle name="Normal 5 4 3 2 4 3 2" xfId="14523" xr:uid="{4176E5FF-F581-486C-8E3A-8DD8063C5AF5}"/>
    <cellStyle name="Normal 5 4 3 2 4 4" xfId="10305" xr:uid="{36CA11C7-D5A6-4F09-AAB1-69A4E4434945}"/>
    <cellStyle name="Normal 5 4 3 2 5" xfId="2180" xr:uid="{00000000-0005-0000-0000-00000C1B0000}"/>
    <cellStyle name="Normal 5 4 3 2 5 2" xfId="4409" xr:uid="{00000000-0005-0000-0000-00000D1B0000}"/>
    <cellStyle name="Normal 5 4 3 2 5 2 2" xfId="8631" xr:uid="{00000000-0005-0000-0000-00000E1B0000}"/>
    <cellStyle name="Normal 5 4 3 2 5 2 2 2" xfId="17081" xr:uid="{C6E85E85-5651-46CB-A776-386B2C474954}"/>
    <cellStyle name="Normal 5 4 3 2 5 2 3" xfId="12863" xr:uid="{D7790997-7222-4FF4-A320-15B83BFB549E}"/>
    <cellStyle name="Normal 5 4 3 2 5 3" xfId="6486" xr:uid="{00000000-0005-0000-0000-00000F1B0000}"/>
    <cellStyle name="Normal 5 4 3 2 5 3 2" xfId="14936" xr:uid="{C885D31C-2CC4-41FD-A71E-B41FD77F17D5}"/>
    <cellStyle name="Normal 5 4 3 2 5 4" xfId="10718" xr:uid="{5F024AB7-AD3B-4EF0-816E-9CFFA99D3C9F}"/>
    <cellStyle name="Normal 5 4 3 2 6" xfId="2616" xr:uid="{00000000-0005-0000-0000-0000101B0000}"/>
    <cellStyle name="Normal 5 4 3 2 6 2" xfId="6899" xr:uid="{00000000-0005-0000-0000-0000111B0000}"/>
    <cellStyle name="Normal 5 4 3 2 6 2 2" xfId="15349" xr:uid="{C21EFE5F-3D4A-4F57-829A-4075C8CAD8CA}"/>
    <cellStyle name="Normal 5 4 3 2 6 3" xfId="11131" xr:uid="{CE198709-7ED6-41DB-A1C3-9AFDB5B51181}"/>
    <cellStyle name="Normal 5 4 3 2 7" xfId="4834" xr:uid="{00000000-0005-0000-0000-0000121B0000}"/>
    <cellStyle name="Normal 5 4 3 2 7 2" xfId="13284" xr:uid="{C0FFEEA5-F12A-4DC8-94C5-ED7BFB18A842}"/>
    <cellStyle name="Normal 5 4 3 2 8" xfId="9066" xr:uid="{DE340CDC-1DF1-4591-92BC-ECCFCF1679CC}"/>
    <cellStyle name="Normal 5 4 3 3" xfId="935" xr:uid="{00000000-0005-0000-0000-0000131B0000}"/>
    <cellStyle name="Normal 5 4 3 3 2" xfId="3169" xr:uid="{00000000-0005-0000-0000-0000141B0000}"/>
    <cellStyle name="Normal 5 4 3 3 2 2" xfId="7391" xr:uid="{00000000-0005-0000-0000-0000151B0000}"/>
    <cellStyle name="Normal 5 4 3 3 2 2 2" xfId="15841" xr:uid="{E445A9EE-9FF8-40C9-B203-BDE2059BA1B6}"/>
    <cellStyle name="Normal 5 4 3 3 2 3" xfId="11623" xr:uid="{45AA6F44-6863-4BFD-9244-90F2FCF935BC}"/>
    <cellStyle name="Normal 5 4 3 3 3" xfId="5246" xr:uid="{00000000-0005-0000-0000-0000161B0000}"/>
    <cellStyle name="Normal 5 4 3 3 3 2" xfId="13696" xr:uid="{36B11F3E-BE18-4C49-96B1-5941B372738D}"/>
    <cellStyle name="Normal 5 4 3 3 4" xfId="9478" xr:uid="{478C5321-3110-4D72-A392-CEE713F8190D}"/>
    <cellStyle name="Normal 5 4 3 4" xfId="1352" xr:uid="{00000000-0005-0000-0000-0000171B0000}"/>
    <cellStyle name="Normal 5 4 3 4 2" xfId="3582" xr:uid="{00000000-0005-0000-0000-0000181B0000}"/>
    <cellStyle name="Normal 5 4 3 4 2 2" xfId="7804" xr:uid="{00000000-0005-0000-0000-0000191B0000}"/>
    <cellStyle name="Normal 5 4 3 4 2 2 2" xfId="16254" xr:uid="{A670821A-7AEB-47B5-9B85-CAF68D33D493}"/>
    <cellStyle name="Normal 5 4 3 4 2 3" xfId="12036" xr:uid="{0A4D9D91-CA88-42A5-BC44-7259D83B4DBA}"/>
    <cellStyle name="Normal 5 4 3 4 3" xfId="5659" xr:uid="{00000000-0005-0000-0000-00001A1B0000}"/>
    <cellStyle name="Normal 5 4 3 4 3 2" xfId="14109" xr:uid="{70637376-5B33-40FF-B6C2-65578CDC1008}"/>
    <cellStyle name="Normal 5 4 3 4 4" xfId="9891" xr:uid="{18479CFA-9E0E-4271-9D4F-98AFD51ADFB8}"/>
    <cellStyle name="Normal 5 4 3 5" xfId="1765" xr:uid="{00000000-0005-0000-0000-00001B1B0000}"/>
    <cellStyle name="Normal 5 4 3 5 2" xfId="3995" xr:uid="{00000000-0005-0000-0000-00001C1B0000}"/>
    <cellStyle name="Normal 5 4 3 5 2 2" xfId="8217" xr:uid="{00000000-0005-0000-0000-00001D1B0000}"/>
    <cellStyle name="Normal 5 4 3 5 2 2 2" xfId="16667" xr:uid="{41AF6F6E-49B1-46E5-993D-735C64EFC88B}"/>
    <cellStyle name="Normal 5 4 3 5 2 3" xfId="12449" xr:uid="{BC540F21-D082-4DE9-97B1-1758EB0074FB}"/>
    <cellStyle name="Normal 5 4 3 5 3" xfId="6072" xr:uid="{00000000-0005-0000-0000-00001E1B0000}"/>
    <cellStyle name="Normal 5 4 3 5 3 2" xfId="14522" xr:uid="{3E3D9392-28BC-441D-9120-972B53FB5FF0}"/>
    <cellStyle name="Normal 5 4 3 5 4" xfId="10304" xr:uid="{B82D6EFD-03AB-4751-AAC1-72540F724A9C}"/>
    <cellStyle name="Normal 5 4 3 6" xfId="2179" xr:uid="{00000000-0005-0000-0000-00001F1B0000}"/>
    <cellStyle name="Normal 5 4 3 6 2" xfId="4408" xr:uid="{00000000-0005-0000-0000-0000201B0000}"/>
    <cellStyle name="Normal 5 4 3 6 2 2" xfId="8630" xr:uid="{00000000-0005-0000-0000-0000211B0000}"/>
    <cellStyle name="Normal 5 4 3 6 2 2 2" xfId="17080" xr:uid="{AF4BAC5C-549A-415B-BBA1-9800ADF37D1C}"/>
    <cellStyle name="Normal 5 4 3 6 2 3" xfId="12862" xr:uid="{12C79EB0-2291-4CCC-9053-B692ACC42AD9}"/>
    <cellStyle name="Normal 5 4 3 6 3" xfId="6485" xr:uid="{00000000-0005-0000-0000-0000221B0000}"/>
    <cellStyle name="Normal 5 4 3 6 3 2" xfId="14935" xr:uid="{B63658F6-D9B6-4866-A09B-2EAB31FE01FA}"/>
    <cellStyle name="Normal 5 4 3 6 4" xfId="10717" xr:uid="{7176AC7E-6417-4A0E-962A-21B4FCDFA27C}"/>
    <cellStyle name="Normal 5 4 3 7" xfId="2615" xr:uid="{00000000-0005-0000-0000-0000231B0000}"/>
    <cellStyle name="Normal 5 4 3 7 2" xfId="6898" xr:uid="{00000000-0005-0000-0000-0000241B0000}"/>
    <cellStyle name="Normal 5 4 3 7 2 2" xfId="15348" xr:uid="{F1D11522-8E48-4EE1-8816-FAEE343C5B3E}"/>
    <cellStyle name="Normal 5 4 3 7 3" xfId="11130" xr:uid="{58754BBE-238C-49CD-9B6C-F3E7A94EEB78}"/>
    <cellStyle name="Normal 5 4 3 8" xfId="4833" xr:uid="{00000000-0005-0000-0000-0000251B0000}"/>
    <cellStyle name="Normal 5 4 3 8 2" xfId="13283" xr:uid="{4E899FC4-82DD-4F2A-B199-E2EF31B28AAB}"/>
    <cellStyle name="Normal 5 4 3 9" xfId="9065" xr:uid="{04E76FC5-31B5-44CF-AFC7-C8580C9BD684}"/>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2 2 2" xfId="15843" xr:uid="{F12B5DEF-50A6-41C7-BACD-658D71574B04}"/>
    <cellStyle name="Normal 5 4 4 2 2 3" xfId="11625" xr:uid="{88E2C8CC-3159-49C5-8C5C-B5109DE96FF6}"/>
    <cellStyle name="Normal 5 4 4 2 3" xfId="5248" xr:uid="{00000000-0005-0000-0000-00002A1B0000}"/>
    <cellStyle name="Normal 5 4 4 2 3 2" xfId="13698" xr:uid="{D4770153-BEB7-4896-A140-52444E66653C}"/>
    <cellStyle name="Normal 5 4 4 2 4" xfId="9480" xr:uid="{E614F584-2F35-437C-BDA9-F6467E2E775C}"/>
    <cellStyle name="Normal 5 4 4 3" xfId="1354" xr:uid="{00000000-0005-0000-0000-00002B1B0000}"/>
    <cellStyle name="Normal 5 4 4 3 2" xfId="3584" xr:uid="{00000000-0005-0000-0000-00002C1B0000}"/>
    <cellStyle name="Normal 5 4 4 3 2 2" xfId="7806" xr:uid="{00000000-0005-0000-0000-00002D1B0000}"/>
    <cellStyle name="Normal 5 4 4 3 2 2 2" xfId="16256" xr:uid="{1EA6116B-566A-4379-9000-69D2C828802A}"/>
    <cellStyle name="Normal 5 4 4 3 2 3" xfId="12038" xr:uid="{F11063AC-4494-406E-9ED7-F1F46C0D6F97}"/>
    <cellStyle name="Normal 5 4 4 3 3" xfId="5661" xr:uid="{00000000-0005-0000-0000-00002E1B0000}"/>
    <cellStyle name="Normal 5 4 4 3 3 2" xfId="14111" xr:uid="{4B82802F-141E-4146-9DA0-1554FF5489D7}"/>
    <cellStyle name="Normal 5 4 4 3 4" xfId="9893" xr:uid="{97D37CE8-81A0-4BB7-BF63-3F2A82689A09}"/>
    <cellStyle name="Normal 5 4 4 4" xfId="1767" xr:uid="{00000000-0005-0000-0000-00002F1B0000}"/>
    <cellStyle name="Normal 5 4 4 4 2" xfId="3997" xr:uid="{00000000-0005-0000-0000-0000301B0000}"/>
    <cellStyle name="Normal 5 4 4 4 2 2" xfId="8219" xr:uid="{00000000-0005-0000-0000-0000311B0000}"/>
    <cellStyle name="Normal 5 4 4 4 2 2 2" xfId="16669" xr:uid="{6ABBCA1C-1E87-4C26-97A2-FC900D3B04CB}"/>
    <cellStyle name="Normal 5 4 4 4 2 3" xfId="12451" xr:uid="{43442AB1-36A0-47D7-8F65-58C273ED4803}"/>
    <cellStyle name="Normal 5 4 4 4 3" xfId="6074" xr:uid="{00000000-0005-0000-0000-0000321B0000}"/>
    <cellStyle name="Normal 5 4 4 4 3 2" xfId="14524" xr:uid="{F0AE99B4-D31E-401E-80E4-5128816A0B17}"/>
    <cellStyle name="Normal 5 4 4 4 4" xfId="10306" xr:uid="{885FB035-C496-485D-A725-E992C1C0410E}"/>
    <cellStyle name="Normal 5 4 4 5" xfId="2181" xr:uid="{00000000-0005-0000-0000-0000331B0000}"/>
    <cellStyle name="Normal 5 4 4 5 2" xfId="4410" xr:uid="{00000000-0005-0000-0000-0000341B0000}"/>
    <cellStyle name="Normal 5 4 4 5 2 2" xfId="8632" xr:uid="{00000000-0005-0000-0000-0000351B0000}"/>
    <cellStyle name="Normal 5 4 4 5 2 2 2" xfId="17082" xr:uid="{8A83AAAA-DCBA-4DF7-AB73-920E8B41BE83}"/>
    <cellStyle name="Normal 5 4 4 5 2 3" xfId="12864" xr:uid="{DB48DDC5-39A1-48D3-A985-5BDE922D14ED}"/>
    <cellStyle name="Normal 5 4 4 5 3" xfId="6487" xr:uid="{00000000-0005-0000-0000-0000361B0000}"/>
    <cellStyle name="Normal 5 4 4 5 3 2" xfId="14937" xr:uid="{B92FBE3F-63E8-4A98-9A17-7614D7C51068}"/>
    <cellStyle name="Normal 5 4 4 5 4" xfId="10719" xr:uid="{B6CB0AF0-03E6-4513-B544-4D759E178CCE}"/>
    <cellStyle name="Normal 5 4 4 6" xfId="2617" xr:uid="{00000000-0005-0000-0000-0000371B0000}"/>
    <cellStyle name="Normal 5 4 4 6 2" xfId="6900" xr:uid="{00000000-0005-0000-0000-0000381B0000}"/>
    <cellStyle name="Normal 5 4 4 6 2 2" xfId="15350" xr:uid="{E1FA4FA8-ABEE-4C97-9C2B-A20A3BBC9662}"/>
    <cellStyle name="Normal 5 4 4 6 3" xfId="11132" xr:uid="{C48DE4C4-D6C8-482A-959A-048E23C919E2}"/>
    <cellStyle name="Normal 5 4 4 7" xfId="4835" xr:uid="{00000000-0005-0000-0000-0000391B0000}"/>
    <cellStyle name="Normal 5 4 4 7 2" xfId="13285" xr:uid="{6214A73F-2A0C-4B9A-BF53-02299649B9F6}"/>
    <cellStyle name="Normal 5 4 4 8" xfId="9067" xr:uid="{90A760CF-1351-45AC-9CFF-78A698126BE3}"/>
    <cellStyle name="Normal 5 4 5" xfId="930" xr:uid="{00000000-0005-0000-0000-00003A1B0000}"/>
    <cellStyle name="Normal 5 4 5 2" xfId="3164" xr:uid="{00000000-0005-0000-0000-00003B1B0000}"/>
    <cellStyle name="Normal 5 4 5 2 2" xfId="7386" xr:uid="{00000000-0005-0000-0000-00003C1B0000}"/>
    <cellStyle name="Normal 5 4 5 2 2 2" xfId="15836" xr:uid="{E32CFBDE-2282-414D-B70D-321EE80451A1}"/>
    <cellStyle name="Normal 5 4 5 2 3" xfId="11618" xr:uid="{865EF00C-5EFF-4571-8849-210542B77F55}"/>
    <cellStyle name="Normal 5 4 5 3" xfId="5241" xr:uid="{00000000-0005-0000-0000-00003D1B0000}"/>
    <cellStyle name="Normal 5 4 5 3 2" xfId="13691" xr:uid="{40A201BA-209F-4977-9390-51AF87380C64}"/>
    <cellStyle name="Normal 5 4 5 4" xfId="9473" xr:uid="{5BC6AD7C-49C2-4B72-96F3-BBF5A0F79034}"/>
    <cellStyle name="Normal 5 4 6" xfId="1347" xr:uid="{00000000-0005-0000-0000-00003E1B0000}"/>
    <cellStyle name="Normal 5 4 6 2" xfId="3577" xr:uid="{00000000-0005-0000-0000-00003F1B0000}"/>
    <cellStyle name="Normal 5 4 6 2 2" xfId="7799" xr:uid="{00000000-0005-0000-0000-0000401B0000}"/>
    <cellStyle name="Normal 5 4 6 2 2 2" xfId="16249" xr:uid="{C4B001D2-91BA-4B34-8136-8E195A2C1076}"/>
    <cellStyle name="Normal 5 4 6 2 3" xfId="12031" xr:uid="{C731682E-4FA0-4E5B-B086-AAC5FFAFA269}"/>
    <cellStyle name="Normal 5 4 6 3" xfId="5654" xr:uid="{00000000-0005-0000-0000-0000411B0000}"/>
    <cellStyle name="Normal 5 4 6 3 2" xfId="14104" xr:uid="{D04612A6-6A66-4ED0-8391-F106AD218561}"/>
    <cellStyle name="Normal 5 4 6 4" xfId="9886" xr:uid="{0F8CB650-FA12-42FB-BDFE-FF64D0C585D3}"/>
    <cellStyle name="Normal 5 4 7" xfId="1760" xr:uid="{00000000-0005-0000-0000-0000421B0000}"/>
    <cellStyle name="Normal 5 4 7 2" xfId="3990" xr:uid="{00000000-0005-0000-0000-0000431B0000}"/>
    <cellStyle name="Normal 5 4 7 2 2" xfId="8212" xr:uid="{00000000-0005-0000-0000-0000441B0000}"/>
    <cellStyle name="Normal 5 4 7 2 2 2" xfId="16662" xr:uid="{613C931B-B295-4EA0-A8A3-80D7490BE6C1}"/>
    <cellStyle name="Normal 5 4 7 2 3" xfId="12444" xr:uid="{FB9A6B70-CC27-43AB-BB02-33CC4EC92B9F}"/>
    <cellStyle name="Normal 5 4 7 3" xfId="6067" xr:uid="{00000000-0005-0000-0000-0000451B0000}"/>
    <cellStyle name="Normal 5 4 7 3 2" xfId="14517" xr:uid="{11237055-02FB-4F50-9BE1-53B1CE38C6E0}"/>
    <cellStyle name="Normal 5 4 7 4" xfId="10299" xr:uid="{226252D7-0A7C-4290-A47C-391C1B562277}"/>
    <cellStyle name="Normal 5 4 8" xfId="2174" xr:uid="{00000000-0005-0000-0000-0000461B0000}"/>
    <cellStyle name="Normal 5 4 8 2" xfId="4403" xr:uid="{00000000-0005-0000-0000-0000471B0000}"/>
    <cellStyle name="Normal 5 4 8 2 2" xfId="8625" xr:uid="{00000000-0005-0000-0000-0000481B0000}"/>
    <cellStyle name="Normal 5 4 8 2 2 2" xfId="17075" xr:uid="{F0CC3277-2207-4EC7-AB4D-AE5E0499F67A}"/>
    <cellStyle name="Normal 5 4 8 2 3" xfId="12857" xr:uid="{B9B93AE4-6CBF-4AA6-8FDD-C3F17EDAE4D6}"/>
    <cellStyle name="Normal 5 4 8 3" xfId="6480" xr:uid="{00000000-0005-0000-0000-0000491B0000}"/>
    <cellStyle name="Normal 5 4 8 3 2" xfId="14930" xr:uid="{6DC73E5E-C5A1-4F6E-8872-6EAEF2E30C2F}"/>
    <cellStyle name="Normal 5 4 8 4" xfId="10712" xr:uid="{250E21DE-6D6C-4A16-B4A3-5546F5A008A4}"/>
    <cellStyle name="Normal 5 4 9" xfId="2610" xr:uid="{00000000-0005-0000-0000-00004A1B0000}"/>
    <cellStyle name="Normal 5 4 9 2" xfId="6893" xr:uid="{00000000-0005-0000-0000-00004B1B0000}"/>
    <cellStyle name="Normal 5 4 9 2 2" xfId="15343" xr:uid="{724A653D-98A0-4E7A-BED6-CA7E9342EB2E}"/>
    <cellStyle name="Normal 5 4 9 3" xfId="11125" xr:uid="{E0CFA914-E676-4A04-80CB-20DB073A0FBE}"/>
    <cellStyle name="Normal 5 5" xfId="464" xr:uid="{00000000-0005-0000-0000-00004C1B0000}"/>
    <cellStyle name="Normal 5 5 10" xfId="9068" xr:uid="{F53A65B8-CF09-4972-B399-DD2A802DC7D9}"/>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2 2 2" xfId="15846" xr:uid="{3538B257-135C-421D-A84E-A358AA166335}"/>
    <cellStyle name="Normal 5 5 2 2 2 2 3" xfId="11628" xr:uid="{E3668BB0-4EE0-4BD2-BC7E-A3E4FBC2E63D}"/>
    <cellStyle name="Normal 5 5 2 2 2 3" xfId="5251" xr:uid="{00000000-0005-0000-0000-0000521B0000}"/>
    <cellStyle name="Normal 5 5 2 2 2 3 2" xfId="13701" xr:uid="{38FD05C6-68BF-4108-A7A7-4C4BA00778AA}"/>
    <cellStyle name="Normal 5 5 2 2 2 4" xfId="9483" xr:uid="{EC33EFF0-1377-4F4D-9697-C9F58F3CF61A}"/>
    <cellStyle name="Normal 5 5 2 2 3" xfId="1357" xr:uid="{00000000-0005-0000-0000-0000531B0000}"/>
    <cellStyle name="Normal 5 5 2 2 3 2" xfId="3587" xr:uid="{00000000-0005-0000-0000-0000541B0000}"/>
    <cellStyle name="Normal 5 5 2 2 3 2 2" xfId="7809" xr:uid="{00000000-0005-0000-0000-0000551B0000}"/>
    <cellStyle name="Normal 5 5 2 2 3 2 2 2" xfId="16259" xr:uid="{C4ADFCD0-4217-4E3E-9EC9-33BAB8DE29D3}"/>
    <cellStyle name="Normal 5 5 2 2 3 2 3" xfId="12041" xr:uid="{6A444EDE-2571-46FC-93E1-D0FBB01A51BC}"/>
    <cellStyle name="Normal 5 5 2 2 3 3" xfId="5664" xr:uid="{00000000-0005-0000-0000-0000561B0000}"/>
    <cellStyle name="Normal 5 5 2 2 3 3 2" xfId="14114" xr:uid="{14ED1D29-8A35-4884-9651-580C5F17CBAA}"/>
    <cellStyle name="Normal 5 5 2 2 3 4" xfId="9896" xr:uid="{96F48FDB-374B-49D2-84F2-1A400AADE81F}"/>
    <cellStyle name="Normal 5 5 2 2 4" xfId="1770" xr:uid="{00000000-0005-0000-0000-0000571B0000}"/>
    <cellStyle name="Normal 5 5 2 2 4 2" xfId="4000" xr:uid="{00000000-0005-0000-0000-0000581B0000}"/>
    <cellStyle name="Normal 5 5 2 2 4 2 2" xfId="8222" xr:uid="{00000000-0005-0000-0000-0000591B0000}"/>
    <cellStyle name="Normal 5 5 2 2 4 2 2 2" xfId="16672" xr:uid="{06C9F340-09C7-4BAA-AA52-5642CF177420}"/>
    <cellStyle name="Normal 5 5 2 2 4 2 3" xfId="12454" xr:uid="{C2EF0D2E-B77E-4EE8-AFB4-41BCF641406A}"/>
    <cellStyle name="Normal 5 5 2 2 4 3" xfId="6077" xr:uid="{00000000-0005-0000-0000-00005A1B0000}"/>
    <cellStyle name="Normal 5 5 2 2 4 3 2" xfId="14527" xr:uid="{BE011132-D297-4123-8340-5E3846370943}"/>
    <cellStyle name="Normal 5 5 2 2 4 4" xfId="10309" xr:uid="{13695D3C-878E-491B-AA19-230533C2F753}"/>
    <cellStyle name="Normal 5 5 2 2 5" xfId="2184" xr:uid="{00000000-0005-0000-0000-00005B1B0000}"/>
    <cellStyle name="Normal 5 5 2 2 5 2" xfId="4413" xr:uid="{00000000-0005-0000-0000-00005C1B0000}"/>
    <cellStyle name="Normal 5 5 2 2 5 2 2" xfId="8635" xr:uid="{00000000-0005-0000-0000-00005D1B0000}"/>
    <cellStyle name="Normal 5 5 2 2 5 2 2 2" xfId="17085" xr:uid="{1D60D3E9-87C3-464E-B8DA-0940DD85C48D}"/>
    <cellStyle name="Normal 5 5 2 2 5 2 3" xfId="12867" xr:uid="{3BC2885E-9AE9-40D4-83CE-CC01A5513757}"/>
    <cellStyle name="Normal 5 5 2 2 5 3" xfId="6490" xr:uid="{00000000-0005-0000-0000-00005E1B0000}"/>
    <cellStyle name="Normal 5 5 2 2 5 3 2" xfId="14940" xr:uid="{A7128D92-B218-4ECD-90ED-DA79EA64B150}"/>
    <cellStyle name="Normal 5 5 2 2 5 4" xfId="10722" xr:uid="{54EE1AAB-AA00-483C-A3AE-239C9B99BAC7}"/>
    <cellStyle name="Normal 5 5 2 2 6" xfId="2620" xr:uid="{00000000-0005-0000-0000-00005F1B0000}"/>
    <cellStyle name="Normal 5 5 2 2 6 2" xfId="6903" xr:uid="{00000000-0005-0000-0000-0000601B0000}"/>
    <cellStyle name="Normal 5 5 2 2 6 2 2" xfId="15353" xr:uid="{7650D114-50B8-413B-918C-CE836197D45A}"/>
    <cellStyle name="Normal 5 5 2 2 6 3" xfId="11135" xr:uid="{4C466D0C-C831-428F-826A-4AD83802903C}"/>
    <cellStyle name="Normal 5 5 2 2 7" xfId="4838" xr:uid="{00000000-0005-0000-0000-0000611B0000}"/>
    <cellStyle name="Normal 5 5 2 2 7 2" xfId="13288" xr:uid="{AA159E17-186B-4E6B-B7DF-B2AD566267F7}"/>
    <cellStyle name="Normal 5 5 2 2 8" xfId="9070" xr:uid="{09191049-A44F-4D3D-B7C6-288740F8BF6A}"/>
    <cellStyle name="Normal 5 5 2 3" xfId="939" xr:uid="{00000000-0005-0000-0000-0000621B0000}"/>
    <cellStyle name="Normal 5 5 2 3 2" xfId="3173" xr:uid="{00000000-0005-0000-0000-0000631B0000}"/>
    <cellStyle name="Normal 5 5 2 3 2 2" xfId="7395" xr:uid="{00000000-0005-0000-0000-0000641B0000}"/>
    <cellStyle name="Normal 5 5 2 3 2 2 2" xfId="15845" xr:uid="{814E4123-FFB6-44EB-B72C-2477D8560A72}"/>
    <cellStyle name="Normal 5 5 2 3 2 3" xfId="11627" xr:uid="{B34D72E1-98E2-4D24-B3CB-8C76389E6B1F}"/>
    <cellStyle name="Normal 5 5 2 3 3" xfId="5250" xr:uid="{00000000-0005-0000-0000-0000651B0000}"/>
    <cellStyle name="Normal 5 5 2 3 3 2" xfId="13700" xr:uid="{D2706519-6AAA-442B-984A-2433590A283C}"/>
    <cellStyle name="Normal 5 5 2 3 4" xfId="9482" xr:uid="{28CEA2AA-AAE9-4D58-A52C-0D279875DFB7}"/>
    <cellStyle name="Normal 5 5 2 4" xfId="1356" xr:uid="{00000000-0005-0000-0000-0000661B0000}"/>
    <cellStyle name="Normal 5 5 2 4 2" xfId="3586" xr:uid="{00000000-0005-0000-0000-0000671B0000}"/>
    <cellStyle name="Normal 5 5 2 4 2 2" xfId="7808" xr:uid="{00000000-0005-0000-0000-0000681B0000}"/>
    <cellStyle name="Normal 5 5 2 4 2 2 2" xfId="16258" xr:uid="{63689193-C5FA-4056-BDFF-57CE9278ED8B}"/>
    <cellStyle name="Normal 5 5 2 4 2 3" xfId="12040" xr:uid="{322D2B69-449E-4295-8338-56EE0003A611}"/>
    <cellStyle name="Normal 5 5 2 4 3" xfId="5663" xr:uid="{00000000-0005-0000-0000-0000691B0000}"/>
    <cellStyle name="Normal 5 5 2 4 3 2" xfId="14113" xr:uid="{EE118D50-CBB6-4AD9-9732-2FA033CA0162}"/>
    <cellStyle name="Normal 5 5 2 4 4" xfId="9895" xr:uid="{B334B73E-B72C-4EB0-8896-BBE56AA58D40}"/>
    <cellStyle name="Normal 5 5 2 5" xfId="1769" xr:uid="{00000000-0005-0000-0000-00006A1B0000}"/>
    <cellStyle name="Normal 5 5 2 5 2" xfId="3999" xr:uid="{00000000-0005-0000-0000-00006B1B0000}"/>
    <cellStyle name="Normal 5 5 2 5 2 2" xfId="8221" xr:uid="{00000000-0005-0000-0000-00006C1B0000}"/>
    <cellStyle name="Normal 5 5 2 5 2 2 2" xfId="16671" xr:uid="{5AE1F757-7EC2-4589-A119-34D83F06FF65}"/>
    <cellStyle name="Normal 5 5 2 5 2 3" xfId="12453" xr:uid="{276717AF-AF62-49CE-B27C-B62349EE7FA1}"/>
    <cellStyle name="Normal 5 5 2 5 3" xfId="6076" xr:uid="{00000000-0005-0000-0000-00006D1B0000}"/>
    <cellStyle name="Normal 5 5 2 5 3 2" xfId="14526" xr:uid="{F5508E5E-EC4D-443B-AFAF-0F5DAF0550C9}"/>
    <cellStyle name="Normal 5 5 2 5 4" xfId="10308" xr:uid="{0542B700-6B70-43DC-95F1-086C17118A68}"/>
    <cellStyle name="Normal 5 5 2 6" xfId="2183" xr:uid="{00000000-0005-0000-0000-00006E1B0000}"/>
    <cellStyle name="Normal 5 5 2 6 2" xfId="4412" xr:uid="{00000000-0005-0000-0000-00006F1B0000}"/>
    <cellStyle name="Normal 5 5 2 6 2 2" xfId="8634" xr:uid="{00000000-0005-0000-0000-0000701B0000}"/>
    <cellStyle name="Normal 5 5 2 6 2 2 2" xfId="17084" xr:uid="{E539AFBA-F7FC-4119-89CD-522D68EC0AF0}"/>
    <cellStyle name="Normal 5 5 2 6 2 3" xfId="12866" xr:uid="{CD177AFB-7E22-4228-9026-E35BC05A8362}"/>
    <cellStyle name="Normal 5 5 2 6 3" xfId="6489" xr:uid="{00000000-0005-0000-0000-0000711B0000}"/>
    <cellStyle name="Normal 5 5 2 6 3 2" xfId="14939" xr:uid="{DD312177-668B-4A5C-A2DC-BAD0D8686D94}"/>
    <cellStyle name="Normal 5 5 2 6 4" xfId="10721" xr:uid="{8937022E-DD71-4078-92C4-8A38B0FB4A3C}"/>
    <cellStyle name="Normal 5 5 2 7" xfId="2619" xr:uid="{00000000-0005-0000-0000-0000721B0000}"/>
    <cellStyle name="Normal 5 5 2 7 2" xfId="6902" xr:uid="{00000000-0005-0000-0000-0000731B0000}"/>
    <cellStyle name="Normal 5 5 2 7 2 2" xfId="15352" xr:uid="{97913B1C-45D5-46EB-8D7F-4EB69B908A9E}"/>
    <cellStyle name="Normal 5 5 2 7 3" xfId="11134" xr:uid="{E85C185C-F5D6-490E-893F-85206E220285}"/>
    <cellStyle name="Normal 5 5 2 8" xfId="4837" xr:uid="{00000000-0005-0000-0000-0000741B0000}"/>
    <cellStyle name="Normal 5 5 2 8 2" xfId="13287" xr:uid="{1341BDB8-406D-442C-9EDD-0311254729FA}"/>
    <cellStyle name="Normal 5 5 2 9" xfId="9069" xr:uid="{FF30AA61-FCF8-4F38-B342-60F613CCFB2C}"/>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2 2 2" xfId="15847" xr:uid="{225366A4-0590-4628-81E8-655D9333D815}"/>
    <cellStyle name="Normal 5 5 3 2 2 3" xfId="11629" xr:uid="{A06E6048-0B82-4F5E-82FB-43C24811B8F6}"/>
    <cellStyle name="Normal 5 5 3 2 3" xfId="5252" xr:uid="{00000000-0005-0000-0000-0000791B0000}"/>
    <cellStyle name="Normal 5 5 3 2 3 2" xfId="13702" xr:uid="{F943FD51-820B-4E1B-9D36-20E3A546A86A}"/>
    <cellStyle name="Normal 5 5 3 2 4" xfId="9484" xr:uid="{46145663-A6BE-4A9F-A1CC-25E12EEB538C}"/>
    <cellStyle name="Normal 5 5 3 3" xfId="1358" xr:uid="{00000000-0005-0000-0000-00007A1B0000}"/>
    <cellStyle name="Normal 5 5 3 3 2" xfId="3588" xr:uid="{00000000-0005-0000-0000-00007B1B0000}"/>
    <cellStyle name="Normal 5 5 3 3 2 2" xfId="7810" xr:uid="{00000000-0005-0000-0000-00007C1B0000}"/>
    <cellStyle name="Normal 5 5 3 3 2 2 2" xfId="16260" xr:uid="{0CB568F3-9317-42A5-8AF1-033CC8744E58}"/>
    <cellStyle name="Normal 5 5 3 3 2 3" xfId="12042" xr:uid="{80F6EBFF-5603-4259-A6FB-242C77307B0F}"/>
    <cellStyle name="Normal 5 5 3 3 3" xfId="5665" xr:uid="{00000000-0005-0000-0000-00007D1B0000}"/>
    <cellStyle name="Normal 5 5 3 3 3 2" xfId="14115" xr:uid="{25DF633C-BB4B-4CB6-BDE7-F26C731C58A1}"/>
    <cellStyle name="Normal 5 5 3 3 4" xfId="9897" xr:uid="{C00E262F-7D65-42B8-8145-96788C46A46B}"/>
    <cellStyle name="Normal 5 5 3 4" xfId="1771" xr:uid="{00000000-0005-0000-0000-00007E1B0000}"/>
    <cellStyle name="Normal 5 5 3 4 2" xfId="4001" xr:uid="{00000000-0005-0000-0000-00007F1B0000}"/>
    <cellStyle name="Normal 5 5 3 4 2 2" xfId="8223" xr:uid="{00000000-0005-0000-0000-0000801B0000}"/>
    <cellStyle name="Normal 5 5 3 4 2 2 2" xfId="16673" xr:uid="{837E73F2-7B03-4B3A-A736-23DBF7103A37}"/>
    <cellStyle name="Normal 5 5 3 4 2 3" xfId="12455" xr:uid="{1084A2E1-5630-47CD-AC58-8CA9321151BC}"/>
    <cellStyle name="Normal 5 5 3 4 3" xfId="6078" xr:uid="{00000000-0005-0000-0000-0000811B0000}"/>
    <cellStyle name="Normal 5 5 3 4 3 2" xfId="14528" xr:uid="{3EF2650A-4EC6-4751-B671-1DA3E8CBB696}"/>
    <cellStyle name="Normal 5 5 3 4 4" xfId="10310" xr:uid="{A100FE4F-BFFD-4DBB-A5CF-429D7A422624}"/>
    <cellStyle name="Normal 5 5 3 5" xfId="2185" xr:uid="{00000000-0005-0000-0000-0000821B0000}"/>
    <cellStyle name="Normal 5 5 3 5 2" xfId="4414" xr:uid="{00000000-0005-0000-0000-0000831B0000}"/>
    <cellStyle name="Normal 5 5 3 5 2 2" xfId="8636" xr:uid="{00000000-0005-0000-0000-0000841B0000}"/>
    <cellStyle name="Normal 5 5 3 5 2 2 2" xfId="17086" xr:uid="{18169E32-9141-4257-A346-7F03AF9067D0}"/>
    <cellStyle name="Normal 5 5 3 5 2 3" xfId="12868" xr:uid="{8E7960AF-2CB0-4BC5-B779-F8C708ED29F9}"/>
    <cellStyle name="Normal 5 5 3 5 3" xfId="6491" xr:uid="{00000000-0005-0000-0000-0000851B0000}"/>
    <cellStyle name="Normal 5 5 3 5 3 2" xfId="14941" xr:uid="{1CC555D6-9AFF-4AB2-8D1E-3EB6CC158FDF}"/>
    <cellStyle name="Normal 5 5 3 5 4" xfId="10723" xr:uid="{727EFBE3-2B53-461B-86F1-953B2D4FA52F}"/>
    <cellStyle name="Normal 5 5 3 6" xfId="2621" xr:uid="{00000000-0005-0000-0000-0000861B0000}"/>
    <cellStyle name="Normal 5 5 3 6 2" xfId="6904" xr:uid="{00000000-0005-0000-0000-0000871B0000}"/>
    <cellStyle name="Normal 5 5 3 6 2 2" xfId="15354" xr:uid="{199653B0-3C0F-479A-A006-E67C3CA66ED5}"/>
    <cellStyle name="Normal 5 5 3 6 3" xfId="11136" xr:uid="{C6C8CFF4-E5D9-421F-A57F-9CEF8934A3F8}"/>
    <cellStyle name="Normal 5 5 3 7" xfId="4839" xr:uid="{00000000-0005-0000-0000-0000881B0000}"/>
    <cellStyle name="Normal 5 5 3 7 2" xfId="13289" xr:uid="{3721D17E-5886-4467-8D2F-86A1C29B5E4B}"/>
    <cellStyle name="Normal 5 5 3 8" xfId="9071" xr:uid="{98D37B46-5E98-4533-ACBA-C87934D3F0CD}"/>
    <cellStyle name="Normal 5 5 4" xfId="938" xr:uid="{00000000-0005-0000-0000-0000891B0000}"/>
    <cellStyle name="Normal 5 5 4 2" xfId="3172" xr:uid="{00000000-0005-0000-0000-00008A1B0000}"/>
    <cellStyle name="Normal 5 5 4 2 2" xfId="7394" xr:uid="{00000000-0005-0000-0000-00008B1B0000}"/>
    <cellStyle name="Normal 5 5 4 2 2 2" xfId="15844" xr:uid="{B319B87A-FEF8-4226-AE05-0C8EB43B0BA6}"/>
    <cellStyle name="Normal 5 5 4 2 3" xfId="11626" xr:uid="{E9F820AB-60ED-427F-B5C1-35E775689FA1}"/>
    <cellStyle name="Normal 5 5 4 3" xfId="5249" xr:uid="{00000000-0005-0000-0000-00008C1B0000}"/>
    <cellStyle name="Normal 5 5 4 3 2" xfId="13699" xr:uid="{B46E90F9-6D80-42E2-B2EF-FBF0ABABFD2C}"/>
    <cellStyle name="Normal 5 5 4 4" xfId="9481" xr:uid="{C30B439E-BD2A-4BFD-8654-1B231BF72342}"/>
    <cellStyle name="Normal 5 5 5" xfId="1355" xr:uid="{00000000-0005-0000-0000-00008D1B0000}"/>
    <cellStyle name="Normal 5 5 5 2" xfId="3585" xr:uid="{00000000-0005-0000-0000-00008E1B0000}"/>
    <cellStyle name="Normal 5 5 5 2 2" xfId="7807" xr:uid="{00000000-0005-0000-0000-00008F1B0000}"/>
    <cellStyle name="Normal 5 5 5 2 2 2" xfId="16257" xr:uid="{13F58CB3-8DCE-4A0D-910C-C237C9B4F6BA}"/>
    <cellStyle name="Normal 5 5 5 2 3" xfId="12039" xr:uid="{757A3C41-6E8D-44A9-A61C-216D1C31F9B5}"/>
    <cellStyle name="Normal 5 5 5 3" xfId="5662" xr:uid="{00000000-0005-0000-0000-0000901B0000}"/>
    <cellStyle name="Normal 5 5 5 3 2" xfId="14112" xr:uid="{D742E928-8D8C-4146-AE92-EFC0C92E07DA}"/>
    <cellStyle name="Normal 5 5 5 4" xfId="9894" xr:uid="{E09F824E-658C-4DF6-85C6-B2E1D90CE87E}"/>
    <cellStyle name="Normal 5 5 6" xfId="1768" xr:uid="{00000000-0005-0000-0000-0000911B0000}"/>
    <cellStyle name="Normal 5 5 6 2" xfId="3998" xr:uid="{00000000-0005-0000-0000-0000921B0000}"/>
    <cellStyle name="Normal 5 5 6 2 2" xfId="8220" xr:uid="{00000000-0005-0000-0000-0000931B0000}"/>
    <cellStyle name="Normal 5 5 6 2 2 2" xfId="16670" xr:uid="{09C27F90-8AB2-483B-9C6C-99AF7F36829A}"/>
    <cellStyle name="Normal 5 5 6 2 3" xfId="12452" xr:uid="{4EB0A334-6A7E-4707-A3FB-0FEAC02C1BE7}"/>
    <cellStyle name="Normal 5 5 6 3" xfId="6075" xr:uid="{00000000-0005-0000-0000-0000941B0000}"/>
    <cellStyle name="Normal 5 5 6 3 2" xfId="14525" xr:uid="{F536C11C-2E5D-4769-A809-5602ACAACD94}"/>
    <cellStyle name="Normal 5 5 6 4" xfId="10307" xr:uid="{3A4779E6-174B-4C53-B011-3B61B41C1C57}"/>
    <cellStyle name="Normal 5 5 7" xfId="2182" xr:uid="{00000000-0005-0000-0000-0000951B0000}"/>
    <cellStyle name="Normal 5 5 7 2" xfId="4411" xr:uid="{00000000-0005-0000-0000-0000961B0000}"/>
    <cellStyle name="Normal 5 5 7 2 2" xfId="8633" xr:uid="{00000000-0005-0000-0000-0000971B0000}"/>
    <cellStyle name="Normal 5 5 7 2 2 2" xfId="17083" xr:uid="{0C6CBD98-ED16-4E6B-BA7E-9C2D56164D90}"/>
    <cellStyle name="Normal 5 5 7 2 3" xfId="12865" xr:uid="{53B3ECAA-47AE-4F16-85B4-969F9E4728BC}"/>
    <cellStyle name="Normal 5 5 7 3" xfId="6488" xr:uid="{00000000-0005-0000-0000-0000981B0000}"/>
    <cellStyle name="Normal 5 5 7 3 2" xfId="14938" xr:uid="{28851C4A-5BA0-4C37-9A98-FF668390792F}"/>
    <cellStyle name="Normal 5 5 7 4" xfId="10720" xr:uid="{D08E7BC9-9CC3-4DBA-9D72-1811F4385C5B}"/>
    <cellStyle name="Normal 5 5 8" xfId="2618" xr:uid="{00000000-0005-0000-0000-0000991B0000}"/>
    <cellStyle name="Normal 5 5 8 2" xfId="6901" xr:uid="{00000000-0005-0000-0000-00009A1B0000}"/>
    <cellStyle name="Normal 5 5 8 2 2" xfId="15351" xr:uid="{4B2C32DE-E81A-4CEF-B4EA-A97441EF3A26}"/>
    <cellStyle name="Normal 5 5 8 3" xfId="11133" xr:uid="{575697DC-44F1-4D67-9539-3DE4A493CD98}"/>
    <cellStyle name="Normal 5 5 9" xfId="4836" xr:uid="{00000000-0005-0000-0000-00009B1B0000}"/>
    <cellStyle name="Normal 5 5 9 2" xfId="13286" xr:uid="{4B6C1BC7-3C46-495A-927D-2573A935BE6D}"/>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2 2 2" xfId="15849" xr:uid="{FD1B3FE4-421C-4C0F-A868-567A7C891AD6}"/>
    <cellStyle name="Normal 5 6 2 2 2 3" xfId="11631" xr:uid="{C906F03B-C603-48FE-8F61-B519A32D4E10}"/>
    <cellStyle name="Normal 5 6 2 2 3" xfId="5254" xr:uid="{00000000-0005-0000-0000-0000A11B0000}"/>
    <cellStyle name="Normal 5 6 2 2 3 2" xfId="13704" xr:uid="{BBDE04B3-1FEA-4339-A4EA-C9C880F2415F}"/>
    <cellStyle name="Normal 5 6 2 2 4" xfId="9486" xr:uid="{077995EC-989C-45E2-861D-614629D2C751}"/>
    <cellStyle name="Normal 5 6 2 3" xfId="1360" xr:uid="{00000000-0005-0000-0000-0000A21B0000}"/>
    <cellStyle name="Normal 5 6 2 3 2" xfId="3590" xr:uid="{00000000-0005-0000-0000-0000A31B0000}"/>
    <cellStyle name="Normal 5 6 2 3 2 2" xfId="7812" xr:uid="{00000000-0005-0000-0000-0000A41B0000}"/>
    <cellStyle name="Normal 5 6 2 3 2 2 2" xfId="16262" xr:uid="{CDD2A253-F48A-43FC-9A9C-F0AD5F594348}"/>
    <cellStyle name="Normal 5 6 2 3 2 3" xfId="12044" xr:uid="{CFFAFB34-252F-4855-AFD5-0461BE5DD0FD}"/>
    <cellStyle name="Normal 5 6 2 3 3" xfId="5667" xr:uid="{00000000-0005-0000-0000-0000A51B0000}"/>
    <cellStyle name="Normal 5 6 2 3 3 2" xfId="14117" xr:uid="{D6519421-79C3-4CAC-9979-41C65BD4BEE7}"/>
    <cellStyle name="Normal 5 6 2 3 4" xfId="9899" xr:uid="{8BB92548-395B-4982-AE6A-45203C45856B}"/>
    <cellStyle name="Normal 5 6 2 4" xfId="1773" xr:uid="{00000000-0005-0000-0000-0000A61B0000}"/>
    <cellStyle name="Normal 5 6 2 4 2" xfId="4003" xr:uid="{00000000-0005-0000-0000-0000A71B0000}"/>
    <cellStyle name="Normal 5 6 2 4 2 2" xfId="8225" xr:uid="{00000000-0005-0000-0000-0000A81B0000}"/>
    <cellStyle name="Normal 5 6 2 4 2 2 2" xfId="16675" xr:uid="{4FF7C973-BD63-46F5-B17D-45D8B5F6E783}"/>
    <cellStyle name="Normal 5 6 2 4 2 3" xfId="12457" xr:uid="{1B94F29E-9F5A-4D50-B85E-812EA1817761}"/>
    <cellStyle name="Normal 5 6 2 4 3" xfId="6080" xr:uid="{00000000-0005-0000-0000-0000A91B0000}"/>
    <cellStyle name="Normal 5 6 2 4 3 2" xfId="14530" xr:uid="{9F975CB0-F497-4505-9867-2DFBDBD8C4BC}"/>
    <cellStyle name="Normal 5 6 2 4 4" xfId="10312" xr:uid="{3225F056-4BD4-430B-8586-83E2D552330B}"/>
    <cellStyle name="Normal 5 6 2 5" xfId="2187" xr:uid="{00000000-0005-0000-0000-0000AA1B0000}"/>
    <cellStyle name="Normal 5 6 2 5 2" xfId="4416" xr:uid="{00000000-0005-0000-0000-0000AB1B0000}"/>
    <cellStyle name="Normal 5 6 2 5 2 2" xfId="8638" xr:uid="{00000000-0005-0000-0000-0000AC1B0000}"/>
    <cellStyle name="Normal 5 6 2 5 2 2 2" xfId="17088" xr:uid="{5F9EDB1F-B24D-4D27-976F-D8038E4D47C1}"/>
    <cellStyle name="Normal 5 6 2 5 2 3" xfId="12870" xr:uid="{EF9D8F5C-4269-4FA5-920A-2C7F8A7827DF}"/>
    <cellStyle name="Normal 5 6 2 5 3" xfId="6493" xr:uid="{00000000-0005-0000-0000-0000AD1B0000}"/>
    <cellStyle name="Normal 5 6 2 5 3 2" xfId="14943" xr:uid="{BDA740DD-C098-456D-B1A4-39E2835AAF01}"/>
    <cellStyle name="Normal 5 6 2 5 4" xfId="10725" xr:uid="{9CB11783-E804-4D39-AFCC-DEBD0D4CF5FC}"/>
    <cellStyle name="Normal 5 6 2 6" xfId="2623" xr:uid="{00000000-0005-0000-0000-0000AE1B0000}"/>
    <cellStyle name="Normal 5 6 2 6 2" xfId="6906" xr:uid="{00000000-0005-0000-0000-0000AF1B0000}"/>
    <cellStyle name="Normal 5 6 2 6 2 2" xfId="15356" xr:uid="{917095CC-F453-47E0-A6AE-65D49D76AE7F}"/>
    <cellStyle name="Normal 5 6 2 6 3" xfId="11138" xr:uid="{35410A98-DFDD-4DDF-8D18-B42E271A607D}"/>
    <cellStyle name="Normal 5 6 2 7" xfId="4841" xr:uid="{00000000-0005-0000-0000-0000B01B0000}"/>
    <cellStyle name="Normal 5 6 2 7 2" xfId="13291" xr:uid="{029020EF-50BF-42C6-AF14-7BD681F90C3E}"/>
    <cellStyle name="Normal 5 6 2 8" xfId="9073" xr:uid="{A69223F4-523E-4351-9672-AEAF4085D0DA}"/>
    <cellStyle name="Normal 5 6 3" xfId="942" xr:uid="{00000000-0005-0000-0000-0000B11B0000}"/>
    <cellStyle name="Normal 5 6 3 2" xfId="3176" xr:uid="{00000000-0005-0000-0000-0000B21B0000}"/>
    <cellStyle name="Normal 5 6 3 2 2" xfId="7398" xr:uid="{00000000-0005-0000-0000-0000B31B0000}"/>
    <cellStyle name="Normal 5 6 3 2 2 2" xfId="15848" xr:uid="{ED5AD9D2-2271-4CD0-B399-457A3223E17F}"/>
    <cellStyle name="Normal 5 6 3 2 3" xfId="11630" xr:uid="{5726C002-6E5C-4D36-AB47-61D710FC17F6}"/>
    <cellStyle name="Normal 5 6 3 3" xfId="5253" xr:uid="{00000000-0005-0000-0000-0000B41B0000}"/>
    <cellStyle name="Normal 5 6 3 3 2" xfId="13703" xr:uid="{0BDD07C5-D8AC-437E-8879-939CE7A733FC}"/>
    <cellStyle name="Normal 5 6 3 4" xfId="9485" xr:uid="{3D36E76B-0A70-4AE8-8113-4C7896FAA252}"/>
    <cellStyle name="Normal 5 6 4" xfId="1359" xr:uid="{00000000-0005-0000-0000-0000B51B0000}"/>
    <cellStyle name="Normal 5 6 4 2" xfId="3589" xr:uid="{00000000-0005-0000-0000-0000B61B0000}"/>
    <cellStyle name="Normal 5 6 4 2 2" xfId="7811" xr:uid="{00000000-0005-0000-0000-0000B71B0000}"/>
    <cellStyle name="Normal 5 6 4 2 2 2" xfId="16261" xr:uid="{C6CCF00C-7374-4E07-B9D8-E93544282921}"/>
    <cellStyle name="Normal 5 6 4 2 3" xfId="12043" xr:uid="{7E97F52F-8940-4F7A-B41B-2349DC1C3265}"/>
    <cellStyle name="Normal 5 6 4 3" xfId="5666" xr:uid="{00000000-0005-0000-0000-0000B81B0000}"/>
    <cellStyle name="Normal 5 6 4 3 2" xfId="14116" xr:uid="{F1137935-82DB-45E3-A252-2701BA1CF114}"/>
    <cellStyle name="Normal 5 6 4 4" xfId="9898" xr:uid="{085FD0FF-C91D-43C0-A672-DA7940714B48}"/>
    <cellStyle name="Normal 5 6 5" xfId="1772" xr:uid="{00000000-0005-0000-0000-0000B91B0000}"/>
    <cellStyle name="Normal 5 6 5 2" xfId="4002" xr:uid="{00000000-0005-0000-0000-0000BA1B0000}"/>
    <cellStyle name="Normal 5 6 5 2 2" xfId="8224" xr:uid="{00000000-0005-0000-0000-0000BB1B0000}"/>
    <cellStyle name="Normal 5 6 5 2 2 2" xfId="16674" xr:uid="{EB37954E-E25D-45DF-A30D-BA622D1B866A}"/>
    <cellStyle name="Normal 5 6 5 2 3" xfId="12456" xr:uid="{B4D52A21-8071-428B-87B6-4EEC140AEE0D}"/>
    <cellStyle name="Normal 5 6 5 3" xfId="6079" xr:uid="{00000000-0005-0000-0000-0000BC1B0000}"/>
    <cellStyle name="Normal 5 6 5 3 2" xfId="14529" xr:uid="{BE93EFDB-5C62-429E-A2AD-3BD7A1E5B1D5}"/>
    <cellStyle name="Normal 5 6 5 4" xfId="10311" xr:uid="{147D7BF2-1765-4491-8233-FC634B9D8F9C}"/>
    <cellStyle name="Normal 5 6 6" xfId="2186" xr:uid="{00000000-0005-0000-0000-0000BD1B0000}"/>
    <cellStyle name="Normal 5 6 6 2" xfId="4415" xr:uid="{00000000-0005-0000-0000-0000BE1B0000}"/>
    <cellStyle name="Normal 5 6 6 2 2" xfId="8637" xr:uid="{00000000-0005-0000-0000-0000BF1B0000}"/>
    <cellStyle name="Normal 5 6 6 2 2 2" xfId="17087" xr:uid="{F180F282-1D09-4680-8AB4-6BE471866BDD}"/>
    <cellStyle name="Normal 5 6 6 2 3" xfId="12869" xr:uid="{66F702F5-E489-42F7-BAAB-D54AA7E3B576}"/>
    <cellStyle name="Normal 5 6 6 3" xfId="6492" xr:uid="{00000000-0005-0000-0000-0000C01B0000}"/>
    <cellStyle name="Normal 5 6 6 3 2" xfId="14942" xr:uid="{C4D896DB-ACB1-4DBB-A771-800739696835}"/>
    <cellStyle name="Normal 5 6 6 4" xfId="10724" xr:uid="{8CDEF778-E937-4F2C-96F0-D6BE8C566E4E}"/>
    <cellStyle name="Normal 5 6 7" xfId="2622" xr:uid="{00000000-0005-0000-0000-0000C11B0000}"/>
    <cellStyle name="Normal 5 6 7 2" xfId="6905" xr:uid="{00000000-0005-0000-0000-0000C21B0000}"/>
    <cellStyle name="Normal 5 6 7 2 2" xfId="15355" xr:uid="{93E28BBC-9F8B-4EB0-9E1F-D52C10890238}"/>
    <cellStyle name="Normal 5 6 7 3" xfId="11137" xr:uid="{866CDA36-A083-4109-A687-137A8D7A9E8C}"/>
    <cellStyle name="Normal 5 6 8" xfId="4840" xr:uid="{00000000-0005-0000-0000-0000C31B0000}"/>
    <cellStyle name="Normal 5 6 8 2" xfId="13290" xr:uid="{3AD3A05E-FB6D-49AE-A3D3-B0420C7FC301}"/>
    <cellStyle name="Normal 5 6 9" xfId="9072" xr:uid="{FA1A7A10-B9C9-4C30-95BA-3CA5FA148C23}"/>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2 2 2" xfId="15850" xr:uid="{BB425225-0E9A-4CA0-9AFA-228A7D0C8F08}"/>
    <cellStyle name="Normal 5 7 2 2 3" xfId="11632" xr:uid="{8A1C14CE-7E5D-4461-8AF0-C6E357CFC046}"/>
    <cellStyle name="Normal 5 7 2 3" xfId="5255" xr:uid="{00000000-0005-0000-0000-0000C81B0000}"/>
    <cellStyle name="Normal 5 7 2 3 2" xfId="13705" xr:uid="{FF5F3DED-C8CF-4EF9-8D96-27D3CDDD14CB}"/>
    <cellStyle name="Normal 5 7 2 4" xfId="9487" xr:uid="{33170AED-7363-4C01-9F68-C78765C51630}"/>
    <cellStyle name="Normal 5 7 3" xfId="1361" xr:uid="{00000000-0005-0000-0000-0000C91B0000}"/>
    <cellStyle name="Normal 5 7 3 2" xfId="3591" xr:uid="{00000000-0005-0000-0000-0000CA1B0000}"/>
    <cellStyle name="Normal 5 7 3 2 2" xfId="7813" xr:uid="{00000000-0005-0000-0000-0000CB1B0000}"/>
    <cellStyle name="Normal 5 7 3 2 2 2" xfId="16263" xr:uid="{5BFEC6A8-0A29-4778-A942-DB41D59A536C}"/>
    <cellStyle name="Normal 5 7 3 2 3" xfId="12045" xr:uid="{575AF176-8B2B-49AC-9F92-0E9EA24C9C6A}"/>
    <cellStyle name="Normal 5 7 3 3" xfId="5668" xr:uid="{00000000-0005-0000-0000-0000CC1B0000}"/>
    <cellStyle name="Normal 5 7 3 3 2" xfId="14118" xr:uid="{82249C8E-CAFF-44AA-B71A-5FEE56C49FB7}"/>
    <cellStyle name="Normal 5 7 3 4" xfId="9900" xr:uid="{8B978E21-2A88-40A9-AA0A-2C5CC055CCB4}"/>
    <cellStyle name="Normal 5 7 4" xfId="1774" xr:uid="{00000000-0005-0000-0000-0000CD1B0000}"/>
    <cellStyle name="Normal 5 7 4 2" xfId="4004" xr:uid="{00000000-0005-0000-0000-0000CE1B0000}"/>
    <cellStyle name="Normal 5 7 4 2 2" xfId="8226" xr:uid="{00000000-0005-0000-0000-0000CF1B0000}"/>
    <cellStyle name="Normal 5 7 4 2 2 2" xfId="16676" xr:uid="{91AA8E56-C4E9-4BE2-A3FA-E813F0DD6105}"/>
    <cellStyle name="Normal 5 7 4 2 3" xfId="12458" xr:uid="{BA8632DC-2F91-4AAE-B392-AE458C39A8E9}"/>
    <cellStyle name="Normal 5 7 4 3" xfId="6081" xr:uid="{00000000-0005-0000-0000-0000D01B0000}"/>
    <cellStyle name="Normal 5 7 4 3 2" xfId="14531" xr:uid="{60A901E8-1229-4D7B-8982-2BCC6C9F4FAC}"/>
    <cellStyle name="Normal 5 7 4 4" xfId="10313" xr:uid="{7481193F-57EC-4FB7-A6D9-630BB67509CB}"/>
    <cellStyle name="Normal 5 7 5" xfId="2188" xr:uid="{00000000-0005-0000-0000-0000D11B0000}"/>
    <cellStyle name="Normal 5 7 5 2" xfId="4417" xr:uid="{00000000-0005-0000-0000-0000D21B0000}"/>
    <cellStyle name="Normal 5 7 5 2 2" xfId="8639" xr:uid="{00000000-0005-0000-0000-0000D31B0000}"/>
    <cellStyle name="Normal 5 7 5 2 2 2" xfId="17089" xr:uid="{F3B99CAC-089E-4AC9-B285-0839E7CCA88F}"/>
    <cellStyle name="Normal 5 7 5 2 3" xfId="12871" xr:uid="{8DC0C856-BFFD-472C-B5DC-E96F1DF6A9AF}"/>
    <cellStyle name="Normal 5 7 5 3" xfId="6494" xr:uid="{00000000-0005-0000-0000-0000D41B0000}"/>
    <cellStyle name="Normal 5 7 5 3 2" xfId="14944" xr:uid="{28528962-CD27-486F-8D9C-51B76B4221F3}"/>
    <cellStyle name="Normal 5 7 5 4" xfId="10726" xr:uid="{A65148A3-F9CA-4F95-A799-C26791776B8D}"/>
    <cellStyle name="Normal 5 7 6" xfId="2624" xr:uid="{00000000-0005-0000-0000-0000D51B0000}"/>
    <cellStyle name="Normal 5 7 6 2" xfId="6907" xr:uid="{00000000-0005-0000-0000-0000D61B0000}"/>
    <cellStyle name="Normal 5 7 6 2 2" xfId="15357" xr:uid="{80760C62-10A0-4873-A313-71CFFB5F487D}"/>
    <cellStyle name="Normal 5 7 6 3" xfId="11139" xr:uid="{A719F7B6-F76D-475C-8C6C-E7AF3C700E69}"/>
    <cellStyle name="Normal 5 7 7" xfId="4842" xr:uid="{00000000-0005-0000-0000-0000D71B0000}"/>
    <cellStyle name="Normal 5 7 7 2" xfId="13292" xr:uid="{79972A0D-2F13-4CA4-A02B-A4347018DEF1}"/>
    <cellStyle name="Normal 5 7 8" xfId="9074" xr:uid="{29FB4EEA-59E6-4A47-B8C3-F62CF1B833CC}"/>
    <cellStyle name="Normal 5 8" xfId="880" xr:uid="{00000000-0005-0000-0000-0000D81B0000}"/>
    <cellStyle name="Normal 5 8 2" xfId="3115" xr:uid="{00000000-0005-0000-0000-0000D91B0000}"/>
    <cellStyle name="Normal 5 8 2 2" xfId="7337" xr:uid="{00000000-0005-0000-0000-0000DA1B0000}"/>
    <cellStyle name="Normal 5 8 2 2 2" xfId="15787" xr:uid="{D25E1F80-7D1A-415C-8A5C-55C00B2DDA45}"/>
    <cellStyle name="Normal 5 8 2 3" xfId="11569" xr:uid="{77FBCE16-B560-4B4F-A6AC-EBD80D4380FD}"/>
    <cellStyle name="Normal 5 8 3" xfId="5192" xr:uid="{00000000-0005-0000-0000-0000DB1B0000}"/>
    <cellStyle name="Normal 5 8 3 2" xfId="13642" xr:uid="{91C2C388-23F0-4B9D-B768-1E461AD052A2}"/>
    <cellStyle name="Normal 5 8 4" xfId="9424" xr:uid="{C1BCAAB2-B362-4C94-918D-011093983D10}"/>
    <cellStyle name="Normal 5 9" xfId="1298" xr:uid="{00000000-0005-0000-0000-0000DC1B0000}"/>
    <cellStyle name="Normal 5 9 2" xfId="3528" xr:uid="{00000000-0005-0000-0000-0000DD1B0000}"/>
    <cellStyle name="Normal 5 9 2 2" xfId="7750" xr:uid="{00000000-0005-0000-0000-0000DE1B0000}"/>
    <cellStyle name="Normal 5 9 2 2 2" xfId="16200" xr:uid="{25743A94-E1CE-4B7E-888C-52CD22DE6A59}"/>
    <cellStyle name="Normal 5 9 2 3" xfId="11982" xr:uid="{BD2DE506-89A1-4062-AA7D-A92ACED13F30}"/>
    <cellStyle name="Normal 5 9 3" xfId="5605" xr:uid="{00000000-0005-0000-0000-0000DF1B0000}"/>
    <cellStyle name="Normal 5 9 3 2" xfId="14055" xr:uid="{5E876007-D2FC-495E-BCEC-2289978FABEF}"/>
    <cellStyle name="Normal 5 9 4" xfId="9837" xr:uid="{4D3F14C8-A15E-4A5D-9348-B29FD6F3E7EA}"/>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2 2 2" xfId="17090" xr:uid="{70A7410D-DC27-469C-AEC9-AD2E6B88EA95}"/>
    <cellStyle name="Normal 8 10 2 3" xfId="12872" xr:uid="{C8B61AD9-8DD3-4FEA-B1E7-6E16C2F48DD0}"/>
    <cellStyle name="Normal 8 10 3" xfId="6495" xr:uid="{00000000-0005-0000-0000-0000EB1B0000}"/>
    <cellStyle name="Normal 8 10 3 2" xfId="14945" xr:uid="{C669B128-0728-4B24-B3B4-76EF42FB349C}"/>
    <cellStyle name="Normal 8 10 4" xfId="10727" xr:uid="{F10EB67C-0882-461A-BF14-C0C3A24D516A}"/>
    <cellStyle name="Normal 8 11" xfId="2625" xr:uid="{00000000-0005-0000-0000-0000EC1B0000}"/>
    <cellStyle name="Normal 8 11 2" xfId="6908" xr:uid="{00000000-0005-0000-0000-0000ED1B0000}"/>
    <cellStyle name="Normal 8 11 2 2" xfId="15358" xr:uid="{C11FA64A-F7CA-4A15-AEF1-F6996E3183CE}"/>
    <cellStyle name="Normal 8 11 3" xfId="11140" xr:uid="{1A48F3C1-FEAE-4EFB-B3B2-FDED1A4697CA}"/>
    <cellStyle name="Normal 8 12" xfId="4843" xr:uid="{00000000-0005-0000-0000-0000EE1B0000}"/>
    <cellStyle name="Normal 8 12 2" xfId="13293" xr:uid="{942B28C6-366F-4160-9309-B79B6FBD9A3A}"/>
    <cellStyle name="Normal 8 13" xfId="9075" xr:uid="{3104F501-55AD-48F2-B106-01ADD69AEB14}"/>
    <cellStyle name="Normal 8 2" xfId="479" xr:uid="{00000000-0005-0000-0000-0000EF1B0000}"/>
    <cellStyle name="Normal 8 2 10" xfId="2626" xr:uid="{00000000-0005-0000-0000-0000F01B0000}"/>
    <cellStyle name="Normal 8 2 10 2" xfId="6909" xr:uid="{00000000-0005-0000-0000-0000F11B0000}"/>
    <cellStyle name="Normal 8 2 10 2 2" xfId="15359" xr:uid="{69132EA4-4F96-4470-B4DA-E88B3064A3ED}"/>
    <cellStyle name="Normal 8 2 10 3" xfId="11141" xr:uid="{A936B971-ABED-4C93-B8EC-398AF5473A31}"/>
    <cellStyle name="Normal 8 2 11" xfId="4844" xr:uid="{00000000-0005-0000-0000-0000F21B0000}"/>
    <cellStyle name="Normal 8 2 11 2" xfId="13294" xr:uid="{FED3A7EA-53D3-494B-ABA5-B3608A2E7883}"/>
    <cellStyle name="Normal 8 2 12" xfId="9076" xr:uid="{5DDA4CB2-057E-4240-BD8A-B9C1247EF471}"/>
    <cellStyle name="Normal 8 2 2" xfId="480" xr:uid="{00000000-0005-0000-0000-0000F31B0000}"/>
    <cellStyle name="Normal 8 2 2 10" xfId="4845" xr:uid="{00000000-0005-0000-0000-0000F41B0000}"/>
    <cellStyle name="Normal 8 2 2 10 2" xfId="13295" xr:uid="{670C1301-CF14-4BF5-B1E5-80A20B81CB69}"/>
    <cellStyle name="Normal 8 2 2 11" xfId="9077" xr:uid="{65E52AC0-C668-4341-9A26-3B823056C87D}"/>
    <cellStyle name="Normal 8 2 2 2" xfId="481" xr:uid="{00000000-0005-0000-0000-0000F51B0000}"/>
    <cellStyle name="Normal 8 2 2 2 10" xfId="9078" xr:uid="{94E0C2A5-27E3-40A0-A78B-3DD4F1989C84}"/>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2 2 2" xfId="15856" xr:uid="{50F8719B-AD5F-4DB3-943E-7C527BB3E94B}"/>
    <cellStyle name="Normal 8 2 2 2 2 2 2 2 3" xfId="11638" xr:uid="{6DEC3EF9-958F-49B3-8398-1585A36DA198}"/>
    <cellStyle name="Normal 8 2 2 2 2 2 2 3" xfId="5261" xr:uid="{00000000-0005-0000-0000-0000FB1B0000}"/>
    <cellStyle name="Normal 8 2 2 2 2 2 2 3 2" xfId="13711" xr:uid="{B1E4CEC8-8FD2-4AF9-B082-2560DD82372A}"/>
    <cellStyle name="Normal 8 2 2 2 2 2 2 4" xfId="9493" xr:uid="{8E3ED90A-3368-476C-9E0E-74C55CAFF350}"/>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2 2 2" xfId="16269" xr:uid="{BF99762C-3FCB-4601-996B-7212826731DB}"/>
    <cellStyle name="Normal 8 2 2 2 2 2 3 2 3" xfId="12051" xr:uid="{5003C62C-43C6-4ED0-BCEE-D6FA5DFA7B2C}"/>
    <cellStyle name="Normal 8 2 2 2 2 2 3 3" xfId="5674" xr:uid="{00000000-0005-0000-0000-0000FF1B0000}"/>
    <cellStyle name="Normal 8 2 2 2 2 2 3 3 2" xfId="14124" xr:uid="{4757D7F8-4198-4E46-937A-360A60B55563}"/>
    <cellStyle name="Normal 8 2 2 2 2 2 3 4" xfId="9906" xr:uid="{952DB748-7650-49A1-93DD-CA9A4A044E1E}"/>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2 2 2" xfId="16682" xr:uid="{1B447816-9869-442B-9EAE-017C146ADEA3}"/>
    <cellStyle name="Normal 8 2 2 2 2 2 4 2 3" xfId="12464" xr:uid="{A75ED3E2-B89E-4FE7-BD2A-F240B04D98C1}"/>
    <cellStyle name="Normal 8 2 2 2 2 2 4 3" xfId="6087" xr:uid="{00000000-0005-0000-0000-0000031C0000}"/>
    <cellStyle name="Normal 8 2 2 2 2 2 4 3 2" xfId="14537" xr:uid="{ECD6085E-9DEB-4AD5-80C4-CF3F0B7378CB}"/>
    <cellStyle name="Normal 8 2 2 2 2 2 4 4" xfId="10319" xr:uid="{8C01BA15-C4B4-4803-8889-969C960CB72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2 2 2" xfId="17095" xr:uid="{5C014BA6-2320-4D6D-870C-6B9E866B547E}"/>
    <cellStyle name="Normal 8 2 2 2 2 2 5 2 3" xfId="12877" xr:uid="{629528D4-9637-47FC-88B3-C7CE09E40562}"/>
    <cellStyle name="Normal 8 2 2 2 2 2 5 3" xfId="6500" xr:uid="{00000000-0005-0000-0000-0000071C0000}"/>
    <cellStyle name="Normal 8 2 2 2 2 2 5 3 2" xfId="14950" xr:uid="{FB30D400-BAF9-4DF5-83F2-95B541557D3A}"/>
    <cellStyle name="Normal 8 2 2 2 2 2 5 4" xfId="10732" xr:uid="{F3F791E4-3054-475E-B0B9-759B0500EF0D}"/>
    <cellStyle name="Normal 8 2 2 2 2 2 6" xfId="2630" xr:uid="{00000000-0005-0000-0000-0000081C0000}"/>
    <cellStyle name="Normal 8 2 2 2 2 2 6 2" xfId="6913" xr:uid="{00000000-0005-0000-0000-0000091C0000}"/>
    <cellStyle name="Normal 8 2 2 2 2 2 6 2 2" xfId="15363" xr:uid="{2C96D03D-8A0E-4802-999C-587F6B1E7DDE}"/>
    <cellStyle name="Normal 8 2 2 2 2 2 6 3" xfId="11145" xr:uid="{CD04BE1E-3E9E-417C-8915-77B90881BE9F}"/>
    <cellStyle name="Normal 8 2 2 2 2 2 7" xfId="4848" xr:uid="{00000000-0005-0000-0000-00000A1C0000}"/>
    <cellStyle name="Normal 8 2 2 2 2 2 7 2" xfId="13298" xr:uid="{C2AFFFAB-0317-4625-84B1-8E78D9C369FC}"/>
    <cellStyle name="Normal 8 2 2 2 2 2 8" xfId="9080" xr:uid="{CC06869D-7B6D-4F34-84CA-205CE9ABD69F}"/>
    <cellStyle name="Normal 8 2 2 2 2 3" xfId="949" xr:uid="{00000000-0005-0000-0000-00000B1C0000}"/>
    <cellStyle name="Normal 8 2 2 2 2 3 2" xfId="3183" xr:uid="{00000000-0005-0000-0000-00000C1C0000}"/>
    <cellStyle name="Normal 8 2 2 2 2 3 2 2" xfId="7405" xr:uid="{00000000-0005-0000-0000-00000D1C0000}"/>
    <cellStyle name="Normal 8 2 2 2 2 3 2 2 2" xfId="15855" xr:uid="{9AEB0A28-FC02-4C04-929C-565BE51A7F94}"/>
    <cellStyle name="Normal 8 2 2 2 2 3 2 3" xfId="11637" xr:uid="{4C41CB9F-57FF-4CA3-BCD4-5CDF03E092BC}"/>
    <cellStyle name="Normal 8 2 2 2 2 3 3" xfId="5260" xr:uid="{00000000-0005-0000-0000-00000E1C0000}"/>
    <cellStyle name="Normal 8 2 2 2 2 3 3 2" xfId="13710" xr:uid="{F1D44181-E22F-4C89-B672-4C44B6981CD8}"/>
    <cellStyle name="Normal 8 2 2 2 2 3 4" xfId="9492" xr:uid="{15B69C0D-8132-497A-82C0-DA4A1459FC9C}"/>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2 2 2" xfId="16268" xr:uid="{ED4126A8-9314-4C30-872B-26482D7E6B35}"/>
    <cellStyle name="Normal 8 2 2 2 2 4 2 3" xfId="12050" xr:uid="{D80F49E1-7BD2-4FD3-9826-2C497964D429}"/>
    <cellStyle name="Normal 8 2 2 2 2 4 3" xfId="5673" xr:uid="{00000000-0005-0000-0000-0000121C0000}"/>
    <cellStyle name="Normal 8 2 2 2 2 4 3 2" xfId="14123" xr:uid="{425E57C7-BFD3-435F-AD3F-E37017315166}"/>
    <cellStyle name="Normal 8 2 2 2 2 4 4" xfId="9905" xr:uid="{680433C0-CD74-4B18-AEDD-520347957DF6}"/>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2 2 2" xfId="16681" xr:uid="{05EE70CF-BEE5-46A3-A067-843D87153620}"/>
    <cellStyle name="Normal 8 2 2 2 2 5 2 3" xfId="12463" xr:uid="{4429DA24-1C87-439A-BF75-6DE80320EF2D}"/>
    <cellStyle name="Normal 8 2 2 2 2 5 3" xfId="6086" xr:uid="{00000000-0005-0000-0000-0000161C0000}"/>
    <cellStyle name="Normal 8 2 2 2 2 5 3 2" xfId="14536" xr:uid="{EB789165-3221-49EA-8A9D-2507D3A7AA36}"/>
    <cellStyle name="Normal 8 2 2 2 2 5 4" xfId="10318" xr:uid="{536D7E18-B09E-4FFF-ABEF-1E8FDAB9FBCA}"/>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2 2 2" xfId="17094" xr:uid="{79DE564B-1A20-4D33-A2AB-61A44291BF5E}"/>
    <cellStyle name="Normal 8 2 2 2 2 6 2 3" xfId="12876" xr:uid="{B1D9FA7A-F8C0-4C1C-A8BC-CBDA54D8B9FA}"/>
    <cellStyle name="Normal 8 2 2 2 2 6 3" xfId="6499" xr:uid="{00000000-0005-0000-0000-00001A1C0000}"/>
    <cellStyle name="Normal 8 2 2 2 2 6 3 2" xfId="14949" xr:uid="{BCA3718D-13E2-4D25-AA17-8D9D90A0ED20}"/>
    <cellStyle name="Normal 8 2 2 2 2 6 4" xfId="10731" xr:uid="{BC035772-731C-45C7-A3B4-8AFFF767C6F4}"/>
    <cellStyle name="Normal 8 2 2 2 2 7" xfId="2629" xr:uid="{00000000-0005-0000-0000-00001B1C0000}"/>
    <cellStyle name="Normal 8 2 2 2 2 7 2" xfId="6912" xr:uid="{00000000-0005-0000-0000-00001C1C0000}"/>
    <cellStyle name="Normal 8 2 2 2 2 7 2 2" xfId="15362" xr:uid="{CCDB7A1A-4842-4B46-A549-EC90EA8CB9D8}"/>
    <cellStyle name="Normal 8 2 2 2 2 7 3" xfId="11144" xr:uid="{2244D14E-0446-407E-91B6-EA36126D7E0B}"/>
    <cellStyle name="Normal 8 2 2 2 2 8" xfId="4847" xr:uid="{00000000-0005-0000-0000-00001D1C0000}"/>
    <cellStyle name="Normal 8 2 2 2 2 8 2" xfId="13297" xr:uid="{B713E847-827E-4DED-AD90-7148D1CCCA80}"/>
    <cellStyle name="Normal 8 2 2 2 2 9" xfId="9079" xr:uid="{39B1365E-AE40-4615-AB96-6C708728FBE2}"/>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2 2 2" xfId="15857" xr:uid="{91CF9B7B-5CDE-4287-AE7B-F88CDA6E1A2C}"/>
    <cellStyle name="Normal 8 2 2 2 3 2 2 3" xfId="11639" xr:uid="{2DB77367-2135-4397-9275-C633BCC00B54}"/>
    <cellStyle name="Normal 8 2 2 2 3 2 3" xfId="5262" xr:uid="{00000000-0005-0000-0000-0000221C0000}"/>
    <cellStyle name="Normal 8 2 2 2 3 2 3 2" xfId="13712" xr:uid="{4C8DAEBF-16F8-487C-B112-BF33F9DCF7E2}"/>
    <cellStyle name="Normal 8 2 2 2 3 2 4" xfId="9494" xr:uid="{43AFFFE3-2CAC-4321-A433-89555D2C75BB}"/>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2 2 2" xfId="16270" xr:uid="{DDCEA65E-E842-4318-9850-909F88354283}"/>
    <cellStyle name="Normal 8 2 2 2 3 3 2 3" xfId="12052" xr:uid="{7E304C23-9FAB-4655-8248-D5452302FD42}"/>
    <cellStyle name="Normal 8 2 2 2 3 3 3" xfId="5675" xr:uid="{00000000-0005-0000-0000-0000261C0000}"/>
    <cellStyle name="Normal 8 2 2 2 3 3 3 2" xfId="14125" xr:uid="{873374FD-7570-4209-A04C-6EAACE241AC6}"/>
    <cellStyle name="Normal 8 2 2 2 3 3 4" xfId="9907" xr:uid="{71E4B763-156D-4039-836D-94C1F778A547}"/>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2 2 2" xfId="16683" xr:uid="{F4D68756-8F24-4934-B088-79C8FFABEA19}"/>
    <cellStyle name="Normal 8 2 2 2 3 4 2 3" xfId="12465" xr:uid="{95CA039C-3037-499D-B463-7C65C09A6BA6}"/>
    <cellStyle name="Normal 8 2 2 2 3 4 3" xfId="6088" xr:uid="{00000000-0005-0000-0000-00002A1C0000}"/>
    <cellStyle name="Normal 8 2 2 2 3 4 3 2" xfId="14538" xr:uid="{D382EC53-A77E-4121-8C90-DB03BA833F57}"/>
    <cellStyle name="Normal 8 2 2 2 3 4 4" xfId="10320" xr:uid="{8222706A-9413-46B7-8647-21E095305396}"/>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2 2 2" xfId="17096" xr:uid="{1419573A-36FE-47E1-9A86-39C8E4E5EE8C}"/>
    <cellStyle name="Normal 8 2 2 2 3 5 2 3" xfId="12878" xr:uid="{F2860932-E103-473A-94F4-A767BBE2112E}"/>
    <cellStyle name="Normal 8 2 2 2 3 5 3" xfId="6501" xr:uid="{00000000-0005-0000-0000-00002E1C0000}"/>
    <cellStyle name="Normal 8 2 2 2 3 5 3 2" xfId="14951" xr:uid="{860B20D4-10D9-4B61-97ED-89BFFB83717E}"/>
    <cellStyle name="Normal 8 2 2 2 3 5 4" xfId="10733" xr:uid="{C4500A4C-87DA-4139-86A4-125DB8028481}"/>
    <cellStyle name="Normal 8 2 2 2 3 6" xfId="2631" xr:uid="{00000000-0005-0000-0000-00002F1C0000}"/>
    <cellStyle name="Normal 8 2 2 2 3 6 2" xfId="6914" xr:uid="{00000000-0005-0000-0000-0000301C0000}"/>
    <cellStyle name="Normal 8 2 2 2 3 6 2 2" xfId="15364" xr:uid="{D9E2EEAC-C1D4-4B2B-995A-027F9C3625F2}"/>
    <cellStyle name="Normal 8 2 2 2 3 6 3" xfId="11146" xr:uid="{857471D4-1BF1-4754-B0FB-70BC949A26E5}"/>
    <cellStyle name="Normal 8 2 2 2 3 7" xfId="4849" xr:uid="{00000000-0005-0000-0000-0000311C0000}"/>
    <cellStyle name="Normal 8 2 2 2 3 7 2" xfId="13299" xr:uid="{B86750F3-9C2A-4DFF-AE89-312E5CC77F3F}"/>
    <cellStyle name="Normal 8 2 2 2 3 8" xfId="9081" xr:uid="{0D7AC028-77BD-4C0C-952D-8671358890D2}"/>
    <cellStyle name="Normal 8 2 2 2 4" xfId="948" xr:uid="{00000000-0005-0000-0000-0000321C0000}"/>
    <cellStyle name="Normal 8 2 2 2 4 2" xfId="3182" xr:uid="{00000000-0005-0000-0000-0000331C0000}"/>
    <cellStyle name="Normal 8 2 2 2 4 2 2" xfId="7404" xr:uid="{00000000-0005-0000-0000-0000341C0000}"/>
    <cellStyle name="Normal 8 2 2 2 4 2 2 2" xfId="15854" xr:uid="{6176F5DC-AF82-488B-A064-1C79FA7F3F48}"/>
    <cellStyle name="Normal 8 2 2 2 4 2 3" xfId="11636" xr:uid="{43EC8889-AD74-465D-8088-8AA9B09DEE3F}"/>
    <cellStyle name="Normal 8 2 2 2 4 3" xfId="5259" xr:uid="{00000000-0005-0000-0000-0000351C0000}"/>
    <cellStyle name="Normal 8 2 2 2 4 3 2" xfId="13709" xr:uid="{33228E58-D75B-446C-A844-B48DBDE166F5}"/>
    <cellStyle name="Normal 8 2 2 2 4 4" xfId="9491" xr:uid="{C4D875FC-9252-4797-8F9D-5F63C3DF43B9}"/>
    <cellStyle name="Normal 8 2 2 2 5" xfId="1365" xr:uid="{00000000-0005-0000-0000-0000361C0000}"/>
    <cellStyle name="Normal 8 2 2 2 5 2" xfId="3595" xr:uid="{00000000-0005-0000-0000-0000371C0000}"/>
    <cellStyle name="Normal 8 2 2 2 5 2 2" xfId="7817" xr:uid="{00000000-0005-0000-0000-0000381C0000}"/>
    <cellStyle name="Normal 8 2 2 2 5 2 2 2" xfId="16267" xr:uid="{B68B820D-F989-40E6-AD9F-CDF4EA340C13}"/>
    <cellStyle name="Normal 8 2 2 2 5 2 3" xfId="12049" xr:uid="{40B15DD3-B5A7-49F2-B277-CD5D047827DB}"/>
    <cellStyle name="Normal 8 2 2 2 5 3" xfId="5672" xr:uid="{00000000-0005-0000-0000-0000391C0000}"/>
    <cellStyle name="Normal 8 2 2 2 5 3 2" xfId="14122" xr:uid="{17141C56-0E83-4F8F-B15C-78107619F759}"/>
    <cellStyle name="Normal 8 2 2 2 5 4" xfId="9904" xr:uid="{D791B945-09E1-4F7E-B92E-E0A0CF9F8557}"/>
    <cellStyle name="Normal 8 2 2 2 6" xfId="1778" xr:uid="{00000000-0005-0000-0000-00003A1C0000}"/>
    <cellStyle name="Normal 8 2 2 2 6 2" xfId="4008" xr:uid="{00000000-0005-0000-0000-00003B1C0000}"/>
    <cellStyle name="Normal 8 2 2 2 6 2 2" xfId="8230" xr:uid="{00000000-0005-0000-0000-00003C1C0000}"/>
    <cellStyle name="Normal 8 2 2 2 6 2 2 2" xfId="16680" xr:uid="{74352BED-5068-46FD-A430-58389A91655D}"/>
    <cellStyle name="Normal 8 2 2 2 6 2 3" xfId="12462" xr:uid="{97D5279B-EC10-4ED2-B164-5679171FB65F}"/>
    <cellStyle name="Normal 8 2 2 2 6 3" xfId="6085" xr:uid="{00000000-0005-0000-0000-00003D1C0000}"/>
    <cellStyle name="Normal 8 2 2 2 6 3 2" xfId="14535" xr:uid="{E361E95E-0A90-4056-9EC5-7CDE867FC81A}"/>
    <cellStyle name="Normal 8 2 2 2 6 4" xfId="10317" xr:uid="{2D6FBCA8-8CF5-4C18-AF22-0F016264DB11}"/>
    <cellStyle name="Normal 8 2 2 2 7" xfId="2192" xr:uid="{00000000-0005-0000-0000-00003E1C0000}"/>
    <cellStyle name="Normal 8 2 2 2 7 2" xfId="4421" xr:uid="{00000000-0005-0000-0000-00003F1C0000}"/>
    <cellStyle name="Normal 8 2 2 2 7 2 2" xfId="8643" xr:uid="{00000000-0005-0000-0000-0000401C0000}"/>
    <cellStyle name="Normal 8 2 2 2 7 2 2 2" xfId="17093" xr:uid="{EB7C7EB5-A1A7-42B8-810A-855694428998}"/>
    <cellStyle name="Normal 8 2 2 2 7 2 3" xfId="12875" xr:uid="{20B55EC9-DF99-41FD-B35D-7D39AC6E10A4}"/>
    <cellStyle name="Normal 8 2 2 2 7 3" xfId="6498" xr:uid="{00000000-0005-0000-0000-0000411C0000}"/>
    <cellStyle name="Normal 8 2 2 2 7 3 2" xfId="14948" xr:uid="{DB5D1B9C-6DA2-46E3-BB5E-E3078D3BCAD8}"/>
    <cellStyle name="Normal 8 2 2 2 7 4" xfId="10730" xr:uid="{28E76587-706E-48A2-A094-A8AD11F64670}"/>
    <cellStyle name="Normal 8 2 2 2 8" xfId="2628" xr:uid="{00000000-0005-0000-0000-0000421C0000}"/>
    <cellStyle name="Normal 8 2 2 2 8 2" xfId="6911" xr:uid="{00000000-0005-0000-0000-0000431C0000}"/>
    <cellStyle name="Normal 8 2 2 2 8 2 2" xfId="15361" xr:uid="{770CAC66-D78D-4097-80E8-9FB6F8518AE3}"/>
    <cellStyle name="Normal 8 2 2 2 8 3" xfId="11143" xr:uid="{452C2646-8DAF-47EB-BBA8-ABFD056EDC2F}"/>
    <cellStyle name="Normal 8 2 2 2 9" xfId="4846" xr:uid="{00000000-0005-0000-0000-0000441C0000}"/>
    <cellStyle name="Normal 8 2 2 2 9 2" xfId="13296" xr:uid="{ABD4C482-B94E-4FBF-B49D-28C7F5CAE9A3}"/>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2 2 2" xfId="15859" xr:uid="{7115B525-5D67-4215-AD72-61157D75C7C2}"/>
    <cellStyle name="Normal 8 2 2 3 2 2 2 3" xfId="11641" xr:uid="{AEF369EE-90FD-4CE3-9CF0-3342761F5260}"/>
    <cellStyle name="Normal 8 2 2 3 2 2 3" xfId="5264" xr:uid="{00000000-0005-0000-0000-00004A1C0000}"/>
    <cellStyle name="Normal 8 2 2 3 2 2 3 2" xfId="13714" xr:uid="{98652B4A-415D-44E0-AFBB-45467762B475}"/>
    <cellStyle name="Normal 8 2 2 3 2 2 4" xfId="9496" xr:uid="{D6AA8D0A-3FD4-46D5-A8A4-704F2583A609}"/>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2 2 2" xfId="16272" xr:uid="{228384D9-611A-47D0-B834-096BD4F0C06A}"/>
    <cellStyle name="Normal 8 2 2 3 2 3 2 3" xfId="12054" xr:uid="{6570A02B-F515-4FA9-B781-FE17391AD210}"/>
    <cellStyle name="Normal 8 2 2 3 2 3 3" xfId="5677" xr:uid="{00000000-0005-0000-0000-00004E1C0000}"/>
    <cellStyle name="Normal 8 2 2 3 2 3 3 2" xfId="14127" xr:uid="{F75E77CF-E0BE-483D-A9E5-68EF6A6EE9EC}"/>
    <cellStyle name="Normal 8 2 2 3 2 3 4" xfId="9909" xr:uid="{889518C4-E36C-49AB-9C0F-FC18052CCFB3}"/>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2 2 2" xfId="16685" xr:uid="{77E9B11F-2F6F-4339-AFB9-EB928CCDCCEE}"/>
    <cellStyle name="Normal 8 2 2 3 2 4 2 3" xfId="12467" xr:uid="{3A7F5EB5-C34F-4B20-A96D-E74C1C156C6D}"/>
    <cellStyle name="Normal 8 2 2 3 2 4 3" xfId="6090" xr:uid="{00000000-0005-0000-0000-0000521C0000}"/>
    <cellStyle name="Normal 8 2 2 3 2 4 3 2" xfId="14540" xr:uid="{80A9FE4D-D946-413B-A8A2-5E61F14792E3}"/>
    <cellStyle name="Normal 8 2 2 3 2 4 4" xfId="10322" xr:uid="{0C9232B0-3593-4C25-B022-65F81F55D1FF}"/>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2 2 2" xfId="17098" xr:uid="{901A75B8-9019-4B97-AE04-0AFC7A5B5D1B}"/>
    <cellStyle name="Normal 8 2 2 3 2 5 2 3" xfId="12880" xr:uid="{C601924D-FCAC-4ED7-AD44-0101F323E66B}"/>
    <cellStyle name="Normal 8 2 2 3 2 5 3" xfId="6503" xr:uid="{00000000-0005-0000-0000-0000561C0000}"/>
    <cellStyle name="Normal 8 2 2 3 2 5 3 2" xfId="14953" xr:uid="{D64BBC9B-577D-4E45-95DE-2D56A39E65AA}"/>
    <cellStyle name="Normal 8 2 2 3 2 5 4" xfId="10735" xr:uid="{11A61DAA-777E-4E98-99E2-2AB708CD49E4}"/>
    <cellStyle name="Normal 8 2 2 3 2 6" xfId="2633" xr:uid="{00000000-0005-0000-0000-0000571C0000}"/>
    <cellStyle name="Normal 8 2 2 3 2 6 2" xfId="6916" xr:uid="{00000000-0005-0000-0000-0000581C0000}"/>
    <cellStyle name="Normal 8 2 2 3 2 6 2 2" xfId="15366" xr:uid="{AE8E8D0F-079C-4F51-B433-2864A1D4789D}"/>
    <cellStyle name="Normal 8 2 2 3 2 6 3" xfId="11148" xr:uid="{7EB3E2AA-CCC3-4C82-BBC9-194C41FF9E04}"/>
    <cellStyle name="Normal 8 2 2 3 2 7" xfId="4851" xr:uid="{00000000-0005-0000-0000-0000591C0000}"/>
    <cellStyle name="Normal 8 2 2 3 2 7 2" xfId="13301" xr:uid="{21564567-C0FF-4A1B-8D6B-783A20D6C960}"/>
    <cellStyle name="Normal 8 2 2 3 2 8" xfId="9083" xr:uid="{460FACB9-A55C-403E-B185-4659FAD85F60}"/>
    <cellStyle name="Normal 8 2 2 3 3" xfId="952" xr:uid="{00000000-0005-0000-0000-00005A1C0000}"/>
    <cellStyle name="Normal 8 2 2 3 3 2" xfId="3186" xr:uid="{00000000-0005-0000-0000-00005B1C0000}"/>
    <cellStyle name="Normal 8 2 2 3 3 2 2" xfId="7408" xr:uid="{00000000-0005-0000-0000-00005C1C0000}"/>
    <cellStyle name="Normal 8 2 2 3 3 2 2 2" xfId="15858" xr:uid="{E7E0E2C7-70BD-4894-BFC0-0D92FBE3F726}"/>
    <cellStyle name="Normal 8 2 2 3 3 2 3" xfId="11640" xr:uid="{1B38D2A5-08C5-4EA4-8B8F-E26F70B2905B}"/>
    <cellStyle name="Normal 8 2 2 3 3 3" xfId="5263" xr:uid="{00000000-0005-0000-0000-00005D1C0000}"/>
    <cellStyle name="Normal 8 2 2 3 3 3 2" xfId="13713" xr:uid="{C0F1B586-5763-49E2-B2CB-36AD10E2C888}"/>
    <cellStyle name="Normal 8 2 2 3 3 4" xfId="9495" xr:uid="{4A5A6813-599A-48EE-B803-62B40789E133}"/>
    <cellStyle name="Normal 8 2 2 3 4" xfId="1369" xr:uid="{00000000-0005-0000-0000-00005E1C0000}"/>
    <cellStyle name="Normal 8 2 2 3 4 2" xfId="3599" xr:uid="{00000000-0005-0000-0000-00005F1C0000}"/>
    <cellStyle name="Normal 8 2 2 3 4 2 2" xfId="7821" xr:uid="{00000000-0005-0000-0000-0000601C0000}"/>
    <cellStyle name="Normal 8 2 2 3 4 2 2 2" xfId="16271" xr:uid="{530DB8BC-6E1D-4F7D-9EF3-6423B33D5E1D}"/>
    <cellStyle name="Normal 8 2 2 3 4 2 3" xfId="12053" xr:uid="{900ACFAA-16FA-4F04-8D5B-5AADDE080604}"/>
    <cellStyle name="Normal 8 2 2 3 4 3" xfId="5676" xr:uid="{00000000-0005-0000-0000-0000611C0000}"/>
    <cellStyle name="Normal 8 2 2 3 4 3 2" xfId="14126" xr:uid="{CFA2AAFD-FDD2-477F-8679-1F1B54BDD622}"/>
    <cellStyle name="Normal 8 2 2 3 4 4" xfId="9908" xr:uid="{F092291F-D9B8-4A51-9B76-0693867BEFB8}"/>
    <cellStyle name="Normal 8 2 2 3 5" xfId="1782" xr:uid="{00000000-0005-0000-0000-0000621C0000}"/>
    <cellStyle name="Normal 8 2 2 3 5 2" xfId="4012" xr:uid="{00000000-0005-0000-0000-0000631C0000}"/>
    <cellStyle name="Normal 8 2 2 3 5 2 2" xfId="8234" xr:uid="{00000000-0005-0000-0000-0000641C0000}"/>
    <cellStyle name="Normal 8 2 2 3 5 2 2 2" xfId="16684" xr:uid="{5C7E7C52-5FDE-4351-9842-779F3867B4FF}"/>
    <cellStyle name="Normal 8 2 2 3 5 2 3" xfId="12466" xr:uid="{1DCE871C-570A-48DF-B67E-A47777BF612E}"/>
    <cellStyle name="Normal 8 2 2 3 5 3" xfId="6089" xr:uid="{00000000-0005-0000-0000-0000651C0000}"/>
    <cellStyle name="Normal 8 2 2 3 5 3 2" xfId="14539" xr:uid="{0DC1165E-AE43-4F55-9102-C07FFA79A770}"/>
    <cellStyle name="Normal 8 2 2 3 5 4" xfId="10321" xr:uid="{B48F8CD9-2D87-4648-A604-7A63D3C420BD}"/>
    <cellStyle name="Normal 8 2 2 3 6" xfId="2196" xr:uid="{00000000-0005-0000-0000-0000661C0000}"/>
    <cellStyle name="Normal 8 2 2 3 6 2" xfId="4425" xr:uid="{00000000-0005-0000-0000-0000671C0000}"/>
    <cellStyle name="Normal 8 2 2 3 6 2 2" xfId="8647" xr:uid="{00000000-0005-0000-0000-0000681C0000}"/>
    <cellStyle name="Normal 8 2 2 3 6 2 2 2" xfId="17097" xr:uid="{5B1727C9-7727-46F4-BC73-96916A339AA7}"/>
    <cellStyle name="Normal 8 2 2 3 6 2 3" xfId="12879" xr:uid="{93E17F9C-57C7-465C-B4D9-87A6DD94FC81}"/>
    <cellStyle name="Normal 8 2 2 3 6 3" xfId="6502" xr:uid="{00000000-0005-0000-0000-0000691C0000}"/>
    <cellStyle name="Normal 8 2 2 3 6 3 2" xfId="14952" xr:uid="{1088217A-DBA5-4699-8EB6-A6A6DC61F507}"/>
    <cellStyle name="Normal 8 2 2 3 6 4" xfId="10734" xr:uid="{81FFD512-CB2F-4C08-BA29-043419E9964E}"/>
    <cellStyle name="Normal 8 2 2 3 7" xfId="2632" xr:uid="{00000000-0005-0000-0000-00006A1C0000}"/>
    <cellStyle name="Normal 8 2 2 3 7 2" xfId="6915" xr:uid="{00000000-0005-0000-0000-00006B1C0000}"/>
    <cellStyle name="Normal 8 2 2 3 7 2 2" xfId="15365" xr:uid="{2FE4F435-9CEB-46CA-A869-D49ABC0F1B7E}"/>
    <cellStyle name="Normal 8 2 2 3 7 3" xfId="11147" xr:uid="{326F619D-37D9-4971-A509-D7CA45652907}"/>
    <cellStyle name="Normal 8 2 2 3 8" xfId="4850" xr:uid="{00000000-0005-0000-0000-00006C1C0000}"/>
    <cellStyle name="Normal 8 2 2 3 8 2" xfId="13300" xr:uid="{A1BD20F6-365F-4BBE-A3A3-21928DBB7DE8}"/>
    <cellStyle name="Normal 8 2 2 3 9" xfId="9082" xr:uid="{FE2DAF5D-84DD-4299-B1A0-A98FF85554CF}"/>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2 2 2" xfId="15860" xr:uid="{CEB70997-131A-403D-979F-3E5726C3DD9E}"/>
    <cellStyle name="Normal 8 2 2 4 2 2 3" xfId="11642" xr:uid="{7E72BF88-7E28-4C6D-AA2D-235B1BABF74B}"/>
    <cellStyle name="Normal 8 2 2 4 2 3" xfId="5265" xr:uid="{00000000-0005-0000-0000-0000711C0000}"/>
    <cellStyle name="Normal 8 2 2 4 2 3 2" xfId="13715" xr:uid="{A48B6EC4-6FCF-4DA5-9EE8-09414EB3A9A3}"/>
    <cellStyle name="Normal 8 2 2 4 2 4" xfId="9497" xr:uid="{E838C9F7-5BCF-4A41-A6E1-AC85E24B2D88}"/>
    <cellStyle name="Normal 8 2 2 4 3" xfId="1371" xr:uid="{00000000-0005-0000-0000-0000721C0000}"/>
    <cellStyle name="Normal 8 2 2 4 3 2" xfId="3601" xr:uid="{00000000-0005-0000-0000-0000731C0000}"/>
    <cellStyle name="Normal 8 2 2 4 3 2 2" xfId="7823" xr:uid="{00000000-0005-0000-0000-0000741C0000}"/>
    <cellStyle name="Normal 8 2 2 4 3 2 2 2" xfId="16273" xr:uid="{C115C03E-D27B-4C8F-A152-6BD2C42D28D1}"/>
    <cellStyle name="Normal 8 2 2 4 3 2 3" xfId="12055" xr:uid="{11964AC1-1BC8-430B-91B7-01764393E100}"/>
    <cellStyle name="Normal 8 2 2 4 3 3" xfId="5678" xr:uid="{00000000-0005-0000-0000-0000751C0000}"/>
    <cellStyle name="Normal 8 2 2 4 3 3 2" xfId="14128" xr:uid="{74D01188-932D-479B-8FFA-80E8AB4B6235}"/>
    <cellStyle name="Normal 8 2 2 4 3 4" xfId="9910" xr:uid="{806FF23E-9B9D-479E-A76C-C8157E7FE315}"/>
    <cellStyle name="Normal 8 2 2 4 4" xfId="1784" xr:uid="{00000000-0005-0000-0000-0000761C0000}"/>
    <cellStyle name="Normal 8 2 2 4 4 2" xfId="4014" xr:uid="{00000000-0005-0000-0000-0000771C0000}"/>
    <cellStyle name="Normal 8 2 2 4 4 2 2" xfId="8236" xr:uid="{00000000-0005-0000-0000-0000781C0000}"/>
    <cellStyle name="Normal 8 2 2 4 4 2 2 2" xfId="16686" xr:uid="{277EE657-FA2D-43E3-ADA9-5C04EB9B032E}"/>
    <cellStyle name="Normal 8 2 2 4 4 2 3" xfId="12468" xr:uid="{99B3FA4A-044D-4ACF-9D5E-C894BD8FD00F}"/>
    <cellStyle name="Normal 8 2 2 4 4 3" xfId="6091" xr:uid="{00000000-0005-0000-0000-0000791C0000}"/>
    <cellStyle name="Normal 8 2 2 4 4 3 2" xfId="14541" xr:uid="{205CDD72-488B-4BC1-AEF9-F80D755948E5}"/>
    <cellStyle name="Normal 8 2 2 4 4 4" xfId="10323" xr:uid="{649AA7F9-13B0-4867-9D1C-BE8FBC13EE67}"/>
    <cellStyle name="Normal 8 2 2 4 5" xfId="2198" xr:uid="{00000000-0005-0000-0000-00007A1C0000}"/>
    <cellStyle name="Normal 8 2 2 4 5 2" xfId="4427" xr:uid="{00000000-0005-0000-0000-00007B1C0000}"/>
    <cellStyle name="Normal 8 2 2 4 5 2 2" xfId="8649" xr:uid="{00000000-0005-0000-0000-00007C1C0000}"/>
    <cellStyle name="Normal 8 2 2 4 5 2 2 2" xfId="17099" xr:uid="{3BB8C53B-9256-45B6-8D92-CB9D7BE186ED}"/>
    <cellStyle name="Normal 8 2 2 4 5 2 3" xfId="12881" xr:uid="{C41F0C73-BE98-48EC-AF04-F4730C839BE3}"/>
    <cellStyle name="Normal 8 2 2 4 5 3" xfId="6504" xr:uid="{00000000-0005-0000-0000-00007D1C0000}"/>
    <cellStyle name="Normal 8 2 2 4 5 3 2" xfId="14954" xr:uid="{4E58D99C-D794-475A-80E2-B1E559406833}"/>
    <cellStyle name="Normal 8 2 2 4 5 4" xfId="10736" xr:uid="{29E037EF-69EF-4F31-BC43-0131745693DA}"/>
    <cellStyle name="Normal 8 2 2 4 6" xfId="2634" xr:uid="{00000000-0005-0000-0000-00007E1C0000}"/>
    <cellStyle name="Normal 8 2 2 4 6 2" xfId="6917" xr:uid="{00000000-0005-0000-0000-00007F1C0000}"/>
    <cellStyle name="Normal 8 2 2 4 6 2 2" xfId="15367" xr:uid="{C8038F23-8B17-43DA-9151-E1F721E02233}"/>
    <cellStyle name="Normal 8 2 2 4 6 3" xfId="11149" xr:uid="{887426C7-E728-4A3D-90FA-956C9B021C81}"/>
    <cellStyle name="Normal 8 2 2 4 7" xfId="4852" xr:uid="{00000000-0005-0000-0000-0000801C0000}"/>
    <cellStyle name="Normal 8 2 2 4 7 2" xfId="13302" xr:uid="{94C25A56-AC8D-48F2-9005-1B5DE9D409F2}"/>
    <cellStyle name="Normal 8 2 2 4 8" xfId="9084" xr:uid="{5580EC4F-1D00-4B5B-AC9D-8BD14E874B36}"/>
    <cellStyle name="Normal 8 2 2 5" xfId="947" xr:uid="{00000000-0005-0000-0000-0000811C0000}"/>
    <cellStyle name="Normal 8 2 2 5 2" xfId="3181" xr:uid="{00000000-0005-0000-0000-0000821C0000}"/>
    <cellStyle name="Normal 8 2 2 5 2 2" xfId="7403" xr:uid="{00000000-0005-0000-0000-0000831C0000}"/>
    <cellStyle name="Normal 8 2 2 5 2 2 2" xfId="15853" xr:uid="{5476FD5A-42FA-4F82-8E25-B9949D54A9A0}"/>
    <cellStyle name="Normal 8 2 2 5 2 3" xfId="11635" xr:uid="{A8F84C73-9AC9-4F21-96FD-FDD0B9CEE97B}"/>
    <cellStyle name="Normal 8 2 2 5 3" xfId="5258" xr:uid="{00000000-0005-0000-0000-0000841C0000}"/>
    <cellStyle name="Normal 8 2 2 5 3 2" xfId="13708" xr:uid="{0390BBB7-CB97-4A5B-AE87-9B7453ADB5D6}"/>
    <cellStyle name="Normal 8 2 2 5 4" xfId="9490" xr:uid="{E2B87D89-DA30-491F-B9EE-5CE8E9EDCEA9}"/>
    <cellStyle name="Normal 8 2 2 6" xfId="1364" xr:uid="{00000000-0005-0000-0000-0000851C0000}"/>
    <cellStyle name="Normal 8 2 2 6 2" xfId="3594" xr:uid="{00000000-0005-0000-0000-0000861C0000}"/>
    <cellStyle name="Normal 8 2 2 6 2 2" xfId="7816" xr:uid="{00000000-0005-0000-0000-0000871C0000}"/>
    <cellStyle name="Normal 8 2 2 6 2 2 2" xfId="16266" xr:uid="{CAA1444F-D753-4DBF-ACD7-2F27B7308703}"/>
    <cellStyle name="Normal 8 2 2 6 2 3" xfId="12048" xr:uid="{450DADE1-9ADC-4D6B-AC80-6DE2654AA449}"/>
    <cellStyle name="Normal 8 2 2 6 3" xfId="5671" xr:uid="{00000000-0005-0000-0000-0000881C0000}"/>
    <cellStyle name="Normal 8 2 2 6 3 2" xfId="14121" xr:uid="{6B944D10-5CC4-4458-8667-3236DE36EC21}"/>
    <cellStyle name="Normal 8 2 2 6 4" xfId="9903" xr:uid="{A2CFE5E3-2521-4056-92D8-32B09675CF8E}"/>
    <cellStyle name="Normal 8 2 2 7" xfId="1777" xr:uid="{00000000-0005-0000-0000-0000891C0000}"/>
    <cellStyle name="Normal 8 2 2 7 2" xfId="4007" xr:uid="{00000000-0005-0000-0000-00008A1C0000}"/>
    <cellStyle name="Normal 8 2 2 7 2 2" xfId="8229" xr:uid="{00000000-0005-0000-0000-00008B1C0000}"/>
    <cellStyle name="Normal 8 2 2 7 2 2 2" xfId="16679" xr:uid="{FD1CA571-7215-403D-A885-E472AA2F68B4}"/>
    <cellStyle name="Normal 8 2 2 7 2 3" xfId="12461" xr:uid="{27AB4F47-05E6-4A9E-A67D-8631162F8A84}"/>
    <cellStyle name="Normal 8 2 2 7 3" xfId="6084" xr:uid="{00000000-0005-0000-0000-00008C1C0000}"/>
    <cellStyle name="Normal 8 2 2 7 3 2" xfId="14534" xr:uid="{417EE09B-94AF-40AE-B519-6CAB3D0181FA}"/>
    <cellStyle name="Normal 8 2 2 7 4" xfId="10316" xr:uid="{58D6A59E-BD68-4EC7-B431-0AF1D8233EB9}"/>
    <cellStyle name="Normal 8 2 2 8" xfId="2191" xr:uid="{00000000-0005-0000-0000-00008D1C0000}"/>
    <cellStyle name="Normal 8 2 2 8 2" xfId="4420" xr:uid="{00000000-0005-0000-0000-00008E1C0000}"/>
    <cellStyle name="Normal 8 2 2 8 2 2" xfId="8642" xr:uid="{00000000-0005-0000-0000-00008F1C0000}"/>
    <cellStyle name="Normal 8 2 2 8 2 2 2" xfId="17092" xr:uid="{9361B412-1EE6-41AC-8E18-0EF78BD1CB46}"/>
    <cellStyle name="Normal 8 2 2 8 2 3" xfId="12874" xr:uid="{67B25597-4053-4C38-9429-80C248E981B4}"/>
    <cellStyle name="Normal 8 2 2 8 3" xfId="6497" xr:uid="{00000000-0005-0000-0000-0000901C0000}"/>
    <cellStyle name="Normal 8 2 2 8 3 2" xfId="14947" xr:uid="{F199C710-35E1-40C9-BB36-99665953BB2B}"/>
    <cellStyle name="Normal 8 2 2 8 4" xfId="10729" xr:uid="{F6E0B76E-A107-48BD-9BD1-4AA1F8D0151F}"/>
    <cellStyle name="Normal 8 2 2 9" xfId="2627" xr:uid="{00000000-0005-0000-0000-0000911C0000}"/>
    <cellStyle name="Normal 8 2 2 9 2" xfId="6910" xr:uid="{00000000-0005-0000-0000-0000921C0000}"/>
    <cellStyle name="Normal 8 2 2 9 2 2" xfId="15360" xr:uid="{157B7870-4AED-4042-A629-04DBCB2CD804}"/>
    <cellStyle name="Normal 8 2 2 9 3" xfId="11142" xr:uid="{FD742CB6-E5BE-4404-88FD-BC7DE52FA5D4}"/>
    <cellStyle name="Normal 8 2 3" xfId="488" xr:uid="{00000000-0005-0000-0000-0000931C0000}"/>
    <cellStyle name="Normal 8 2 3 10" xfId="9085" xr:uid="{8F14ADEC-8908-4653-836A-8E4138B5B2CC}"/>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2 2 2" xfId="15863" xr:uid="{7827473C-F9AF-4BDC-B546-9994DA02283C}"/>
    <cellStyle name="Normal 8 2 3 2 2 2 2 3" xfId="11645" xr:uid="{9411FC4F-46B8-4329-9992-BE016FAE363E}"/>
    <cellStyle name="Normal 8 2 3 2 2 2 3" xfId="5268" xr:uid="{00000000-0005-0000-0000-0000991C0000}"/>
    <cellStyle name="Normal 8 2 3 2 2 2 3 2" xfId="13718" xr:uid="{2E46019D-C1D7-4929-8E45-6C7B1E0C2366}"/>
    <cellStyle name="Normal 8 2 3 2 2 2 4" xfId="9500" xr:uid="{687C2883-2E4A-482A-8C4C-0FAE7EDB8343}"/>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2 2 2" xfId="16276" xr:uid="{1E7F4AB9-DACA-4AA0-B270-8D15CD5F1839}"/>
    <cellStyle name="Normal 8 2 3 2 2 3 2 3" xfId="12058" xr:uid="{AB5F6DF7-92D2-4CF7-9DD6-CA12BF4E64A3}"/>
    <cellStyle name="Normal 8 2 3 2 2 3 3" xfId="5681" xr:uid="{00000000-0005-0000-0000-00009D1C0000}"/>
    <cellStyle name="Normal 8 2 3 2 2 3 3 2" xfId="14131" xr:uid="{F4F9B30F-819D-4986-AE1C-0C804D412A23}"/>
    <cellStyle name="Normal 8 2 3 2 2 3 4" xfId="9913" xr:uid="{53711996-EBD1-47A1-AED7-AA132CBA8686}"/>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2 2 2" xfId="16689" xr:uid="{C7CB9227-8BB6-41FA-8C93-BF2194124429}"/>
    <cellStyle name="Normal 8 2 3 2 2 4 2 3" xfId="12471" xr:uid="{96959007-9D00-4831-9321-B577F679AAAB}"/>
    <cellStyle name="Normal 8 2 3 2 2 4 3" xfId="6094" xr:uid="{00000000-0005-0000-0000-0000A11C0000}"/>
    <cellStyle name="Normal 8 2 3 2 2 4 3 2" xfId="14544" xr:uid="{8B12BA01-A5D6-4950-99AD-D20CA500CF6B}"/>
    <cellStyle name="Normal 8 2 3 2 2 4 4" xfId="10326" xr:uid="{E7E6D9D1-4CD6-423C-A704-B2835B5B42AB}"/>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2 2 2" xfId="17102" xr:uid="{CAC89EBE-B21D-4757-B6D7-3FE9A9A821EA}"/>
    <cellStyle name="Normal 8 2 3 2 2 5 2 3" xfId="12884" xr:uid="{0A38A8F2-165E-4CA2-91EB-4B7D1E23B56D}"/>
    <cellStyle name="Normal 8 2 3 2 2 5 3" xfId="6507" xr:uid="{00000000-0005-0000-0000-0000A51C0000}"/>
    <cellStyle name="Normal 8 2 3 2 2 5 3 2" xfId="14957" xr:uid="{B5B8C845-1989-4110-9BFD-77A04F60818B}"/>
    <cellStyle name="Normal 8 2 3 2 2 5 4" xfId="10739" xr:uid="{D4D5703B-0B5E-4BA3-A835-353C57F515BE}"/>
    <cellStyle name="Normal 8 2 3 2 2 6" xfId="2637" xr:uid="{00000000-0005-0000-0000-0000A61C0000}"/>
    <cellStyle name="Normal 8 2 3 2 2 6 2" xfId="6920" xr:uid="{00000000-0005-0000-0000-0000A71C0000}"/>
    <cellStyle name="Normal 8 2 3 2 2 6 2 2" xfId="15370" xr:uid="{F233914F-A554-4084-B6FE-2C4422D310EF}"/>
    <cellStyle name="Normal 8 2 3 2 2 6 3" xfId="11152" xr:uid="{C90B3D2A-5E52-4B61-89DE-DE24E05ACF0E}"/>
    <cellStyle name="Normal 8 2 3 2 2 7" xfId="4855" xr:uid="{00000000-0005-0000-0000-0000A81C0000}"/>
    <cellStyle name="Normal 8 2 3 2 2 7 2" xfId="13305" xr:uid="{8947CAF9-EA85-443F-BC5D-20203B1C4961}"/>
    <cellStyle name="Normal 8 2 3 2 2 8" xfId="9087" xr:uid="{C4796524-A691-4A8B-B0C7-E347B5239656}"/>
    <cellStyle name="Normal 8 2 3 2 3" xfId="956" xr:uid="{00000000-0005-0000-0000-0000A91C0000}"/>
    <cellStyle name="Normal 8 2 3 2 3 2" xfId="3190" xr:uid="{00000000-0005-0000-0000-0000AA1C0000}"/>
    <cellStyle name="Normal 8 2 3 2 3 2 2" xfId="7412" xr:uid="{00000000-0005-0000-0000-0000AB1C0000}"/>
    <cellStyle name="Normal 8 2 3 2 3 2 2 2" xfId="15862" xr:uid="{877A0D23-5BA5-4E31-BE30-44C734E76DFA}"/>
    <cellStyle name="Normal 8 2 3 2 3 2 3" xfId="11644" xr:uid="{3437C3D1-16DE-4620-BAC8-269977107653}"/>
    <cellStyle name="Normal 8 2 3 2 3 3" xfId="5267" xr:uid="{00000000-0005-0000-0000-0000AC1C0000}"/>
    <cellStyle name="Normal 8 2 3 2 3 3 2" xfId="13717" xr:uid="{1C673B32-0752-4AD7-A014-A5B4C83CD278}"/>
    <cellStyle name="Normal 8 2 3 2 3 4" xfId="9499" xr:uid="{8EDF3E6C-1374-419F-90E2-134D0D41697F}"/>
    <cellStyle name="Normal 8 2 3 2 4" xfId="1373" xr:uid="{00000000-0005-0000-0000-0000AD1C0000}"/>
    <cellStyle name="Normal 8 2 3 2 4 2" xfId="3603" xr:uid="{00000000-0005-0000-0000-0000AE1C0000}"/>
    <cellStyle name="Normal 8 2 3 2 4 2 2" xfId="7825" xr:uid="{00000000-0005-0000-0000-0000AF1C0000}"/>
    <cellStyle name="Normal 8 2 3 2 4 2 2 2" xfId="16275" xr:uid="{BE5BBA76-4B3D-445F-B216-ABD0D9A28C28}"/>
    <cellStyle name="Normal 8 2 3 2 4 2 3" xfId="12057" xr:uid="{F713C1DD-86DF-4622-AC73-70F2BC6AEB42}"/>
    <cellStyle name="Normal 8 2 3 2 4 3" xfId="5680" xr:uid="{00000000-0005-0000-0000-0000B01C0000}"/>
    <cellStyle name="Normal 8 2 3 2 4 3 2" xfId="14130" xr:uid="{2684C2D5-7621-4F68-9CDC-6166752BE3A1}"/>
    <cellStyle name="Normal 8 2 3 2 4 4" xfId="9912" xr:uid="{3EE98FFE-9B7C-4C20-87D6-5B46FEF96C31}"/>
    <cellStyle name="Normal 8 2 3 2 5" xfId="1786" xr:uid="{00000000-0005-0000-0000-0000B11C0000}"/>
    <cellStyle name="Normal 8 2 3 2 5 2" xfId="4016" xr:uid="{00000000-0005-0000-0000-0000B21C0000}"/>
    <cellStyle name="Normal 8 2 3 2 5 2 2" xfId="8238" xr:uid="{00000000-0005-0000-0000-0000B31C0000}"/>
    <cellStyle name="Normal 8 2 3 2 5 2 2 2" xfId="16688" xr:uid="{1446F97B-7919-4690-BAB1-60157DBA7175}"/>
    <cellStyle name="Normal 8 2 3 2 5 2 3" xfId="12470" xr:uid="{C21A682D-D93B-453C-BE28-E775509D2805}"/>
    <cellStyle name="Normal 8 2 3 2 5 3" xfId="6093" xr:uid="{00000000-0005-0000-0000-0000B41C0000}"/>
    <cellStyle name="Normal 8 2 3 2 5 3 2" xfId="14543" xr:uid="{AA5599EC-7026-49DF-81A2-F0E7D91D9DA6}"/>
    <cellStyle name="Normal 8 2 3 2 5 4" xfId="10325" xr:uid="{D9AB15BA-3845-454E-917F-B38C79B64787}"/>
    <cellStyle name="Normal 8 2 3 2 6" xfId="2200" xr:uid="{00000000-0005-0000-0000-0000B51C0000}"/>
    <cellStyle name="Normal 8 2 3 2 6 2" xfId="4429" xr:uid="{00000000-0005-0000-0000-0000B61C0000}"/>
    <cellStyle name="Normal 8 2 3 2 6 2 2" xfId="8651" xr:uid="{00000000-0005-0000-0000-0000B71C0000}"/>
    <cellStyle name="Normal 8 2 3 2 6 2 2 2" xfId="17101" xr:uid="{C052E1FB-7636-4955-97AA-FA707A303C23}"/>
    <cellStyle name="Normal 8 2 3 2 6 2 3" xfId="12883" xr:uid="{06AF75DB-90B0-43A0-97E1-96CBF330536B}"/>
    <cellStyle name="Normal 8 2 3 2 6 3" xfId="6506" xr:uid="{00000000-0005-0000-0000-0000B81C0000}"/>
    <cellStyle name="Normal 8 2 3 2 6 3 2" xfId="14956" xr:uid="{C44860C7-7F34-472F-8AC0-13730748E49A}"/>
    <cellStyle name="Normal 8 2 3 2 6 4" xfId="10738" xr:uid="{982CABE0-2B11-4F72-89FA-46CE26699055}"/>
    <cellStyle name="Normal 8 2 3 2 7" xfId="2636" xr:uid="{00000000-0005-0000-0000-0000B91C0000}"/>
    <cellStyle name="Normal 8 2 3 2 7 2" xfId="6919" xr:uid="{00000000-0005-0000-0000-0000BA1C0000}"/>
    <cellStyle name="Normal 8 2 3 2 7 2 2" xfId="15369" xr:uid="{78913F01-F206-44A7-A153-09ADEAA3FB4B}"/>
    <cellStyle name="Normal 8 2 3 2 7 3" xfId="11151" xr:uid="{5665B2FC-DD9A-49AD-BD73-0F81D8A2D0C3}"/>
    <cellStyle name="Normal 8 2 3 2 8" xfId="4854" xr:uid="{00000000-0005-0000-0000-0000BB1C0000}"/>
    <cellStyle name="Normal 8 2 3 2 8 2" xfId="13304" xr:uid="{54303966-3762-4AB1-9B3A-6689D586359E}"/>
    <cellStyle name="Normal 8 2 3 2 9" xfId="9086" xr:uid="{719B1AEA-9D75-4EEB-BBA3-E6D7BA9747D6}"/>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2 2 2" xfId="15864" xr:uid="{A15227A0-4279-43D0-BA11-97E8E85A5499}"/>
    <cellStyle name="Normal 8 2 3 3 2 2 3" xfId="11646" xr:uid="{F30E36B4-509A-4810-8AE9-947E04A93D89}"/>
    <cellStyle name="Normal 8 2 3 3 2 3" xfId="5269" xr:uid="{00000000-0005-0000-0000-0000C01C0000}"/>
    <cellStyle name="Normal 8 2 3 3 2 3 2" xfId="13719" xr:uid="{B1B88DA5-D0E0-41E4-90B8-4F04CF474E5F}"/>
    <cellStyle name="Normal 8 2 3 3 2 4" xfId="9501" xr:uid="{A1066D74-BD62-440B-A84A-2433D54CCD6A}"/>
    <cellStyle name="Normal 8 2 3 3 3" xfId="1375" xr:uid="{00000000-0005-0000-0000-0000C11C0000}"/>
    <cellStyle name="Normal 8 2 3 3 3 2" xfId="3605" xr:uid="{00000000-0005-0000-0000-0000C21C0000}"/>
    <cellStyle name="Normal 8 2 3 3 3 2 2" xfId="7827" xr:uid="{00000000-0005-0000-0000-0000C31C0000}"/>
    <cellStyle name="Normal 8 2 3 3 3 2 2 2" xfId="16277" xr:uid="{EF9D5349-4736-4D59-BACD-4EF9F14875FC}"/>
    <cellStyle name="Normal 8 2 3 3 3 2 3" xfId="12059" xr:uid="{C0F2E7B5-F1BA-4E7C-B4E4-15D20060B543}"/>
    <cellStyle name="Normal 8 2 3 3 3 3" xfId="5682" xr:uid="{00000000-0005-0000-0000-0000C41C0000}"/>
    <cellStyle name="Normal 8 2 3 3 3 3 2" xfId="14132" xr:uid="{A24B818B-B9DA-44B6-A870-3F6E85023487}"/>
    <cellStyle name="Normal 8 2 3 3 3 4" xfId="9914" xr:uid="{3A1036F0-82DB-4448-9AD1-032B2B7D2AE8}"/>
    <cellStyle name="Normal 8 2 3 3 4" xfId="1788" xr:uid="{00000000-0005-0000-0000-0000C51C0000}"/>
    <cellStyle name="Normal 8 2 3 3 4 2" xfId="4018" xr:uid="{00000000-0005-0000-0000-0000C61C0000}"/>
    <cellStyle name="Normal 8 2 3 3 4 2 2" xfId="8240" xr:uid="{00000000-0005-0000-0000-0000C71C0000}"/>
    <cellStyle name="Normal 8 2 3 3 4 2 2 2" xfId="16690" xr:uid="{1F91278A-B239-4A9D-8954-92A2D71EF5E3}"/>
    <cellStyle name="Normal 8 2 3 3 4 2 3" xfId="12472" xr:uid="{FCAC2AB2-EEF3-49BF-A339-114A1E50F695}"/>
    <cellStyle name="Normal 8 2 3 3 4 3" xfId="6095" xr:uid="{00000000-0005-0000-0000-0000C81C0000}"/>
    <cellStyle name="Normal 8 2 3 3 4 3 2" xfId="14545" xr:uid="{0D22FAB1-F533-417B-8485-45AD4B282496}"/>
    <cellStyle name="Normal 8 2 3 3 4 4" xfId="10327" xr:uid="{8B984971-E914-4B41-8435-9407D38C85D4}"/>
    <cellStyle name="Normal 8 2 3 3 5" xfId="2202" xr:uid="{00000000-0005-0000-0000-0000C91C0000}"/>
    <cellStyle name="Normal 8 2 3 3 5 2" xfId="4431" xr:uid="{00000000-0005-0000-0000-0000CA1C0000}"/>
    <cellStyle name="Normal 8 2 3 3 5 2 2" xfId="8653" xr:uid="{00000000-0005-0000-0000-0000CB1C0000}"/>
    <cellStyle name="Normal 8 2 3 3 5 2 2 2" xfId="17103" xr:uid="{9A711147-137B-41C5-8DBF-E6045F3D799D}"/>
    <cellStyle name="Normal 8 2 3 3 5 2 3" xfId="12885" xr:uid="{40FDE812-AA3E-47BE-9781-0864EEE8F558}"/>
    <cellStyle name="Normal 8 2 3 3 5 3" xfId="6508" xr:uid="{00000000-0005-0000-0000-0000CC1C0000}"/>
    <cellStyle name="Normal 8 2 3 3 5 3 2" xfId="14958" xr:uid="{6CCF3D2B-14CF-406C-9DFC-163B2D81D67E}"/>
    <cellStyle name="Normal 8 2 3 3 5 4" xfId="10740" xr:uid="{0516904E-30F9-4CFE-9F76-1E97ACE9E24F}"/>
    <cellStyle name="Normal 8 2 3 3 6" xfId="2638" xr:uid="{00000000-0005-0000-0000-0000CD1C0000}"/>
    <cellStyle name="Normal 8 2 3 3 6 2" xfId="6921" xr:uid="{00000000-0005-0000-0000-0000CE1C0000}"/>
    <cellStyle name="Normal 8 2 3 3 6 2 2" xfId="15371" xr:uid="{AB77B7AA-7D63-421D-92AD-C9755D815884}"/>
    <cellStyle name="Normal 8 2 3 3 6 3" xfId="11153" xr:uid="{A2D350D3-3C4C-4FFD-869E-F63382CBEF74}"/>
    <cellStyle name="Normal 8 2 3 3 7" xfId="4856" xr:uid="{00000000-0005-0000-0000-0000CF1C0000}"/>
    <cellStyle name="Normal 8 2 3 3 7 2" xfId="13306" xr:uid="{F6AAC23E-E27B-414A-94C2-F1CFC9582EED}"/>
    <cellStyle name="Normal 8 2 3 3 8" xfId="9088" xr:uid="{6C42C77F-A4EF-45AE-86A9-0DF398CD03B4}"/>
    <cellStyle name="Normal 8 2 3 4" xfId="955" xr:uid="{00000000-0005-0000-0000-0000D01C0000}"/>
    <cellStyle name="Normal 8 2 3 4 2" xfId="3189" xr:uid="{00000000-0005-0000-0000-0000D11C0000}"/>
    <cellStyle name="Normal 8 2 3 4 2 2" xfId="7411" xr:uid="{00000000-0005-0000-0000-0000D21C0000}"/>
    <cellStyle name="Normal 8 2 3 4 2 2 2" xfId="15861" xr:uid="{D57D0C31-80F0-4B29-8E8C-C96C666EEBAF}"/>
    <cellStyle name="Normal 8 2 3 4 2 3" xfId="11643" xr:uid="{D856B9AD-51A6-4663-A25E-DF402886692A}"/>
    <cellStyle name="Normal 8 2 3 4 3" xfId="5266" xr:uid="{00000000-0005-0000-0000-0000D31C0000}"/>
    <cellStyle name="Normal 8 2 3 4 3 2" xfId="13716" xr:uid="{C1D2131F-A4FB-4443-A048-95BC16519020}"/>
    <cellStyle name="Normal 8 2 3 4 4" xfId="9498" xr:uid="{CA3EF113-75BB-428F-ABE3-4B7BCE58441B}"/>
    <cellStyle name="Normal 8 2 3 5" xfId="1372" xr:uid="{00000000-0005-0000-0000-0000D41C0000}"/>
    <cellStyle name="Normal 8 2 3 5 2" xfId="3602" xr:uid="{00000000-0005-0000-0000-0000D51C0000}"/>
    <cellStyle name="Normal 8 2 3 5 2 2" xfId="7824" xr:uid="{00000000-0005-0000-0000-0000D61C0000}"/>
    <cellStyle name="Normal 8 2 3 5 2 2 2" xfId="16274" xr:uid="{196971D4-182D-42EE-97A4-948E2C7D4AF3}"/>
    <cellStyle name="Normal 8 2 3 5 2 3" xfId="12056" xr:uid="{91368C32-B78F-4F11-BFCB-4D63BD2FEF95}"/>
    <cellStyle name="Normal 8 2 3 5 3" xfId="5679" xr:uid="{00000000-0005-0000-0000-0000D71C0000}"/>
    <cellStyle name="Normal 8 2 3 5 3 2" xfId="14129" xr:uid="{9A88ACEF-5B78-43D5-BE78-8F3E89046CDF}"/>
    <cellStyle name="Normal 8 2 3 5 4" xfId="9911" xr:uid="{5C9C866C-5E12-4710-B5CA-17F25749CDF1}"/>
    <cellStyle name="Normal 8 2 3 6" xfId="1785" xr:uid="{00000000-0005-0000-0000-0000D81C0000}"/>
    <cellStyle name="Normal 8 2 3 6 2" xfId="4015" xr:uid="{00000000-0005-0000-0000-0000D91C0000}"/>
    <cellStyle name="Normal 8 2 3 6 2 2" xfId="8237" xr:uid="{00000000-0005-0000-0000-0000DA1C0000}"/>
    <cellStyle name="Normal 8 2 3 6 2 2 2" xfId="16687" xr:uid="{02B65D44-3F6F-4334-8C08-56D4D3A81A2D}"/>
    <cellStyle name="Normal 8 2 3 6 2 3" xfId="12469" xr:uid="{50B805A4-8B96-4963-9925-FDA27313FE7D}"/>
    <cellStyle name="Normal 8 2 3 6 3" xfId="6092" xr:uid="{00000000-0005-0000-0000-0000DB1C0000}"/>
    <cellStyle name="Normal 8 2 3 6 3 2" xfId="14542" xr:uid="{37735651-5000-43FE-9D91-4BCFDC4949D8}"/>
    <cellStyle name="Normal 8 2 3 6 4" xfId="10324" xr:uid="{31F37F1A-1270-4058-BF5F-DC160F2D13B1}"/>
    <cellStyle name="Normal 8 2 3 7" xfId="2199" xr:uid="{00000000-0005-0000-0000-0000DC1C0000}"/>
    <cellStyle name="Normal 8 2 3 7 2" xfId="4428" xr:uid="{00000000-0005-0000-0000-0000DD1C0000}"/>
    <cellStyle name="Normal 8 2 3 7 2 2" xfId="8650" xr:uid="{00000000-0005-0000-0000-0000DE1C0000}"/>
    <cellStyle name="Normal 8 2 3 7 2 2 2" xfId="17100" xr:uid="{1AEFDE99-6639-45C4-934E-30861DEA5554}"/>
    <cellStyle name="Normal 8 2 3 7 2 3" xfId="12882" xr:uid="{4D0F0A13-393C-4C02-989F-4952583613B5}"/>
    <cellStyle name="Normal 8 2 3 7 3" xfId="6505" xr:uid="{00000000-0005-0000-0000-0000DF1C0000}"/>
    <cellStyle name="Normal 8 2 3 7 3 2" xfId="14955" xr:uid="{668F78F6-2EB8-400F-B7C8-A439B3E99EBD}"/>
    <cellStyle name="Normal 8 2 3 7 4" xfId="10737" xr:uid="{5BDF01C8-4EF7-48A1-9E5E-9041A537D7AD}"/>
    <cellStyle name="Normal 8 2 3 8" xfId="2635" xr:uid="{00000000-0005-0000-0000-0000E01C0000}"/>
    <cellStyle name="Normal 8 2 3 8 2" xfId="6918" xr:uid="{00000000-0005-0000-0000-0000E11C0000}"/>
    <cellStyle name="Normal 8 2 3 8 2 2" xfId="15368" xr:uid="{2A2C902D-E469-4CD8-88C1-681A3B8804FA}"/>
    <cellStyle name="Normal 8 2 3 8 3" xfId="11150" xr:uid="{3966F6ED-C868-43F1-B9A5-BBA63CB82F8A}"/>
    <cellStyle name="Normal 8 2 3 9" xfId="4853" xr:uid="{00000000-0005-0000-0000-0000E21C0000}"/>
    <cellStyle name="Normal 8 2 3 9 2" xfId="13303" xr:uid="{AEA5DFA2-4C00-437B-B2A8-87F73A189B55}"/>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2 2 2" xfId="15866" xr:uid="{D1AEFE5D-5466-443E-AD47-0A17D554232B}"/>
    <cellStyle name="Normal 8 2 4 2 2 2 3" xfId="11648" xr:uid="{FDF19602-CA1C-49DD-8626-94BD39FCE437}"/>
    <cellStyle name="Normal 8 2 4 2 2 3" xfId="5271" xr:uid="{00000000-0005-0000-0000-0000E81C0000}"/>
    <cellStyle name="Normal 8 2 4 2 2 3 2" xfId="13721" xr:uid="{DFBC018D-B73C-46C5-B605-49637962CADF}"/>
    <cellStyle name="Normal 8 2 4 2 2 4" xfId="9503" xr:uid="{050707CA-55B5-4C7F-9461-F9AB6479A243}"/>
    <cellStyle name="Normal 8 2 4 2 3" xfId="1377" xr:uid="{00000000-0005-0000-0000-0000E91C0000}"/>
    <cellStyle name="Normal 8 2 4 2 3 2" xfId="3607" xr:uid="{00000000-0005-0000-0000-0000EA1C0000}"/>
    <cellStyle name="Normal 8 2 4 2 3 2 2" xfId="7829" xr:uid="{00000000-0005-0000-0000-0000EB1C0000}"/>
    <cellStyle name="Normal 8 2 4 2 3 2 2 2" xfId="16279" xr:uid="{CA744D1F-933D-42B8-B74B-0BEBFA8DE2FD}"/>
    <cellStyle name="Normal 8 2 4 2 3 2 3" xfId="12061" xr:uid="{3BB2C250-A9B3-4B6F-8D56-B18C654E93CF}"/>
    <cellStyle name="Normal 8 2 4 2 3 3" xfId="5684" xr:uid="{00000000-0005-0000-0000-0000EC1C0000}"/>
    <cellStyle name="Normal 8 2 4 2 3 3 2" xfId="14134" xr:uid="{D9BA1F7A-571B-4FE0-AC4E-73884DAE6284}"/>
    <cellStyle name="Normal 8 2 4 2 3 4" xfId="9916" xr:uid="{5DC056EE-7582-44CB-9746-FA2960742E22}"/>
    <cellStyle name="Normal 8 2 4 2 4" xfId="1790" xr:uid="{00000000-0005-0000-0000-0000ED1C0000}"/>
    <cellStyle name="Normal 8 2 4 2 4 2" xfId="4020" xr:uid="{00000000-0005-0000-0000-0000EE1C0000}"/>
    <cellStyle name="Normal 8 2 4 2 4 2 2" xfId="8242" xr:uid="{00000000-0005-0000-0000-0000EF1C0000}"/>
    <cellStyle name="Normal 8 2 4 2 4 2 2 2" xfId="16692" xr:uid="{26C90FC2-AC97-4CB3-A022-106664E3211C}"/>
    <cellStyle name="Normal 8 2 4 2 4 2 3" xfId="12474" xr:uid="{1621EC50-D2C0-418A-AEE2-E60AD730FF93}"/>
    <cellStyle name="Normal 8 2 4 2 4 3" xfId="6097" xr:uid="{00000000-0005-0000-0000-0000F01C0000}"/>
    <cellStyle name="Normal 8 2 4 2 4 3 2" xfId="14547" xr:uid="{92D4CC49-6A8D-435E-AC89-328159168AAA}"/>
    <cellStyle name="Normal 8 2 4 2 4 4" xfId="10329" xr:uid="{E2CD4E04-EDF1-478C-BD85-827ED66C4413}"/>
    <cellStyle name="Normal 8 2 4 2 5" xfId="2204" xr:uid="{00000000-0005-0000-0000-0000F11C0000}"/>
    <cellStyle name="Normal 8 2 4 2 5 2" xfId="4433" xr:uid="{00000000-0005-0000-0000-0000F21C0000}"/>
    <cellStyle name="Normal 8 2 4 2 5 2 2" xfId="8655" xr:uid="{00000000-0005-0000-0000-0000F31C0000}"/>
    <cellStyle name="Normal 8 2 4 2 5 2 2 2" xfId="17105" xr:uid="{A827C8D7-EBE8-4267-8C01-49968FECFEA1}"/>
    <cellStyle name="Normal 8 2 4 2 5 2 3" xfId="12887" xr:uid="{EE281DF2-C27D-4981-A35A-EA05B516514F}"/>
    <cellStyle name="Normal 8 2 4 2 5 3" xfId="6510" xr:uid="{00000000-0005-0000-0000-0000F41C0000}"/>
    <cellStyle name="Normal 8 2 4 2 5 3 2" xfId="14960" xr:uid="{D0C436B3-A577-44D7-BF23-F11903887E9C}"/>
    <cellStyle name="Normal 8 2 4 2 5 4" xfId="10742" xr:uid="{22D59ECF-10C9-439B-A286-2E93944FC9E6}"/>
    <cellStyle name="Normal 8 2 4 2 6" xfId="2640" xr:uid="{00000000-0005-0000-0000-0000F51C0000}"/>
    <cellStyle name="Normal 8 2 4 2 6 2" xfId="6923" xr:uid="{00000000-0005-0000-0000-0000F61C0000}"/>
    <cellStyle name="Normal 8 2 4 2 6 2 2" xfId="15373" xr:uid="{18A54826-AEC1-4DBB-83D7-FE0349340BA3}"/>
    <cellStyle name="Normal 8 2 4 2 6 3" xfId="11155" xr:uid="{E94E03C7-7F84-429C-AD85-3AD0734683A7}"/>
    <cellStyle name="Normal 8 2 4 2 7" xfId="4858" xr:uid="{00000000-0005-0000-0000-0000F71C0000}"/>
    <cellStyle name="Normal 8 2 4 2 7 2" xfId="13308" xr:uid="{151857B1-5710-4A47-9F12-94887E16EA61}"/>
    <cellStyle name="Normal 8 2 4 2 8" xfId="9090" xr:uid="{087B2FFF-E13E-4054-86B4-E20CC7FF0B65}"/>
    <cellStyle name="Normal 8 2 4 3" xfId="959" xr:uid="{00000000-0005-0000-0000-0000F81C0000}"/>
    <cellStyle name="Normal 8 2 4 3 2" xfId="3193" xr:uid="{00000000-0005-0000-0000-0000F91C0000}"/>
    <cellStyle name="Normal 8 2 4 3 2 2" xfId="7415" xr:uid="{00000000-0005-0000-0000-0000FA1C0000}"/>
    <cellStyle name="Normal 8 2 4 3 2 2 2" xfId="15865" xr:uid="{3E5CB83A-AFB3-46A2-A4E4-D6676F3F59F7}"/>
    <cellStyle name="Normal 8 2 4 3 2 3" xfId="11647" xr:uid="{EA75CA71-AF36-4A17-A9BA-388E84FE9AB7}"/>
    <cellStyle name="Normal 8 2 4 3 3" xfId="5270" xr:uid="{00000000-0005-0000-0000-0000FB1C0000}"/>
    <cellStyle name="Normal 8 2 4 3 3 2" xfId="13720" xr:uid="{3B5DAAD1-4F42-420A-B8EE-5A862BF21333}"/>
    <cellStyle name="Normal 8 2 4 3 4" xfId="9502" xr:uid="{7C6E588C-9B1B-4B99-A77B-C0E558D0FE1F}"/>
    <cellStyle name="Normal 8 2 4 4" xfId="1376" xr:uid="{00000000-0005-0000-0000-0000FC1C0000}"/>
    <cellStyle name="Normal 8 2 4 4 2" xfId="3606" xr:uid="{00000000-0005-0000-0000-0000FD1C0000}"/>
    <cellStyle name="Normal 8 2 4 4 2 2" xfId="7828" xr:uid="{00000000-0005-0000-0000-0000FE1C0000}"/>
    <cellStyle name="Normal 8 2 4 4 2 2 2" xfId="16278" xr:uid="{E385B390-2315-4A1D-93AD-D4E7A1B953A3}"/>
    <cellStyle name="Normal 8 2 4 4 2 3" xfId="12060" xr:uid="{E0278F3F-991B-4CD5-9146-C426EE9A78D3}"/>
    <cellStyle name="Normal 8 2 4 4 3" xfId="5683" xr:uid="{00000000-0005-0000-0000-0000FF1C0000}"/>
    <cellStyle name="Normal 8 2 4 4 3 2" xfId="14133" xr:uid="{FEC8675E-02EB-4C2E-A04A-527FBCB9FF77}"/>
    <cellStyle name="Normal 8 2 4 4 4" xfId="9915" xr:uid="{B8E08817-6121-4635-BCB2-E3E8E8DD9037}"/>
    <cellStyle name="Normal 8 2 4 5" xfId="1789" xr:uid="{00000000-0005-0000-0000-0000001D0000}"/>
    <cellStyle name="Normal 8 2 4 5 2" xfId="4019" xr:uid="{00000000-0005-0000-0000-0000011D0000}"/>
    <cellStyle name="Normal 8 2 4 5 2 2" xfId="8241" xr:uid="{00000000-0005-0000-0000-0000021D0000}"/>
    <cellStyle name="Normal 8 2 4 5 2 2 2" xfId="16691" xr:uid="{2DDF324A-F71F-4C17-B98E-D326ED82835F}"/>
    <cellStyle name="Normal 8 2 4 5 2 3" xfId="12473" xr:uid="{6AE45540-FC75-4D74-98CB-683B2B833240}"/>
    <cellStyle name="Normal 8 2 4 5 3" xfId="6096" xr:uid="{00000000-0005-0000-0000-0000031D0000}"/>
    <cellStyle name="Normal 8 2 4 5 3 2" xfId="14546" xr:uid="{677F7FC9-0C5E-4912-A603-DF6616CF74BA}"/>
    <cellStyle name="Normal 8 2 4 5 4" xfId="10328" xr:uid="{5F45828B-C2A2-4904-BF60-8B8107111735}"/>
    <cellStyle name="Normal 8 2 4 6" xfId="2203" xr:uid="{00000000-0005-0000-0000-0000041D0000}"/>
    <cellStyle name="Normal 8 2 4 6 2" xfId="4432" xr:uid="{00000000-0005-0000-0000-0000051D0000}"/>
    <cellStyle name="Normal 8 2 4 6 2 2" xfId="8654" xr:uid="{00000000-0005-0000-0000-0000061D0000}"/>
    <cellStyle name="Normal 8 2 4 6 2 2 2" xfId="17104" xr:uid="{E7571606-37C0-4353-AC56-1E60F478355C}"/>
    <cellStyle name="Normal 8 2 4 6 2 3" xfId="12886" xr:uid="{C1789357-03E3-4089-9C13-904293AAD4A9}"/>
    <cellStyle name="Normal 8 2 4 6 3" xfId="6509" xr:uid="{00000000-0005-0000-0000-0000071D0000}"/>
    <cellStyle name="Normal 8 2 4 6 3 2" xfId="14959" xr:uid="{1CA137B5-1854-42FA-AE42-02A53A98F450}"/>
    <cellStyle name="Normal 8 2 4 6 4" xfId="10741" xr:uid="{54204CCA-1862-4A29-A308-8576D8EB1716}"/>
    <cellStyle name="Normal 8 2 4 7" xfId="2639" xr:uid="{00000000-0005-0000-0000-0000081D0000}"/>
    <cellStyle name="Normal 8 2 4 7 2" xfId="6922" xr:uid="{00000000-0005-0000-0000-0000091D0000}"/>
    <cellStyle name="Normal 8 2 4 7 2 2" xfId="15372" xr:uid="{34C3E95A-0FC1-471F-B8A9-F7B98FC71ACB}"/>
    <cellStyle name="Normal 8 2 4 7 3" xfId="11154" xr:uid="{8A6BA310-5244-4392-B5FE-ABB1F2FAEA3A}"/>
    <cellStyle name="Normal 8 2 4 8" xfId="4857" xr:uid="{00000000-0005-0000-0000-00000A1D0000}"/>
    <cellStyle name="Normal 8 2 4 8 2" xfId="13307" xr:uid="{0E234DFE-2C1F-456B-9034-380E7F779D84}"/>
    <cellStyle name="Normal 8 2 4 9" xfId="9089" xr:uid="{E9BBE24D-7E6B-4A3D-9AF6-968A5206A0F5}"/>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2 2 2" xfId="15867" xr:uid="{F156690D-F41F-4138-92C6-61AC9C18CD57}"/>
    <cellStyle name="Normal 8 2 5 2 2 3" xfId="11649" xr:uid="{FE1169C8-0931-4968-9B54-335CF75EDDE4}"/>
    <cellStyle name="Normal 8 2 5 2 3" xfId="5272" xr:uid="{00000000-0005-0000-0000-00000F1D0000}"/>
    <cellStyle name="Normal 8 2 5 2 3 2" xfId="13722" xr:uid="{3210ADDD-ABCF-456D-92D0-ABA06B6664A7}"/>
    <cellStyle name="Normal 8 2 5 2 4" xfId="9504" xr:uid="{3B6B80BB-3368-4EA5-B40A-D7F46EF441E4}"/>
    <cellStyle name="Normal 8 2 5 3" xfId="1378" xr:uid="{00000000-0005-0000-0000-0000101D0000}"/>
    <cellStyle name="Normal 8 2 5 3 2" xfId="3608" xr:uid="{00000000-0005-0000-0000-0000111D0000}"/>
    <cellStyle name="Normal 8 2 5 3 2 2" xfId="7830" xr:uid="{00000000-0005-0000-0000-0000121D0000}"/>
    <cellStyle name="Normal 8 2 5 3 2 2 2" xfId="16280" xr:uid="{FC732AE2-C0AA-458D-851D-54D5300AEFD0}"/>
    <cellStyle name="Normal 8 2 5 3 2 3" xfId="12062" xr:uid="{FE68FA54-D2CF-4908-8E8A-1414FD0CDB52}"/>
    <cellStyle name="Normal 8 2 5 3 3" xfId="5685" xr:uid="{00000000-0005-0000-0000-0000131D0000}"/>
    <cellStyle name="Normal 8 2 5 3 3 2" xfId="14135" xr:uid="{4B47946C-E978-4D30-8F5D-CDB473DDAFD9}"/>
    <cellStyle name="Normal 8 2 5 3 4" xfId="9917" xr:uid="{0A23BC9C-C2E6-4A22-9DD5-6341422F203C}"/>
    <cellStyle name="Normal 8 2 5 4" xfId="1791" xr:uid="{00000000-0005-0000-0000-0000141D0000}"/>
    <cellStyle name="Normal 8 2 5 4 2" xfId="4021" xr:uid="{00000000-0005-0000-0000-0000151D0000}"/>
    <cellStyle name="Normal 8 2 5 4 2 2" xfId="8243" xr:uid="{00000000-0005-0000-0000-0000161D0000}"/>
    <cellStyle name="Normal 8 2 5 4 2 2 2" xfId="16693" xr:uid="{745E9873-E5FD-4421-BA9F-4D50807ABDFD}"/>
    <cellStyle name="Normal 8 2 5 4 2 3" xfId="12475" xr:uid="{4F500BB0-DDFF-43F3-98E2-79D612F0150C}"/>
    <cellStyle name="Normal 8 2 5 4 3" xfId="6098" xr:uid="{00000000-0005-0000-0000-0000171D0000}"/>
    <cellStyle name="Normal 8 2 5 4 3 2" xfId="14548" xr:uid="{E62F6E7B-8598-4113-B42E-D55738959AB0}"/>
    <cellStyle name="Normal 8 2 5 4 4" xfId="10330" xr:uid="{1A2A1028-CC8B-4020-97C7-59C58BBD89D5}"/>
    <cellStyle name="Normal 8 2 5 5" xfId="2205" xr:uid="{00000000-0005-0000-0000-0000181D0000}"/>
    <cellStyle name="Normal 8 2 5 5 2" xfId="4434" xr:uid="{00000000-0005-0000-0000-0000191D0000}"/>
    <cellStyle name="Normal 8 2 5 5 2 2" xfId="8656" xr:uid="{00000000-0005-0000-0000-00001A1D0000}"/>
    <cellStyle name="Normal 8 2 5 5 2 2 2" xfId="17106" xr:uid="{35E825E2-12C0-4F82-AB8C-F15979C7BAA3}"/>
    <cellStyle name="Normal 8 2 5 5 2 3" xfId="12888" xr:uid="{64592BB3-0E54-4490-B531-44775AFB6AEA}"/>
    <cellStyle name="Normal 8 2 5 5 3" xfId="6511" xr:uid="{00000000-0005-0000-0000-00001B1D0000}"/>
    <cellStyle name="Normal 8 2 5 5 3 2" xfId="14961" xr:uid="{75A3939F-D543-48BC-AE14-2330A4B3FB90}"/>
    <cellStyle name="Normal 8 2 5 5 4" xfId="10743" xr:uid="{D2F053E5-24D9-4181-8465-8A33E652B1D9}"/>
    <cellStyle name="Normal 8 2 5 6" xfId="2641" xr:uid="{00000000-0005-0000-0000-00001C1D0000}"/>
    <cellStyle name="Normal 8 2 5 6 2" xfId="6924" xr:uid="{00000000-0005-0000-0000-00001D1D0000}"/>
    <cellStyle name="Normal 8 2 5 6 2 2" xfId="15374" xr:uid="{D2D6AB25-1251-49B2-9BCF-B27C99C13E3F}"/>
    <cellStyle name="Normal 8 2 5 6 3" xfId="11156" xr:uid="{0D4BEEEA-320D-4886-8FD5-408A5046055D}"/>
    <cellStyle name="Normal 8 2 5 7" xfId="4859" xr:uid="{00000000-0005-0000-0000-00001E1D0000}"/>
    <cellStyle name="Normal 8 2 5 7 2" xfId="13309" xr:uid="{3C9177B6-8268-4318-BC27-5F781D1AFC8D}"/>
    <cellStyle name="Normal 8 2 5 8" xfId="9091" xr:uid="{62B9A5BA-28BE-4957-8E34-80F1BDF85558}"/>
    <cellStyle name="Normal 8 2 6" xfId="946" xr:uid="{00000000-0005-0000-0000-00001F1D0000}"/>
    <cellStyle name="Normal 8 2 6 2" xfId="3180" xr:uid="{00000000-0005-0000-0000-0000201D0000}"/>
    <cellStyle name="Normal 8 2 6 2 2" xfId="7402" xr:uid="{00000000-0005-0000-0000-0000211D0000}"/>
    <cellStyle name="Normal 8 2 6 2 2 2" xfId="15852" xr:uid="{83F7C6BE-BB39-4A19-9702-915B0A98862A}"/>
    <cellStyle name="Normal 8 2 6 2 3" xfId="11634" xr:uid="{0E28D8CB-3C1F-4473-8D54-AAF23FDB3DF3}"/>
    <cellStyle name="Normal 8 2 6 3" xfId="5257" xr:uid="{00000000-0005-0000-0000-0000221D0000}"/>
    <cellStyle name="Normal 8 2 6 3 2" xfId="13707" xr:uid="{43343033-ECD0-48C1-B81D-4D335D09A873}"/>
    <cellStyle name="Normal 8 2 6 4" xfId="9489" xr:uid="{9DFA167B-D19D-4C81-B1E8-38D13AD4E337}"/>
    <cellStyle name="Normal 8 2 7" xfId="1363" xr:uid="{00000000-0005-0000-0000-0000231D0000}"/>
    <cellStyle name="Normal 8 2 7 2" xfId="3593" xr:uid="{00000000-0005-0000-0000-0000241D0000}"/>
    <cellStyle name="Normal 8 2 7 2 2" xfId="7815" xr:uid="{00000000-0005-0000-0000-0000251D0000}"/>
    <cellStyle name="Normal 8 2 7 2 2 2" xfId="16265" xr:uid="{626CC114-22C9-4983-939B-25B8928E6133}"/>
    <cellStyle name="Normal 8 2 7 2 3" xfId="12047" xr:uid="{684B6DFD-9BEF-41A5-93FE-835830DC7C3D}"/>
    <cellStyle name="Normal 8 2 7 3" xfId="5670" xr:uid="{00000000-0005-0000-0000-0000261D0000}"/>
    <cellStyle name="Normal 8 2 7 3 2" xfId="14120" xr:uid="{54F2245A-D006-450D-909C-E8E258A525A0}"/>
    <cellStyle name="Normal 8 2 7 4" xfId="9902" xr:uid="{72BAF370-C788-4A02-9353-C48BB9939DCB}"/>
    <cellStyle name="Normal 8 2 8" xfId="1776" xr:uid="{00000000-0005-0000-0000-0000271D0000}"/>
    <cellStyle name="Normal 8 2 8 2" xfId="4006" xr:uid="{00000000-0005-0000-0000-0000281D0000}"/>
    <cellStyle name="Normal 8 2 8 2 2" xfId="8228" xr:uid="{00000000-0005-0000-0000-0000291D0000}"/>
    <cellStyle name="Normal 8 2 8 2 2 2" xfId="16678" xr:uid="{932C8ABE-42C6-48BA-9B8D-696DE000C6CF}"/>
    <cellStyle name="Normal 8 2 8 2 3" xfId="12460" xr:uid="{05524C77-3BEC-4911-AD5D-D8BD57CC7C78}"/>
    <cellStyle name="Normal 8 2 8 3" xfId="6083" xr:uid="{00000000-0005-0000-0000-00002A1D0000}"/>
    <cellStyle name="Normal 8 2 8 3 2" xfId="14533" xr:uid="{E1236D00-1D5B-4343-8406-F6749C8DB163}"/>
    <cellStyle name="Normal 8 2 8 4" xfId="10315" xr:uid="{79367D47-8486-4E23-99D7-2B88F594512E}"/>
    <cellStyle name="Normal 8 2 9" xfId="2190" xr:uid="{00000000-0005-0000-0000-00002B1D0000}"/>
    <cellStyle name="Normal 8 2 9 2" xfId="4419" xr:uid="{00000000-0005-0000-0000-00002C1D0000}"/>
    <cellStyle name="Normal 8 2 9 2 2" xfId="8641" xr:uid="{00000000-0005-0000-0000-00002D1D0000}"/>
    <cellStyle name="Normal 8 2 9 2 2 2" xfId="17091" xr:uid="{21A1DC9F-8715-46F2-908A-11E45D54FB95}"/>
    <cellStyle name="Normal 8 2 9 2 3" xfId="12873" xr:uid="{01FCF2ED-0030-4001-9D7B-19C08CF689F5}"/>
    <cellStyle name="Normal 8 2 9 3" xfId="6496" xr:uid="{00000000-0005-0000-0000-00002E1D0000}"/>
    <cellStyle name="Normal 8 2 9 3 2" xfId="14946" xr:uid="{866D58DC-183C-4E90-9D6D-E4E806EE7391}"/>
    <cellStyle name="Normal 8 2 9 4" xfId="10728" xr:uid="{80F8A177-E630-44CA-8A01-2EF50F2CD7D8}"/>
    <cellStyle name="Normal 8 3" xfId="495" xr:uid="{00000000-0005-0000-0000-00002F1D0000}"/>
    <cellStyle name="Normal 8 3 10" xfId="4860" xr:uid="{00000000-0005-0000-0000-0000301D0000}"/>
    <cellStyle name="Normal 8 3 10 2" xfId="13310" xr:uid="{033C0046-30C9-48CA-A1FD-BCF8AF963512}"/>
    <cellStyle name="Normal 8 3 11" xfId="9092" xr:uid="{DEB90233-F620-4068-B185-22407803E10C}"/>
    <cellStyle name="Normal 8 3 2" xfId="496" xr:uid="{00000000-0005-0000-0000-0000311D0000}"/>
    <cellStyle name="Normal 8 3 2 10" xfId="9093" xr:uid="{B6A19862-F37A-4377-A4A0-69EB09793443}"/>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2 2 2" xfId="15871" xr:uid="{52F0AD67-B2D5-4C8F-ABCB-1C565C764B76}"/>
    <cellStyle name="Normal 8 3 2 2 2 2 2 3" xfId="11653" xr:uid="{8BCDF781-663A-47A3-946A-2E0B2B34DA40}"/>
    <cellStyle name="Normal 8 3 2 2 2 2 3" xfId="5276" xr:uid="{00000000-0005-0000-0000-0000371D0000}"/>
    <cellStyle name="Normal 8 3 2 2 2 2 3 2" xfId="13726" xr:uid="{D3AE0D29-13CF-464B-8D52-FDFB28836ACF}"/>
    <cellStyle name="Normal 8 3 2 2 2 2 4" xfId="9508" xr:uid="{34F49EF0-2189-4C9F-8E34-AC5067CF7BB1}"/>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2 2 2" xfId="16284" xr:uid="{89452594-F6E6-4FBB-9EA4-41EA151BE9BD}"/>
    <cellStyle name="Normal 8 3 2 2 2 3 2 3" xfId="12066" xr:uid="{772BEEA7-14C0-4F00-AFA8-4D5DA7ADE94F}"/>
    <cellStyle name="Normal 8 3 2 2 2 3 3" xfId="5689" xr:uid="{00000000-0005-0000-0000-00003B1D0000}"/>
    <cellStyle name="Normal 8 3 2 2 2 3 3 2" xfId="14139" xr:uid="{69837EE7-B593-4B7C-B540-2FDE88CA8074}"/>
    <cellStyle name="Normal 8 3 2 2 2 3 4" xfId="9921" xr:uid="{75EDE385-9277-4039-AA0C-B7092CEE0264}"/>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2 2 2" xfId="16697" xr:uid="{AB9AB8E4-7833-4B4E-99FC-F9D4D1AC89F0}"/>
    <cellStyle name="Normal 8 3 2 2 2 4 2 3" xfId="12479" xr:uid="{C440C043-C941-4B20-9EE7-57E0CFDF9ACF}"/>
    <cellStyle name="Normal 8 3 2 2 2 4 3" xfId="6102" xr:uid="{00000000-0005-0000-0000-00003F1D0000}"/>
    <cellStyle name="Normal 8 3 2 2 2 4 3 2" xfId="14552" xr:uid="{ADDBD664-BFEE-4593-AC84-FFDB96F8EE34}"/>
    <cellStyle name="Normal 8 3 2 2 2 4 4" xfId="10334" xr:uid="{C1EF2AD0-0426-41FF-88FC-3F8A6B0D60FD}"/>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2 2 2" xfId="17110" xr:uid="{CBD541D7-3307-40EF-A65E-F43C7287F350}"/>
    <cellStyle name="Normal 8 3 2 2 2 5 2 3" xfId="12892" xr:uid="{963957AE-68DC-40D9-B6BB-29206C6008E7}"/>
    <cellStyle name="Normal 8 3 2 2 2 5 3" xfId="6515" xr:uid="{00000000-0005-0000-0000-0000431D0000}"/>
    <cellStyle name="Normal 8 3 2 2 2 5 3 2" xfId="14965" xr:uid="{50F2A54F-781E-4398-AAE5-F5B27D1244FA}"/>
    <cellStyle name="Normal 8 3 2 2 2 5 4" xfId="10747" xr:uid="{DD033B15-73F8-48AC-896D-091F3038AE97}"/>
    <cellStyle name="Normal 8 3 2 2 2 6" xfId="2645" xr:uid="{00000000-0005-0000-0000-0000441D0000}"/>
    <cellStyle name="Normal 8 3 2 2 2 6 2" xfId="6928" xr:uid="{00000000-0005-0000-0000-0000451D0000}"/>
    <cellStyle name="Normal 8 3 2 2 2 6 2 2" xfId="15378" xr:uid="{F1F91FA7-F42F-41B4-BFE9-1F71A01E1D50}"/>
    <cellStyle name="Normal 8 3 2 2 2 6 3" xfId="11160" xr:uid="{7D8F75F3-4BBB-43F1-A5DE-EE372A4F7DB2}"/>
    <cellStyle name="Normal 8 3 2 2 2 7" xfId="4863" xr:uid="{00000000-0005-0000-0000-0000461D0000}"/>
    <cellStyle name="Normal 8 3 2 2 2 7 2" xfId="13313" xr:uid="{4435ADD3-193A-4872-A2EE-B2D440FDA180}"/>
    <cellStyle name="Normal 8 3 2 2 2 8" xfId="9095" xr:uid="{EF6C4AE5-70DB-4237-A10F-96DB680A2CE9}"/>
    <cellStyle name="Normal 8 3 2 2 3" xfId="964" xr:uid="{00000000-0005-0000-0000-0000471D0000}"/>
    <cellStyle name="Normal 8 3 2 2 3 2" xfId="3198" xr:uid="{00000000-0005-0000-0000-0000481D0000}"/>
    <cellStyle name="Normal 8 3 2 2 3 2 2" xfId="7420" xr:uid="{00000000-0005-0000-0000-0000491D0000}"/>
    <cellStyle name="Normal 8 3 2 2 3 2 2 2" xfId="15870" xr:uid="{34C7DB74-F4EF-40BA-81AE-D988692F4A8D}"/>
    <cellStyle name="Normal 8 3 2 2 3 2 3" xfId="11652" xr:uid="{EFBE5A1F-0589-4BBA-9C10-3B1A8759EBB6}"/>
    <cellStyle name="Normal 8 3 2 2 3 3" xfId="5275" xr:uid="{00000000-0005-0000-0000-00004A1D0000}"/>
    <cellStyle name="Normal 8 3 2 2 3 3 2" xfId="13725" xr:uid="{B58E43C1-C992-4E14-A9CF-934D603F36C3}"/>
    <cellStyle name="Normal 8 3 2 2 3 4" xfId="9507" xr:uid="{DC919A4C-004E-476E-B213-E632C5CB60CD}"/>
    <cellStyle name="Normal 8 3 2 2 4" xfId="1381" xr:uid="{00000000-0005-0000-0000-00004B1D0000}"/>
    <cellStyle name="Normal 8 3 2 2 4 2" xfId="3611" xr:uid="{00000000-0005-0000-0000-00004C1D0000}"/>
    <cellStyle name="Normal 8 3 2 2 4 2 2" xfId="7833" xr:uid="{00000000-0005-0000-0000-00004D1D0000}"/>
    <cellStyle name="Normal 8 3 2 2 4 2 2 2" xfId="16283" xr:uid="{2FD75679-C2EE-41F8-9125-D5EBFA5EEE39}"/>
    <cellStyle name="Normal 8 3 2 2 4 2 3" xfId="12065" xr:uid="{B00C794D-3484-457E-8182-DC568E05B8E1}"/>
    <cellStyle name="Normal 8 3 2 2 4 3" xfId="5688" xr:uid="{00000000-0005-0000-0000-00004E1D0000}"/>
    <cellStyle name="Normal 8 3 2 2 4 3 2" xfId="14138" xr:uid="{B029E8D3-CA5B-4077-ABF6-D21755EF907A}"/>
    <cellStyle name="Normal 8 3 2 2 4 4" xfId="9920" xr:uid="{6B82405D-671B-4FB2-8FA7-F6FD8955BC99}"/>
    <cellStyle name="Normal 8 3 2 2 5" xfId="1794" xr:uid="{00000000-0005-0000-0000-00004F1D0000}"/>
    <cellStyle name="Normal 8 3 2 2 5 2" xfId="4024" xr:uid="{00000000-0005-0000-0000-0000501D0000}"/>
    <cellStyle name="Normal 8 3 2 2 5 2 2" xfId="8246" xr:uid="{00000000-0005-0000-0000-0000511D0000}"/>
    <cellStyle name="Normal 8 3 2 2 5 2 2 2" xfId="16696" xr:uid="{4F67F157-ED5B-49AB-AE83-202692EC2362}"/>
    <cellStyle name="Normal 8 3 2 2 5 2 3" xfId="12478" xr:uid="{7A2AB080-641A-4ED2-A718-6DF9AD3365F6}"/>
    <cellStyle name="Normal 8 3 2 2 5 3" xfId="6101" xr:uid="{00000000-0005-0000-0000-0000521D0000}"/>
    <cellStyle name="Normal 8 3 2 2 5 3 2" xfId="14551" xr:uid="{E1277908-64C5-434D-BD35-5B676FBEBF74}"/>
    <cellStyle name="Normal 8 3 2 2 5 4" xfId="10333" xr:uid="{922C1493-BDC7-4705-8707-7199102C7AEE}"/>
    <cellStyle name="Normal 8 3 2 2 6" xfId="2208" xr:uid="{00000000-0005-0000-0000-0000531D0000}"/>
    <cellStyle name="Normal 8 3 2 2 6 2" xfId="4437" xr:uid="{00000000-0005-0000-0000-0000541D0000}"/>
    <cellStyle name="Normal 8 3 2 2 6 2 2" xfId="8659" xr:uid="{00000000-0005-0000-0000-0000551D0000}"/>
    <cellStyle name="Normal 8 3 2 2 6 2 2 2" xfId="17109" xr:uid="{5BDC89AD-D12A-41FA-ABA3-7C5F5F3A212B}"/>
    <cellStyle name="Normal 8 3 2 2 6 2 3" xfId="12891" xr:uid="{D8E98AC8-A89F-4AF1-B3A0-A7F475585286}"/>
    <cellStyle name="Normal 8 3 2 2 6 3" xfId="6514" xr:uid="{00000000-0005-0000-0000-0000561D0000}"/>
    <cellStyle name="Normal 8 3 2 2 6 3 2" xfId="14964" xr:uid="{964BBF67-6D08-4702-BB15-A8917B74A0FF}"/>
    <cellStyle name="Normal 8 3 2 2 6 4" xfId="10746" xr:uid="{93579010-1340-46DB-89D2-F2A0907535B6}"/>
    <cellStyle name="Normal 8 3 2 2 7" xfId="2644" xr:uid="{00000000-0005-0000-0000-0000571D0000}"/>
    <cellStyle name="Normal 8 3 2 2 7 2" xfId="6927" xr:uid="{00000000-0005-0000-0000-0000581D0000}"/>
    <cellStyle name="Normal 8 3 2 2 7 2 2" xfId="15377" xr:uid="{37CCF561-4B25-40E4-8264-8C9CB9F64A76}"/>
    <cellStyle name="Normal 8 3 2 2 7 3" xfId="11159" xr:uid="{B5922827-9BBD-443E-97C4-18356A0B6325}"/>
    <cellStyle name="Normal 8 3 2 2 8" xfId="4862" xr:uid="{00000000-0005-0000-0000-0000591D0000}"/>
    <cellStyle name="Normal 8 3 2 2 8 2" xfId="13312" xr:uid="{8A4A0F62-990E-424D-9160-C1F64D43A608}"/>
    <cellStyle name="Normal 8 3 2 2 9" xfId="9094" xr:uid="{DC45D36B-5F79-49E2-990C-B6E62E13B512}"/>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2 2 2" xfId="15872" xr:uid="{A48C3910-F395-4F7C-BFE9-8F2CE5E9B82A}"/>
    <cellStyle name="Normal 8 3 2 3 2 2 3" xfId="11654" xr:uid="{148273A4-A4E5-4477-A384-8D5B56EFEE84}"/>
    <cellStyle name="Normal 8 3 2 3 2 3" xfId="5277" xr:uid="{00000000-0005-0000-0000-00005E1D0000}"/>
    <cellStyle name="Normal 8 3 2 3 2 3 2" xfId="13727" xr:uid="{9D619C84-866F-4027-8974-1A2F0208B15E}"/>
    <cellStyle name="Normal 8 3 2 3 2 4" xfId="9509" xr:uid="{E2A7F373-39ED-449F-A1EB-429DD3325467}"/>
    <cellStyle name="Normal 8 3 2 3 3" xfId="1383" xr:uid="{00000000-0005-0000-0000-00005F1D0000}"/>
    <cellStyle name="Normal 8 3 2 3 3 2" xfId="3613" xr:uid="{00000000-0005-0000-0000-0000601D0000}"/>
    <cellStyle name="Normal 8 3 2 3 3 2 2" xfId="7835" xr:uid="{00000000-0005-0000-0000-0000611D0000}"/>
    <cellStyle name="Normal 8 3 2 3 3 2 2 2" xfId="16285" xr:uid="{2F1CFEDE-81D6-4EFF-AB41-A480FD523991}"/>
    <cellStyle name="Normal 8 3 2 3 3 2 3" xfId="12067" xr:uid="{B36A2B38-3947-42D0-9F67-279FB6AA4E81}"/>
    <cellStyle name="Normal 8 3 2 3 3 3" xfId="5690" xr:uid="{00000000-0005-0000-0000-0000621D0000}"/>
    <cellStyle name="Normal 8 3 2 3 3 3 2" xfId="14140" xr:uid="{5284917A-E163-4B06-934A-B3BD896CA4D2}"/>
    <cellStyle name="Normal 8 3 2 3 3 4" xfId="9922" xr:uid="{859C4AC3-7599-44A4-A884-508B08634B28}"/>
    <cellStyle name="Normal 8 3 2 3 4" xfId="1796" xr:uid="{00000000-0005-0000-0000-0000631D0000}"/>
    <cellStyle name="Normal 8 3 2 3 4 2" xfId="4026" xr:uid="{00000000-0005-0000-0000-0000641D0000}"/>
    <cellStyle name="Normal 8 3 2 3 4 2 2" xfId="8248" xr:uid="{00000000-0005-0000-0000-0000651D0000}"/>
    <cellStyle name="Normal 8 3 2 3 4 2 2 2" xfId="16698" xr:uid="{C2E73293-09AC-4799-94D3-9FB7D0D0919C}"/>
    <cellStyle name="Normal 8 3 2 3 4 2 3" xfId="12480" xr:uid="{BAF616A0-F1C5-4C0F-9DAE-70EB8D49706A}"/>
    <cellStyle name="Normal 8 3 2 3 4 3" xfId="6103" xr:uid="{00000000-0005-0000-0000-0000661D0000}"/>
    <cellStyle name="Normal 8 3 2 3 4 3 2" xfId="14553" xr:uid="{B915415D-53D6-4753-A979-22C214BB4963}"/>
    <cellStyle name="Normal 8 3 2 3 4 4" xfId="10335" xr:uid="{43B25668-0676-426E-905B-FC8444BE536E}"/>
    <cellStyle name="Normal 8 3 2 3 5" xfId="2210" xr:uid="{00000000-0005-0000-0000-0000671D0000}"/>
    <cellStyle name="Normal 8 3 2 3 5 2" xfId="4439" xr:uid="{00000000-0005-0000-0000-0000681D0000}"/>
    <cellStyle name="Normal 8 3 2 3 5 2 2" xfId="8661" xr:uid="{00000000-0005-0000-0000-0000691D0000}"/>
    <cellStyle name="Normal 8 3 2 3 5 2 2 2" xfId="17111" xr:uid="{AE46F64B-2625-4B4E-A514-33C170C6745A}"/>
    <cellStyle name="Normal 8 3 2 3 5 2 3" xfId="12893" xr:uid="{382338F8-606A-42B6-8B9F-A54745231E67}"/>
    <cellStyle name="Normal 8 3 2 3 5 3" xfId="6516" xr:uid="{00000000-0005-0000-0000-00006A1D0000}"/>
    <cellStyle name="Normal 8 3 2 3 5 3 2" xfId="14966" xr:uid="{08DB6BE5-A7A8-44B3-9C92-A50C3BF7E3C3}"/>
    <cellStyle name="Normal 8 3 2 3 5 4" xfId="10748" xr:uid="{2DACBDA6-C2B8-4139-9AD5-4A8EBA3A6BBF}"/>
    <cellStyle name="Normal 8 3 2 3 6" xfId="2646" xr:uid="{00000000-0005-0000-0000-00006B1D0000}"/>
    <cellStyle name="Normal 8 3 2 3 6 2" xfId="6929" xr:uid="{00000000-0005-0000-0000-00006C1D0000}"/>
    <cellStyle name="Normal 8 3 2 3 6 2 2" xfId="15379" xr:uid="{3A8F8C07-BB8B-48AD-A58B-0364AC675FF9}"/>
    <cellStyle name="Normal 8 3 2 3 6 3" xfId="11161" xr:uid="{12279957-BD74-497D-9A78-F2248B0C9C85}"/>
    <cellStyle name="Normal 8 3 2 3 7" xfId="4864" xr:uid="{00000000-0005-0000-0000-00006D1D0000}"/>
    <cellStyle name="Normal 8 3 2 3 7 2" xfId="13314" xr:uid="{9CB1FFDA-1A1C-4D82-8182-EA974B4CC1C5}"/>
    <cellStyle name="Normal 8 3 2 3 8" xfId="9096" xr:uid="{1AD3DAC8-6E9D-4FB7-B6B9-7FC9EBAFD270}"/>
    <cellStyle name="Normal 8 3 2 4" xfId="963" xr:uid="{00000000-0005-0000-0000-00006E1D0000}"/>
    <cellStyle name="Normal 8 3 2 4 2" xfId="3197" xr:uid="{00000000-0005-0000-0000-00006F1D0000}"/>
    <cellStyle name="Normal 8 3 2 4 2 2" xfId="7419" xr:uid="{00000000-0005-0000-0000-0000701D0000}"/>
    <cellStyle name="Normal 8 3 2 4 2 2 2" xfId="15869" xr:uid="{9A8AB82F-ACF3-4A8A-BA43-9A3EA8917FBC}"/>
    <cellStyle name="Normal 8 3 2 4 2 3" xfId="11651" xr:uid="{211311EB-B582-4018-84E5-2D2A9DEF6567}"/>
    <cellStyle name="Normal 8 3 2 4 3" xfId="5274" xr:uid="{00000000-0005-0000-0000-0000711D0000}"/>
    <cellStyle name="Normal 8 3 2 4 3 2" xfId="13724" xr:uid="{E3605E78-F33A-4DE8-BC70-51634B27CBDF}"/>
    <cellStyle name="Normal 8 3 2 4 4" xfId="9506" xr:uid="{7BD27BF1-703F-4EDC-83E1-8210FE77B255}"/>
    <cellStyle name="Normal 8 3 2 5" xfId="1380" xr:uid="{00000000-0005-0000-0000-0000721D0000}"/>
    <cellStyle name="Normal 8 3 2 5 2" xfId="3610" xr:uid="{00000000-0005-0000-0000-0000731D0000}"/>
    <cellStyle name="Normal 8 3 2 5 2 2" xfId="7832" xr:uid="{00000000-0005-0000-0000-0000741D0000}"/>
    <cellStyle name="Normal 8 3 2 5 2 2 2" xfId="16282" xr:uid="{5B3A1201-A4C5-468D-8DA8-519720A51783}"/>
    <cellStyle name="Normal 8 3 2 5 2 3" xfId="12064" xr:uid="{E1055FC9-474F-41EA-A324-1CB975ADEA4B}"/>
    <cellStyle name="Normal 8 3 2 5 3" xfId="5687" xr:uid="{00000000-0005-0000-0000-0000751D0000}"/>
    <cellStyle name="Normal 8 3 2 5 3 2" xfId="14137" xr:uid="{32E1062F-34F7-4562-A51D-2E79C0C888CA}"/>
    <cellStyle name="Normal 8 3 2 5 4" xfId="9919" xr:uid="{C44980D2-7F9B-44B0-9F7C-3BFDD0B22E55}"/>
    <cellStyle name="Normal 8 3 2 6" xfId="1793" xr:uid="{00000000-0005-0000-0000-0000761D0000}"/>
    <cellStyle name="Normal 8 3 2 6 2" xfId="4023" xr:uid="{00000000-0005-0000-0000-0000771D0000}"/>
    <cellStyle name="Normal 8 3 2 6 2 2" xfId="8245" xr:uid="{00000000-0005-0000-0000-0000781D0000}"/>
    <cellStyle name="Normal 8 3 2 6 2 2 2" xfId="16695" xr:uid="{6310EA13-AA3C-4306-A801-DED8D62B0F2B}"/>
    <cellStyle name="Normal 8 3 2 6 2 3" xfId="12477" xr:uid="{28758AF9-CE87-4639-8080-150774E824DB}"/>
    <cellStyle name="Normal 8 3 2 6 3" xfId="6100" xr:uid="{00000000-0005-0000-0000-0000791D0000}"/>
    <cellStyle name="Normal 8 3 2 6 3 2" xfId="14550" xr:uid="{CC013D6F-77A9-43A5-906C-0BF554A14420}"/>
    <cellStyle name="Normal 8 3 2 6 4" xfId="10332" xr:uid="{B1993771-947C-4125-A885-6993CDF0C08B}"/>
    <cellStyle name="Normal 8 3 2 7" xfId="2207" xr:uid="{00000000-0005-0000-0000-00007A1D0000}"/>
    <cellStyle name="Normal 8 3 2 7 2" xfId="4436" xr:uid="{00000000-0005-0000-0000-00007B1D0000}"/>
    <cellStyle name="Normal 8 3 2 7 2 2" xfId="8658" xr:uid="{00000000-0005-0000-0000-00007C1D0000}"/>
    <cellStyle name="Normal 8 3 2 7 2 2 2" xfId="17108" xr:uid="{ABB690B8-C6A1-4D7D-84CC-C74B22EC6915}"/>
    <cellStyle name="Normal 8 3 2 7 2 3" xfId="12890" xr:uid="{3607ED67-3244-4BD2-A503-B9E6AA7D2F6E}"/>
    <cellStyle name="Normal 8 3 2 7 3" xfId="6513" xr:uid="{00000000-0005-0000-0000-00007D1D0000}"/>
    <cellStyle name="Normal 8 3 2 7 3 2" xfId="14963" xr:uid="{C2ECA1D9-189C-4222-9021-55876476EB6D}"/>
    <cellStyle name="Normal 8 3 2 7 4" xfId="10745" xr:uid="{82720153-C335-4A75-B57D-DCD7EBA5F18E}"/>
    <cellStyle name="Normal 8 3 2 8" xfId="2643" xr:uid="{00000000-0005-0000-0000-00007E1D0000}"/>
    <cellStyle name="Normal 8 3 2 8 2" xfId="6926" xr:uid="{00000000-0005-0000-0000-00007F1D0000}"/>
    <cellStyle name="Normal 8 3 2 8 2 2" xfId="15376" xr:uid="{D7B87BD1-6965-4F37-A199-1E5998C7295A}"/>
    <cellStyle name="Normal 8 3 2 8 3" xfId="11158" xr:uid="{D45677E8-4264-4E3A-9A0A-C7806B9EC4DE}"/>
    <cellStyle name="Normal 8 3 2 9" xfId="4861" xr:uid="{00000000-0005-0000-0000-0000801D0000}"/>
    <cellStyle name="Normal 8 3 2 9 2" xfId="13311" xr:uid="{DE04BEE0-728B-4C58-AB90-A70C8686B9B2}"/>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2 2 2" xfId="15874" xr:uid="{04F20581-9774-4973-BF38-559618A990AC}"/>
    <cellStyle name="Normal 8 3 3 2 2 2 3" xfId="11656" xr:uid="{7034742D-12B7-48C7-AB24-8BE561A02935}"/>
    <cellStyle name="Normal 8 3 3 2 2 3" xfId="5279" xr:uid="{00000000-0005-0000-0000-0000861D0000}"/>
    <cellStyle name="Normal 8 3 3 2 2 3 2" xfId="13729" xr:uid="{FBE7DF28-F649-44E7-AA79-FB1631914162}"/>
    <cellStyle name="Normal 8 3 3 2 2 4" xfId="9511" xr:uid="{AE683563-215A-439A-A63A-550E69188A2B}"/>
    <cellStyle name="Normal 8 3 3 2 3" xfId="1385" xr:uid="{00000000-0005-0000-0000-0000871D0000}"/>
    <cellStyle name="Normal 8 3 3 2 3 2" xfId="3615" xr:uid="{00000000-0005-0000-0000-0000881D0000}"/>
    <cellStyle name="Normal 8 3 3 2 3 2 2" xfId="7837" xr:uid="{00000000-0005-0000-0000-0000891D0000}"/>
    <cellStyle name="Normal 8 3 3 2 3 2 2 2" xfId="16287" xr:uid="{872640CB-EBD3-47C0-960B-FD2BD08E9127}"/>
    <cellStyle name="Normal 8 3 3 2 3 2 3" xfId="12069" xr:uid="{34F2EA75-8A6A-4234-B007-5E4D30654C3F}"/>
    <cellStyle name="Normal 8 3 3 2 3 3" xfId="5692" xr:uid="{00000000-0005-0000-0000-00008A1D0000}"/>
    <cellStyle name="Normal 8 3 3 2 3 3 2" xfId="14142" xr:uid="{45F06932-716C-4755-9173-289FBD8CD6DB}"/>
    <cellStyle name="Normal 8 3 3 2 3 4" xfId="9924" xr:uid="{D69D263B-1C98-469E-A016-4B7294541B92}"/>
    <cellStyle name="Normal 8 3 3 2 4" xfId="1798" xr:uid="{00000000-0005-0000-0000-00008B1D0000}"/>
    <cellStyle name="Normal 8 3 3 2 4 2" xfId="4028" xr:uid="{00000000-0005-0000-0000-00008C1D0000}"/>
    <cellStyle name="Normal 8 3 3 2 4 2 2" xfId="8250" xr:uid="{00000000-0005-0000-0000-00008D1D0000}"/>
    <cellStyle name="Normal 8 3 3 2 4 2 2 2" xfId="16700" xr:uid="{D0B3D8D8-7E5E-456C-99E8-D1E3AA8E6BD2}"/>
    <cellStyle name="Normal 8 3 3 2 4 2 3" xfId="12482" xr:uid="{1BB00C55-C473-4437-956C-CBF5817593C5}"/>
    <cellStyle name="Normal 8 3 3 2 4 3" xfId="6105" xr:uid="{00000000-0005-0000-0000-00008E1D0000}"/>
    <cellStyle name="Normal 8 3 3 2 4 3 2" xfId="14555" xr:uid="{20A0FB07-C0C9-4DDF-9976-CB5B46BE2FA3}"/>
    <cellStyle name="Normal 8 3 3 2 4 4" xfId="10337" xr:uid="{DD7E2FC3-51D8-435C-A89F-23925BA42874}"/>
    <cellStyle name="Normal 8 3 3 2 5" xfId="2212" xr:uid="{00000000-0005-0000-0000-00008F1D0000}"/>
    <cellStyle name="Normal 8 3 3 2 5 2" xfId="4441" xr:uid="{00000000-0005-0000-0000-0000901D0000}"/>
    <cellStyle name="Normal 8 3 3 2 5 2 2" xfId="8663" xr:uid="{00000000-0005-0000-0000-0000911D0000}"/>
    <cellStyle name="Normal 8 3 3 2 5 2 2 2" xfId="17113" xr:uid="{0DD572D4-A14E-41FE-A33E-FC3B671C5EB5}"/>
    <cellStyle name="Normal 8 3 3 2 5 2 3" xfId="12895" xr:uid="{5D37874E-0ABB-4834-8706-85BE506875BD}"/>
    <cellStyle name="Normal 8 3 3 2 5 3" xfId="6518" xr:uid="{00000000-0005-0000-0000-0000921D0000}"/>
    <cellStyle name="Normal 8 3 3 2 5 3 2" xfId="14968" xr:uid="{92CDFCB4-E901-42BF-B847-1DA3F2106B7B}"/>
    <cellStyle name="Normal 8 3 3 2 5 4" xfId="10750" xr:uid="{9C7A0D4A-DD28-4E93-8A49-6D43E53CE046}"/>
    <cellStyle name="Normal 8 3 3 2 6" xfId="2648" xr:uid="{00000000-0005-0000-0000-0000931D0000}"/>
    <cellStyle name="Normal 8 3 3 2 6 2" xfId="6931" xr:uid="{00000000-0005-0000-0000-0000941D0000}"/>
    <cellStyle name="Normal 8 3 3 2 6 2 2" xfId="15381" xr:uid="{37E56978-54E9-412F-BB67-44796BFA09A4}"/>
    <cellStyle name="Normal 8 3 3 2 6 3" xfId="11163" xr:uid="{DCB1B4F5-3B9D-4E9A-951A-A447FC678982}"/>
    <cellStyle name="Normal 8 3 3 2 7" xfId="4866" xr:uid="{00000000-0005-0000-0000-0000951D0000}"/>
    <cellStyle name="Normal 8 3 3 2 7 2" xfId="13316" xr:uid="{CC7FCEDB-1BC5-4A60-97DC-8EB95F66FEE8}"/>
    <cellStyle name="Normal 8 3 3 2 8" xfId="9098" xr:uid="{BC4D5640-E4A0-4570-9CDF-6C843D75FF03}"/>
    <cellStyle name="Normal 8 3 3 3" xfId="967" xr:uid="{00000000-0005-0000-0000-0000961D0000}"/>
    <cellStyle name="Normal 8 3 3 3 2" xfId="3201" xr:uid="{00000000-0005-0000-0000-0000971D0000}"/>
    <cellStyle name="Normal 8 3 3 3 2 2" xfId="7423" xr:uid="{00000000-0005-0000-0000-0000981D0000}"/>
    <cellStyle name="Normal 8 3 3 3 2 2 2" xfId="15873" xr:uid="{4E98917B-3E66-4CEF-ABFB-D17405E40404}"/>
    <cellStyle name="Normal 8 3 3 3 2 3" xfId="11655" xr:uid="{9608068F-86BE-49C0-8D3F-C42051D1D16E}"/>
    <cellStyle name="Normal 8 3 3 3 3" xfId="5278" xr:uid="{00000000-0005-0000-0000-0000991D0000}"/>
    <cellStyle name="Normal 8 3 3 3 3 2" xfId="13728" xr:uid="{0D470739-F2E3-4E80-98C3-F8B9AFB69C2A}"/>
    <cellStyle name="Normal 8 3 3 3 4" xfId="9510" xr:uid="{1CFABE97-9FF5-4452-99F8-4D6FC0587776}"/>
    <cellStyle name="Normal 8 3 3 4" xfId="1384" xr:uid="{00000000-0005-0000-0000-00009A1D0000}"/>
    <cellStyle name="Normal 8 3 3 4 2" xfId="3614" xr:uid="{00000000-0005-0000-0000-00009B1D0000}"/>
    <cellStyle name="Normal 8 3 3 4 2 2" xfId="7836" xr:uid="{00000000-0005-0000-0000-00009C1D0000}"/>
    <cellStyle name="Normal 8 3 3 4 2 2 2" xfId="16286" xr:uid="{DFB85EF6-7B9F-4D50-BE9D-8A8450DBD59F}"/>
    <cellStyle name="Normal 8 3 3 4 2 3" xfId="12068" xr:uid="{E9C05C6D-231D-42DA-B3FE-9308D28AFAE5}"/>
    <cellStyle name="Normal 8 3 3 4 3" xfId="5691" xr:uid="{00000000-0005-0000-0000-00009D1D0000}"/>
    <cellStyle name="Normal 8 3 3 4 3 2" xfId="14141" xr:uid="{5458FE25-B3B9-49A7-BCEA-0373017E0596}"/>
    <cellStyle name="Normal 8 3 3 4 4" xfId="9923" xr:uid="{0ED1C4E6-ED6A-4A0A-B533-4D681DB725DA}"/>
    <cellStyle name="Normal 8 3 3 5" xfId="1797" xr:uid="{00000000-0005-0000-0000-00009E1D0000}"/>
    <cellStyle name="Normal 8 3 3 5 2" xfId="4027" xr:uid="{00000000-0005-0000-0000-00009F1D0000}"/>
    <cellStyle name="Normal 8 3 3 5 2 2" xfId="8249" xr:uid="{00000000-0005-0000-0000-0000A01D0000}"/>
    <cellStyle name="Normal 8 3 3 5 2 2 2" xfId="16699" xr:uid="{B404240B-4364-428C-BD2A-FFC6AAF830E9}"/>
    <cellStyle name="Normal 8 3 3 5 2 3" xfId="12481" xr:uid="{5E03EC86-AA58-4621-A285-EF7D05663687}"/>
    <cellStyle name="Normal 8 3 3 5 3" xfId="6104" xr:uid="{00000000-0005-0000-0000-0000A11D0000}"/>
    <cellStyle name="Normal 8 3 3 5 3 2" xfId="14554" xr:uid="{360CFFCB-B815-43E3-900F-B1E4B5633FC5}"/>
    <cellStyle name="Normal 8 3 3 5 4" xfId="10336" xr:uid="{5B30B853-2DF9-4D6F-AD14-303708404E36}"/>
    <cellStyle name="Normal 8 3 3 6" xfId="2211" xr:uid="{00000000-0005-0000-0000-0000A21D0000}"/>
    <cellStyle name="Normal 8 3 3 6 2" xfId="4440" xr:uid="{00000000-0005-0000-0000-0000A31D0000}"/>
    <cellStyle name="Normal 8 3 3 6 2 2" xfId="8662" xr:uid="{00000000-0005-0000-0000-0000A41D0000}"/>
    <cellStyle name="Normal 8 3 3 6 2 2 2" xfId="17112" xr:uid="{C97F2284-A6C8-42F2-BB13-940D5A09942E}"/>
    <cellStyle name="Normal 8 3 3 6 2 3" xfId="12894" xr:uid="{5B3F543D-3D29-4E2A-8A2B-3FD3BE745EDB}"/>
    <cellStyle name="Normal 8 3 3 6 3" xfId="6517" xr:uid="{00000000-0005-0000-0000-0000A51D0000}"/>
    <cellStyle name="Normal 8 3 3 6 3 2" xfId="14967" xr:uid="{D0BF4AF6-7DCB-45F0-807A-02414E7911DA}"/>
    <cellStyle name="Normal 8 3 3 6 4" xfId="10749" xr:uid="{5CD0AD40-5032-49C7-81B8-F40FA9D4FA55}"/>
    <cellStyle name="Normal 8 3 3 7" xfId="2647" xr:uid="{00000000-0005-0000-0000-0000A61D0000}"/>
    <cellStyle name="Normal 8 3 3 7 2" xfId="6930" xr:uid="{00000000-0005-0000-0000-0000A71D0000}"/>
    <cellStyle name="Normal 8 3 3 7 2 2" xfId="15380" xr:uid="{515CC6C3-F815-4A90-9991-1A8111CF5370}"/>
    <cellStyle name="Normal 8 3 3 7 3" xfId="11162" xr:uid="{8645560C-6A61-4EAE-8B02-7C72185F451C}"/>
    <cellStyle name="Normal 8 3 3 8" xfId="4865" xr:uid="{00000000-0005-0000-0000-0000A81D0000}"/>
    <cellStyle name="Normal 8 3 3 8 2" xfId="13315" xr:uid="{D974554A-B39B-4173-8DDE-E67C799BD6E3}"/>
    <cellStyle name="Normal 8 3 3 9" xfId="9097" xr:uid="{E5DB51D0-6881-445F-97DF-B06CC737B81E}"/>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2 2 2" xfId="15875" xr:uid="{57467472-89D6-41A2-98A5-1F5C7DD4F2D0}"/>
    <cellStyle name="Normal 8 3 4 2 2 3" xfId="11657" xr:uid="{A0F0E3B9-D760-4083-BF54-62E479EB17C1}"/>
    <cellStyle name="Normal 8 3 4 2 3" xfId="5280" xr:uid="{00000000-0005-0000-0000-0000AD1D0000}"/>
    <cellStyle name="Normal 8 3 4 2 3 2" xfId="13730" xr:uid="{D2DC1788-4BA2-4ED3-B2DA-E853B86D03AE}"/>
    <cellStyle name="Normal 8 3 4 2 4" xfId="9512" xr:uid="{961BC751-4EA5-4DDC-B38F-3051D7762F54}"/>
    <cellStyle name="Normal 8 3 4 3" xfId="1386" xr:uid="{00000000-0005-0000-0000-0000AE1D0000}"/>
    <cellStyle name="Normal 8 3 4 3 2" xfId="3616" xr:uid="{00000000-0005-0000-0000-0000AF1D0000}"/>
    <cellStyle name="Normal 8 3 4 3 2 2" xfId="7838" xr:uid="{00000000-0005-0000-0000-0000B01D0000}"/>
    <cellStyle name="Normal 8 3 4 3 2 2 2" xfId="16288" xr:uid="{0301F6BD-CFE1-4221-A3D8-679BA822DADE}"/>
    <cellStyle name="Normal 8 3 4 3 2 3" xfId="12070" xr:uid="{80AAF68F-F59D-46DB-AA10-D360A9E57083}"/>
    <cellStyle name="Normal 8 3 4 3 3" xfId="5693" xr:uid="{00000000-0005-0000-0000-0000B11D0000}"/>
    <cellStyle name="Normal 8 3 4 3 3 2" xfId="14143" xr:uid="{38CB9B6C-68A0-40C7-ABE0-B6951918AD2C}"/>
    <cellStyle name="Normal 8 3 4 3 4" xfId="9925" xr:uid="{6B172EE9-C4EE-439F-97F8-75202C942831}"/>
    <cellStyle name="Normal 8 3 4 4" xfId="1799" xr:uid="{00000000-0005-0000-0000-0000B21D0000}"/>
    <cellStyle name="Normal 8 3 4 4 2" xfId="4029" xr:uid="{00000000-0005-0000-0000-0000B31D0000}"/>
    <cellStyle name="Normal 8 3 4 4 2 2" xfId="8251" xr:uid="{00000000-0005-0000-0000-0000B41D0000}"/>
    <cellStyle name="Normal 8 3 4 4 2 2 2" xfId="16701" xr:uid="{AAA15E90-5E65-45D1-95DF-AF8B696C9B4D}"/>
    <cellStyle name="Normal 8 3 4 4 2 3" xfId="12483" xr:uid="{6D22DE47-A80B-4CD5-B072-BB2EB0A5FBD6}"/>
    <cellStyle name="Normal 8 3 4 4 3" xfId="6106" xr:uid="{00000000-0005-0000-0000-0000B51D0000}"/>
    <cellStyle name="Normal 8 3 4 4 3 2" xfId="14556" xr:uid="{56E9D73C-E106-47CC-A93F-881133F62C16}"/>
    <cellStyle name="Normal 8 3 4 4 4" xfId="10338" xr:uid="{D9F58E27-3C7B-44FC-9C61-BE71E33EF0A8}"/>
    <cellStyle name="Normal 8 3 4 5" xfId="2213" xr:uid="{00000000-0005-0000-0000-0000B61D0000}"/>
    <cellStyle name="Normal 8 3 4 5 2" xfId="4442" xr:uid="{00000000-0005-0000-0000-0000B71D0000}"/>
    <cellStyle name="Normal 8 3 4 5 2 2" xfId="8664" xr:uid="{00000000-0005-0000-0000-0000B81D0000}"/>
    <cellStyle name="Normal 8 3 4 5 2 2 2" xfId="17114" xr:uid="{C5A262A7-024B-4439-BDF4-8A41CF5408D2}"/>
    <cellStyle name="Normal 8 3 4 5 2 3" xfId="12896" xr:uid="{88CA0274-1BB4-4DBF-B1A8-DBFC94DD42DB}"/>
    <cellStyle name="Normal 8 3 4 5 3" xfId="6519" xr:uid="{00000000-0005-0000-0000-0000B91D0000}"/>
    <cellStyle name="Normal 8 3 4 5 3 2" xfId="14969" xr:uid="{1DC5E4F7-6E2B-438A-8797-EB68E6804502}"/>
    <cellStyle name="Normal 8 3 4 5 4" xfId="10751" xr:uid="{BACBC81D-2B20-4B1C-BD1B-AF00B5CAEFA0}"/>
    <cellStyle name="Normal 8 3 4 6" xfId="2649" xr:uid="{00000000-0005-0000-0000-0000BA1D0000}"/>
    <cellStyle name="Normal 8 3 4 6 2" xfId="6932" xr:uid="{00000000-0005-0000-0000-0000BB1D0000}"/>
    <cellStyle name="Normal 8 3 4 6 2 2" xfId="15382" xr:uid="{D1EB5F46-FAC1-4FA9-BE61-56AD63518B93}"/>
    <cellStyle name="Normal 8 3 4 6 3" xfId="11164" xr:uid="{B2F1713C-EE4A-4BDA-B851-2CC6B8C416F6}"/>
    <cellStyle name="Normal 8 3 4 7" xfId="4867" xr:uid="{00000000-0005-0000-0000-0000BC1D0000}"/>
    <cellStyle name="Normal 8 3 4 7 2" xfId="13317" xr:uid="{7CA1694A-B072-482A-AF84-5C8B0B792BE4}"/>
    <cellStyle name="Normal 8 3 4 8" xfId="9099" xr:uid="{FFE1C08D-8A64-4CAB-AA1D-207B4B632648}"/>
    <cellStyle name="Normal 8 3 5" xfId="962" xr:uid="{00000000-0005-0000-0000-0000BD1D0000}"/>
    <cellStyle name="Normal 8 3 5 2" xfId="3196" xr:uid="{00000000-0005-0000-0000-0000BE1D0000}"/>
    <cellStyle name="Normal 8 3 5 2 2" xfId="7418" xr:uid="{00000000-0005-0000-0000-0000BF1D0000}"/>
    <cellStyle name="Normal 8 3 5 2 2 2" xfId="15868" xr:uid="{A4C257CD-88C3-4A8C-B066-0DCAD0D7AF82}"/>
    <cellStyle name="Normal 8 3 5 2 3" xfId="11650" xr:uid="{0C0311EC-56F5-4518-A521-B957845253FD}"/>
    <cellStyle name="Normal 8 3 5 3" xfId="5273" xr:uid="{00000000-0005-0000-0000-0000C01D0000}"/>
    <cellStyle name="Normal 8 3 5 3 2" xfId="13723" xr:uid="{EC340AA8-CAC0-421C-849F-61012799FA08}"/>
    <cellStyle name="Normal 8 3 5 4" xfId="9505" xr:uid="{557A77A5-18B4-4173-BCAC-317C852C5ECA}"/>
    <cellStyle name="Normal 8 3 6" xfId="1379" xr:uid="{00000000-0005-0000-0000-0000C11D0000}"/>
    <cellStyle name="Normal 8 3 6 2" xfId="3609" xr:uid="{00000000-0005-0000-0000-0000C21D0000}"/>
    <cellStyle name="Normal 8 3 6 2 2" xfId="7831" xr:uid="{00000000-0005-0000-0000-0000C31D0000}"/>
    <cellStyle name="Normal 8 3 6 2 2 2" xfId="16281" xr:uid="{9898EFA5-8FAA-4F4B-8C0D-D5286C78F4CB}"/>
    <cellStyle name="Normal 8 3 6 2 3" xfId="12063" xr:uid="{C73C3F5B-857F-4040-8E32-9B30E41E15BB}"/>
    <cellStyle name="Normal 8 3 6 3" xfId="5686" xr:uid="{00000000-0005-0000-0000-0000C41D0000}"/>
    <cellStyle name="Normal 8 3 6 3 2" xfId="14136" xr:uid="{0674C60C-76B0-460D-9982-4B4B7B65AF59}"/>
    <cellStyle name="Normal 8 3 6 4" xfId="9918" xr:uid="{F2E05971-C416-4E1A-8A75-522547C9599C}"/>
    <cellStyle name="Normal 8 3 7" xfId="1792" xr:uid="{00000000-0005-0000-0000-0000C51D0000}"/>
    <cellStyle name="Normal 8 3 7 2" xfId="4022" xr:uid="{00000000-0005-0000-0000-0000C61D0000}"/>
    <cellStyle name="Normal 8 3 7 2 2" xfId="8244" xr:uid="{00000000-0005-0000-0000-0000C71D0000}"/>
    <cellStyle name="Normal 8 3 7 2 2 2" xfId="16694" xr:uid="{E6271E62-B345-46E9-A3C1-86B3417C00CC}"/>
    <cellStyle name="Normal 8 3 7 2 3" xfId="12476" xr:uid="{B26C0448-74C5-4107-8A00-367C6EBCE6EA}"/>
    <cellStyle name="Normal 8 3 7 3" xfId="6099" xr:uid="{00000000-0005-0000-0000-0000C81D0000}"/>
    <cellStyle name="Normal 8 3 7 3 2" xfId="14549" xr:uid="{611C2275-38F9-4A38-95AC-425AEF50AAA3}"/>
    <cellStyle name="Normal 8 3 7 4" xfId="10331" xr:uid="{46F6C002-97F8-4C7D-B4B3-EC2D3302E2A8}"/>
    <cellStyle name="Normal 8 3 8" xfId="2206" xr:uid="{00000000-0005-0000-0000-0000C91D0000}"/>
    <cellStyle name="Normal 8 3 8 2" xfId="4435" xr:uid="{00000000-0005-0000-0000-0000CA1D0000}"/>
    <cellStyle name="Normal 8 3 8 2 2" xfId="8657" xr:uid="{00000000-0005-0000-0000-0000CB1D0000}"/>
    <cellStyle name="Normal 8 3 8 2 2 2" xfId="17107" xr:uid="{5C0FC8A7-971A-4C75-ACC7-B4E5E5D09D94}"/>
    <cellStyle name="Normal 8 3 8 2 3" xfId="12889" xr:uid="{539AF1F8-87D0-4554-9E79-B076EF72617C}"/>
    <cellStyle name="Normal 8 3 8 3" xfId="6512" xr:uid="{00000000-0005-0000-0000-0000CC1D0000}"/>
    <cellStyle name="Normal 8 3 8 3 2" xfId="14962" xr:uid="{4EB6729F-ABF3-4169-8A27-8B3456EDF069}"/>
    <cellStyle name="Normal 8 3 8 4" xfId="10744" xr:uid="{D0DD3B9C-3EDC-4633-8CDA-28492691FB11}"/>
    <cellStyle name="Normal 8 3 9" xfId="2642" xr:uid="{00000000-0005-0000-0000-0000CD1D0000}"/>
    <cellStyle name="Normal 8 3 9 2" xfId="6925" xr:uid="{00000000-0005-0000-0000-0000CE1D0000}"/>
    <cellStyle name="Normal 8 3 9 2 2" xfId="15375" xr:uid="{6BAFF211-1C2B-4582-A208-11CE0CA91E03}"/>
    <cellStyle name="Normal 8 3 9 3" xfId="11157" xr:uid="{0CBDF74E-17CD-486D-803E-972A20840FA9}"/>
    <cellStyle name="Normal 8 4" xfId="503" xr:uid="{00000000-0005-0000-0000-0000CF1D0000}"/>
    <cellStyle name="Normal 8 4 10" xfId="9100" xr:uid="{62990EB5-C88B-439E-932C-AD77AEB7A315}"/>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2 2 2" xfId="15878" xr:uid="{5AD909F1-BBC8-4AAD-84EE-49D25F59615B}"/>
    <cellStyle name="Normal 8 4 2 2 2 2 3" xfId="11660" xr:uid="{7FFCA0D5-17E5-451F-B7CF-2FB449364F76}"/>
    <cellStyle name="Normal 8 4 2 2 2 3" xfId="5283" xr:uid="{00000000-0005-0000-0000-0000D51D0000}"/>
    <cellStyle name="Normal 8 4 2 2 2 3 2" xfId="13733" xr:uid="{62BB41FD-983F-45EC-8BAE-707B68025537}"/>
    <cellStyle name="Normal 8 4 2 2 2 4" xfId="9515" xr:uid="{34FC101D-CD1A-4498-A56D-663C4E407C20}"/>
    <cellStyle name="Normal 8 4 2 2 3" xfId="1389" xr:uid="{00000000-0005-0000-0000-0000D61D0000}"/>
    <cellStyle name="Normal 8 4 2 2 3 2" xfId="3619" xr:uid="{00000000-0005-0000-0000-0000D71D0000}"/>
    <cellStyle name="Normal 8 4 2 2 3 2 2" xfId="7841" xr:uid="{00000000-0005-0000-0000-0000D81D0000}"/>
    <cellStyle name="Normal 8 4 2 2 3 2 2 2" xfId="16291" xr:uid="{3AF6959C-EFE0-41E9-AC1F-9C6154568874}"/>
    <cellStyle name="Normal 8 4 2 2 3 2 3" xfId="12073" xr:uid="{B1FE03EC-9106-40B9-AE93-F0FCEDFEF685}"/>
    <cellStyle name="Normal 8 4 2 2 3 3" xfId="5696" xr:uid="{00000000-0005-0000-0000-0000D91D0000}"/>
    <cellStyle name="Normal 8 4 2 2 3 3 2" xfId="14146" xr:uid="{0B371694-B912-4712-A4B9-66948D250C9D}"/>
    <cellStyle name="Normal 8 4 2 2 3 4" xfId="9928" xr:uid="{9AE80A32-FFCB-457D-A6DC-D819CEFC3CFA}"/>
    <cellStyle name="Normal 8 4 2 2 4" xfId="1802" xr:uid="{00000000-0005-0000-0000-0000DA1D0000}"/>
    <cellStyle name="Normal 8 4 2 2 4 2" xfId="4032" xr:uid="{00000000-0005-0000-0000-0000DB1D0000}"/>
    <cellStyle name="Normal 8 4 2 2 4 2 2" xfId="8254" xr:uid="{00000000-0005-0000-0000-0000DC1D0000}"/>
    <cellStyle name="Normal 8 4 2 2 4 2 2 2" xfId="16704" xr:uid="{21B27244-6638-45AD-BF77-559A4CAF1032}"/>
    <cellStyle name="Normal 8 4 2 2 4 2 3" xfId="12486" xr:uid="{6FF73881-455D-43E2-8892-97BB28640AE4}"/>
    <cellStyle name="Normal 8 4 2 2 4 3" xfId="6109" xr:uid="{00000000-0005-0000-0000-0000DD1D0000}"/>
    <cellStyle name="Normal 8 4 2 2 4 3 2" xfId="14559" xr:uid="{117CEE89-067D-487C-B4FC-62C0DFB46998}"/>
    <cellStyle name="Normal 8 4 2 2 4 4" xfId="10341" xr:uid="{C7FBA984-98D9-452E-9C9C-7F72EEA0D5C1}"/>
    <cellStyle name="Normal 8 4 2 2 5" xfId="2216" xr:uid="{00000000-0005-0000-0000-0000DE1D0000}"/>
    <cellStyle name="Normal 8 4 2 2 5 2" xfId="4445" xr:uid="{00000000-0005-0000-0000-0000DF1D0000}"/>
    <cellStyle name="Normal 8 4 2 2 5 2 2" xfId="8667" xr:uid="{00000000-0005-0000-0000-0000E01D0000}"/>
    <cellStyle name="Normal 8 4 2 2 5 2 2 2" xfId="17117" xr:uid="{3E4B2FBD-D10F-4CA0-81D9-0CED413A93A2}"/>
    <cellStyle name="Normal 8 4 2 2 5 2 3" xfId="12899" xr:uid="{9E5278CB-216D-45D6-9E83-AAEF38BA7DC3}"/>
    <cellStyle name="Normal 8 4 2 2 5 3" xfId="6522" xr:uid="{00000000-0005-0000-0000-0000E11D0000}"/>
    <cellStyle name="Normal 8 4 2 2 5 3 2" xfId="14972" xr:uid="{BED5A0BA-4786-486C-A496-311EC1F6F936}"/>
    <cellStyle name="Normal 8 4 2 2 5 4" xfId="10754" xr:uid="{90B7FA83-E47F-4C3C-BB5C-13A15964AA7A}"/>
    <cellStyle name="Normal 8 4 2 2 6" xfId="2652" xr:uid="{00000000-0005-0000-0000-0000E21D0000}"/>
    <cellStyle name="Normal 8 4 2 2 6 2" xfId="6935" xr:uid="{00000000-0005-0000-0000-0000E31D0000}"/>
    <cellStyle name="Normal 8 4 2 2 6 2 2" xfId="15385" xr:uid="{2B8562AF-C241-480B-B1FB-9F213D64B337}"/>
    <cellStyle name="Normal 8 4 2 2 6 3" xfId="11167" xr:uid="{9CD5507E-5394-47B0-ACB0-2D67156CB20C}"/>
    <cellStyle name="Normal 8 4 2 2 7" xfId="4870" xr:uid="{00000000-0005-0000-0000-0000E41D0000}"/>
    <cellStyle name="Normal 8 4 2 2 7 2" xfId="13320" xr:uid="{DF5DD2B6-6DBA-40C8-9211-5B02ABEAB0F1}"/>
    <cellStyle name="Normal 8 4 2 2 8" xfId="9102" xr:uid="{CE4A72CB-4C70-4F1B-B610-F15C1E1F5CC5}"/>
    <cellStyle name="Normal 8 4 2 3" xfId="971" xr:uid="{00000000-0005-0000-0000-0000E51D0000}"/>
    <cellStyle name="Normal 8 4 2 3 2" xfId="3205" xr:uid="{00000000-0005-0000-0000-0000E61D0000}"/>
    <cellStyle name="Normal 8 4 2 3 2 2" xfId="7427" xr:uid="{00000000-0005-0000-0000-0000E71D0000}"/>
    <cellStyle name="Normal 8 4 2 3 2 2 2" xfId="15877" xr:uid="{358E2292-81F0-4570-A128-282D0F244FC6}"/>
    <cellStyle name="Normal 8 4 2 3 2 3" xfId="11659" xr:uid="{A4108840-D709-459F-9D6D-5B9B2D5F8B61}"/>
    <cellStyle name="Normal 8 4 2 3 3" xfId="5282" xr:uid="{00000000-0005-0000-0000-0000E81D0000}"/>
    <cellStyle name="Normal 8 4 2 3 3 2" xfId="13732" xr:uid="{1D5C987A-4CB6-4F8B-8D8C-58F49B4046A3}"/>
    <cellStyle name="Normal 8 4 2 3 4" xfId="9514" xr:uid="{5D9D941F-002B-4ABE-91DE-41CB534DD705}"/>
    <cellStyle name="Normal 8 4 2 4" xfId="1388" xr:uid="{00000000-0005-0000-0000-0000E91D0000}"/>
    <cellStyle name="Normal 8 4 2 4 2" xfId="3618" xr:uid="{00000000-0005-0000-0000-0000EA1D0000}"/>
    <cellStyle name="Normal 8 4 2 4 2 2" xfId="7840" xr:uid="{00000000-0005-0000-0000-0000EB1D0000}"/>
    <cellStyle name="Normal 8 4 2 4 2 2 2" xfId="16290" xr:uid="{E92D1661-9694-40F3-A317-7CCDA44AA10E}"/>
    <cellStyle name="Normal 8 4 2 4 2 3" xfId="12072" xr:uid="{0FD7A1D1-86F9-483B-A653-8423C690FD0E}"/>
    <cellStyle name="Normal 8 4 2 4 3" xfId="5695" xr:uid="{00000000-0005-0000-0000-0000EC1D0000}"/>
    <cellStyle name="Normal 8 4 2 4 3 2" xfId="14145" xr:uid="{70B8BB8C-1EC8-44E9-B366-652D94BCAABE}"/>
    <cellStyle name="Normal 8 4 2 4 4" xfId="9927" xr:uid="{DA79C467-F152-4E4D-8E05-32BDB379D22E}"/>
    <cellStyle name="Normal 8 4 2 5" xfId="1801" xr:uid="{00000000-0005-0000-0000-0000ED1D0000}"/>
    <cellStyle name="Normal 8 4 2 5 2" xfId="4031" xr:uid="{00000000-0005-0000-0000-0000EE1D0000}"/>
    <cellStyle name="Normal 8 4 2 5 2 2" xfId="8253" xr:uid="{00000000-0005-0000-0000-0000EF1D0000}"/>
    <cellStyle name="Normal 8 4 2 5 2 2 2" xfId="16703" xr:uid="{174AEDFD-C21B-4C20-B676-288A7D1C2AE9}"/>
    <cellStyle name="Normal 8 4 2 5 2 3" xfId="12485" xr:uid="{8C591012-9F2E-4FFD-9F20-0CF572B0C740}"/>
    <cellStyle name="Normal 8 4 2 5 3" xfId="6108" xr:uid="{00000000-0005-0000-0000-0000F01D0000}"/>
    <cellStyle name="Normal 8 4 2 5 3 2" xfId="14558" xr:uid="{8DFD45E8-9280-4D96-B226-0466CA319522}"/>
    <cellStyle name="Normal 8 4 2 5 4" xfId="10340" xr:uid="{FF2347FD-F609-4401-83EA-BDE29A0FD1E7}"/>
    <cellStyle name="Normal 8 4 2 6" xfId="2215" xr:uid="{00000000-0005-0000-0000-0000F11D0000}"/>
    <cellStyle name="Normal 8 4 2 6 2" xfId="4444" xr:uid="{00000000-0005-0000-0000-0000F21D0000}"/>
    <cellStyle name="Normal 8 4 2 6 2 2" xfId="8666" xr:uid="{00000000-0005-0000-0000-0000F31D0000}"/>
    <cellStyle name="Normal 8 4 2 6 2 2 2" xfId="17116" xr:uid="{E9012CC5-61D0-4249-BAF6-C9BBEB1DD30B}"/>
    <cellStyle name="Normal 8 4 2 6 2 3" xfId="12898" xr:uid="{FB1CB706-3506-4D1A-AAA1-1980697ADB90}"/>
    <cellStyle name="Normal 8 4 2 6 3" xfId="6521" xr:uid="{00000000-0005-0000-0000-0000F41D0000}"/>
    <cellStyle name="Normal 8 4 2 6 3 2" xfId="14971" xr:uid="{02556DB9-3B59-432D-AEC4-29C7B87F879B}"/>
    <cellStyle name="Normal 8 4 2 6 4" xfId="10753" xr:uid="{0FADAE54-56E4-4C39-BD81-24F00440BA8E}"/>
    <cellStyle name="Normal 8 4 2 7" xfId="2651" xr:uid="{00000000-0005-0000-0000-0000F51D0000}"/>
    <cellStyle name="Normal 8 4 2 7 2" xfId="6934" xr:uid="{00000000-0005-0000-0000-0000F61D0000}"/>
    <cellStyle name="Normal 8 4 2 7 2 2" xfId="15384" xr:uid="{7FBF5C09-75F9-4577-80DE-9357F608D15F}"/>
    <cellStyle name="Normal 8 4 2 7 3" xfId="11166" xr:uid="{43DD67C8-837B-4731-81E3-42D4A7109ED0}"/>
    <cellStyle name="Normal 8 4 2 8" xfId="4869" xr:uid="{00000000-0005-0000-0000-0000F71D0000}"/>
    <cellStyle name="Normal 8 4 2 8 2" xfId="13319" xr:uid="{CE76D9DC-4AB2-4CA6-BE81-102A77A9F72A}"/>
    <cellStyle name="Normal 8 4 2 9" xfId="9101" xr:uid="{7538C2A8-A9C0-4D4F-B0E7-7BFFE0557FA8}"/>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2 2 2" xfId="15879" xr:uid="{B760404F-6035-42A1-8432-E1AE073D5C05}"/>
    <cellStyle name="Normal 8 4 3 2 2 3" xfId="11661" xr:uid="{BDB25CE7-2BDE-4A3E-A93A-D64C9536DA2D}"/>
    <cellStyle name="Normal 8 4 3 2 3" xfId="5284" xr:uid="{00000000-0005-0000-0000-0000FC1D0000}"/>
    <cellStyle name="Normal 8 4 3 2 3 2" xfId="13734" xr:uid="{56B36A17-E013-4BC5-919E-53A436C22BB6}"/>
    <cellStyle name="Normal 8 4 3 2 4" xfId="9516" xr:uid="{329CB876-F67F-4B60-82A3-13078F17067C}"/>
    <cellStyle name="Normal 8 4 3 3" xfId="1390" xr:uid="{00000000-0005-0000-0000-0000FD1D0000}"/>
    <cellStyle name="Normal 8 4 3 3 2" xfId="3620" xr:uid="{00000000-0005-0000-0000-0000FE1D0000}"/>
    <cellStyle name="Normal 8 4 3 3 2 2" xfId="7842" xr:uid="{00000000-0005-0000-0000-0000FF1D0000}"/>
    <cellStyle name="Normal 8 4 3 3 2 2 2" xfId="16292" xr:uid="{ED8494DD-2187-4957-B014-DA05968ACC9A}"/>
    <cellStyle name="Normal 8 4 3 3 2 3" xfId="12074" xr:uid="{A6BE2026-2C98-4739-9232-39CBC0EFDBC6}"/>
    <cellStyle name="Normal 8 4 3 3 3" xfId="5697" xr:uid="{00000000-0005-0000-0000-0000001E0000}"/>
    <cellStyle name="Normal 8 4 3 3 3 2" xfId="14147" xr:uid="{8994844C-512E-4059-8A3B-E3F4410C0187}"/>
    <cellStyle name="Normal 8 4 3 3 4" xfId="9929" xr:uid="{ADBD17CE-432A-4288-AA71-D6AC3AAE928E}"/>
    <cellStyle name="Normal 8 4 3 4" xfId="1803" xr:uid="{00000000-0005-0000-0000-0000011E0000}"/>
    <cellStyle name="Normal 8 4 3 4 2" xfId="4033" xr:uid="{00000000-0005-0000-0000-0000021E0000}"/>
    <cellStyle name="Normal 8 4 3 4 2 2" xfId="8255" xr:uid="{00000000-0005-0000-0000-0000031E0000}"/>
    <cellStyle name="Normal 8 4 3 4 2 2 2" xfId="16705" xr:uid="{9A51F9AD-7929-4CB0-90DE-47C91B1E3110}"/>
    <cellStyle name="Normal 8 4 3 4 2 3" xfId="12487" xr:uid="{D422BC12-CD26-4398-BEE9-AE5C3A97458A}"/>
    <cellStyle name="Normal 8 4 3 4 3" xfId="6110" xr:uid="{00000000-0005-0000-0000-0000041E0000}"/>
    <cellStyle name="Normal 8 4 3 4 3 2" xfId="14560" xr:uid="{FA332D7A-245D-4B32-8BED-E381826DE2A8}"/>
    <cellStyle name="Normal 8 4 3 4 4" xfId="10342" xr:uid="{A8FD0700-2DDC-4496-9C2D-4737C5FFF684}"/>
    <cellStyle name="Normal 8 4 3 5" xfId="2217" xr:uid="{00000000-0005-0000-0000-0000051E0000}"/>
    <cellStyle name="Normal 8 4 3 5 2" xfId="4446" xr:uid="{00000000-0005-0000-0000-0000061E0000}"/>
    <cellStyle name="Normal 8 4 3 5 2 2" xfId="8668" xr:uid="{00000000-0005-0000-0000-0000071E0000}"/>
    <cellStyle name="Normal 8 4 3 5 2 2 2" xfId="17118" xr:uid="{33E73BE1-3E2F-4F31-BBD7-C781A627C561}"/>
    <cellStyle name="Normal 8 4 3 5 2 3" xfId="12900" xr:uid="{E651588B-24EB-4E72-AF42-09EFE1A0A742}"/>
    <cellStyle name="Normal 8 4 3 5 3" xfId="6523" xr:uid="{00000000-0005-0000-0000-0000081E0000}"/>
    <cellStyle name="Normal 8 4 3 5 3 2" xfId="14973" xr:uid="{098EEF40-2803-4BB4-851F-D1E4529738AC}"/>
    <cellStyle name="Normal 8 4 3 5 4" xfId="10755" xr:uid="{18E1B4DC-168B-4F21-AD53-7DD2E40B1CDD}"/>
    <cellStyle name="Normal 8 4 3 6" xfId="2653" xr:uid="{00000000-0005-0000-0000-0000091E0000}"/>
    <cellStyle name="Normal 8 4 3 6 2" xfId="6936" xr:uid="{00000000-0005-0000-0000-00000A1E0000}"/>
    <cellStyle name="Normal 8 4 3 6 2 2" xfId="15386" xr:uid="{CC4B6BDF-EED5-4B9F-9E78-57FBB01837EE}"/>
    <cellStyle name="Normal 8 4 3 6 3" xfId="11168" xr:uid="{15969F36-4950-41CD-8630-30CBACB04767}"/>
    <cellStyle name="Normal 8 4 3 7" xfId="4871" xr:uid="{00000000-0005-0000-0000-00000B1E0000}"/>
    <cellStyle name="Normal 8 4 3 7 2" xfId="13321" xr:uid="{B5B7703D-D3BD-4C5B-818B-FEF2F6C8A36C}"/>
    <cellStyle name="Normal 8 4 3 8" xfId="9103" xr:uid="{86AEDB37-26AE-46FC-9ECD-6A0C2C80A0B5}"/>
    <cellStyle name="Normal 8 4 4" xfId="970" xr:uid="{00000000-0005-0000-0000-00000C1E0000}"/>
    <cellStyle name="Normal 8 4 4 2" xfId="3204" xr:uid="{00000000-0005-0000-0000-00000D1E0000}"/>
    <cellStyle name="Normal 8 4 4 2 2" xfId="7426" xr:uid="{00000000-0005-0000-0000-00000E1E0000}"/>
    <cellStyle name="Normal 8 4 4 2 2 2" xfId="15876" xr:uid="{B98CE9A5-FB64-410E-A795-4CCB63DE54A1}"/>
    <cellStyle name="Normal 8 4 4 2 3" xfId="11658" xr:uid="{8176331F-51FC-4362-912E-34A5EBB54BCD}"/>
    <cellStyle name="Normal 8 4 4 3" xfId="5281" xr:uid="{00000000-0005-0000-0000-00000F1E0000}"/>
    <cellStyle name="Normal 8 4 4 3 2" xfId="13731" xr:uid="{F7F52123-C6B7-45BC-B3D5-14EECDF11DBC}"/>
    <cellStyle name="Normal 8 4 4 4" xfId="9513" xr:uid="{CB4DAB0B-7F5F-4F26-A543-C1F37894B305}"/>
    <cellStyle name="Normal 8 4 5" xfId="1387" xr:uid="{00000000-0005-0000-0000-0000101E0000}"/>
    <cellStyle name="Normal 8 4 5 2" xfId="3617" xr:uid="{00000000-0005-0000-0000-0000111E0000}"/>
    <cellStyle name="Normal 8 4 5 2 2" xfId="7839" xr:uid="{00000000-0005-0000-0000-0000121E0000}"/>
    <cellStyle name="Normal 8 4 5 2 2 2" xfId="16289" xr:uid="{4BFAC74E-69CC-4B4B-AAEB-B238D4911839}"/>
    <cellStyle name="Normal 8 4 5 2 3" xfId="12071" xr:uid="{0DF88C19-F9D7-44A3-B099-DCDA11EC25AE}"/>
    <cellStyle name="Normal 8 4 5 3" xfId="5694" xr:uid="{00000000-0005-0000-0000-0000131E0000}"/>
    <cellStyle name="Normal 8 4 5 3 2" xfId="14144" xr:uid="{62793A6D-E84F-432C-A4DD-8E89329370A0}"/>
    <cellStyle name="Normal 8 4 5 4" xfId="9926" xr:uid="{81BF3225-F35C-4BA7-8421-6A97FA513E31}"/>
    <cellStyle name="Normal 8 4 6" xfId="1800" xr:uid="{00000000-0005-0000-0000-0000141E0000}"/>
    <cellStyle name="Normal 8 4 6 2" xfId="4030" xr:uid="{00000000-0005-0000-0000-0000151E0000}"/>
    <cellStyle name="Normal 8 4 6 2 2" xfId="8252" xr:uid="{00000000-0005-0000-0000-0000161E0000}"/>
    <cellStyle name="Normal 8 4 6 2 2 2" xfId="16702" xr:uid="{D6E105D3-3BE5-481A-A69B-56F2993B3FE1}"/>
    <cellStyle name="Normal 8 4 6 2 3" xfId="12484" xr:uid="{04A7316B-9C92-4017-B301-EE096933AEC4}"/>
    <cellStyle name="Normal 8 4 6 3" xfId="6107" xr:uid="{00000000-0005-0000-0000-0000171E0000}"/>
    <cellStyle name="Normal 8 4 6 3 2" xfId="14557" xr:uid="{DF0CE704-DCB9-45F1-9783-A8296BE2CC39}"/>
    <cellStyle name="Normal 8 4 6 4" xfId="10339" xr:uid="{4CEADE7F-11DD-4069-A7A4-E72B52581A96}"/>
    <cellStyle name="Normal 8 4 7" xfId="2214" xr:uid="{00000000-0005-0000-0000-0000181E0000}"/>
    <cellStyle name="Normal 8 4 7 2" xfId="4443" xr:uid="{00000000-0005-0000-0000-0000191E0000}"/>
    <cellStyle name="Normal 8 4 7 2 2" xfId="8665" xr:uid="{00000000-0005-0000-0000-00001A1E0000}"/>
    <cellStyle name="Normal 8 4 7 2 2 2" xfId="17115" xr:uid="{5EFEB4DA-190B-4024-96FC-6B111123271F}"/>
    <cellStyle name="Normal 8 4 7 2 3" xfId="12897" xr:uid="{135D25FC-240C-4C2A-AB7E-9196CAB2F8F2}"/>
    <cellStyle name="Normal 8 4 7 3" xfId="6520" xr:uid="{00000000-0005-0000-0000-00001B1E0000}"/>
    <cellStyle name="Normal 8 4 7 3 2" xfId="14970" xr:uid="{144F5D0F-F6E6-4420-9E1A-492BEC269AE8}"/>
    <cellStyle name="Normal 8 4 7 4" xfId="10752" xr:uid="{01953E4A-7D21-4C6D-B163-734C6E1C5873}"/>
    <cellStyle name="Normal 8 4 8" xfId="2650" xr:uid="{00000000-0005-0000-0000-00001C1E0000}"/>
    <cellStyle name="Normal 8 4 8 2" xfId="6933" xr:uid="{00000000-0005-0000-0000-00001D1E0000}"/>
    <cellStyle name="Normal 8 4 8 2 2" xfId="15383" xr:uid="{C195C1D8-604B-4055-AA1B-00459F3009A6}"/>
    <cellStyle name="Normal 8 4 8 3" xfId="11165" xr:uid="{C786920C-DADE-47C5-B67B-E92960CBDCB5}"/>
    <cellStyle name="Normal 8 4 9" xfId="4868" xr:uid="{00000000-0005-0000-0000-00001E1E0000}"/>
    <cellStyle name="Normal 8 4 9 2" xfId="13318" xr:uid="{0764CAE8-C24A-4B12-A141-FACD5D244313}"/>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2 2 2" xfId="15881" xr:uid="{6CF31417-1387-409F-A7E1-AB7EE6610CD0}"/>
    <cellStyle name="Normal 8 5 2 2 2 3" xfId="11663" xr:uid="{737BA006-DB33-4178-BEDA-047FFCD91625}"/>
    <cellStyle name="Normal 8 5 2 2 3" xfId="5286" xr:uid="{00000000-0005-0000-0000-0000241E0000}"/>
    <cellStyle name="Normal 8 5 2 2 3 2" xfId="13736" xr:uid="{7F7BDA98-32FC-4710-9170-391EDFF25488}"/>
    <cellStyle name="Normal 8 5 2 2 4" xfId="9518" xr:uid="{FCF23463-BC3E-4401-940F-99478E4D91BA}"/>
    <cellStyle name="Normal 8 5 2 3" xfId="1392" xr:uid="{00000000-0005-0000-0000-0000251E0000}"/>
    <cellStyle name="Normal 8 5 2 3 2" xfId="3622" xr:uid="{00000000-0005-0000-0000-0000261E0000}"/>
    <cellStyle name="Normal 8 5 2 3 2 2" xfId="7844" xr:uid="{00000000-0005-0000-0000-0000271E0000}"/>
    <cellStyle name="Normal 8 5 2 3 2 2 2" xfId="16294" xr:uid="{AB279682-5873-48B6-BA1A-F67B2CDF9198}"/>
    <cellStyle name="Normal 8 5 2 3 2 3" xfId="12076" xr:uid="{B501C5A2-E499-493C-A9EA-6AF2A12F454C}"/>
    <cellStyle name="Normal 8 5 2 3 3" xfId="5699" xr:uid="{00000000-0005-0000-0000-0000281E0000}"/>
    <cellStyle name="Normal 8 5 2 3 3 2" xfId="14149" xr:uid="{731F58C7-D44A-4452-993C-18CE99A9F4F1}"/>
    <cellStyle name="Normal 8 5 2 3 4" xfId="9931" xr:uid="{32A40DA4-3173-4306-B064-97E69FD0078C}"/>
    <cellStyle name="Normal 8 5 2 4" xfId="1805" xr:uid="{00000000-0005-0000-0000-0000291E0000}"/>
    <cellStyle name="Normal 8 5 2 4 2" xfId="4035" xr:uid="{00000000-0005-0000-0000-00002A1E0000}"/>
    <cellStyle name="Normal 8 5 2 4 2 2" xfId="8257" xr:uid="{00000000-0005-0000-0000-00002B1E0000}"/>
    <cellStyle name="Normal 8 5 2 4 2 2 2" xfId="16707" xr:uid="{326122C3-2ACE-4F2E-BF9D-53BFAB8A9A6D}"/>
    <cellStyle name="Normal 8 5 2 4 2 3" xfId="12489" xr:uid="{9850480C-CF3D-44CF-8E29-96836119F162}"/>
    <cellStyle name="Normal 8 5 2 4 3" xfId="6112" xr:uid="{00000000-0005-0000-0000-00002C1E0000}"/>
    <cellStyle name="Normal 8 5 2 4 3 2" xfId="14562" xr:uid="{2BABE249-C4BF-49B3-877E-D3BD09043A93}"/>
    <cellStyle name="Normal 8 5 2 4 4" xfId="10344" xr:uid="{254491A1-4E18-4E2E-B149-01FFC4B4AB0B}"/>
    <cellStyle name="Normal 8 5 2 5" xfId="2219" xr:uid="{00000000-0005-0000-0000-00002D1E0000}"/>
    <cellStyle name="Normal 8 5 2 5 2" xfId="4448" xr:uid="{00000000-0005-0000-0000-00002E1E0000}"/>
    <cellStyle name="Normal 8 5 2 5 2 2" xfId="8670" xr:uid="{00000000-0005-0000-0000-00002F1E0000}"/>
    <cellStyle name="Normal 8 5 2 5 2 2 2" xfId="17120" xr:uid="{CE65C37C-8DA3-4CBA-B7E6-E0635D72CFB9}"/>
    <cellStyle name="Normal 8 5 2 5 2 3" xfId="12902" xr:uid="{13061583-9D5E-4656-AB5C-800E86BADA5F}"/>
    <cellStyle name="Normal 8 5 2 5 3" xfId="6525" xr:uid="{00000000-0005-0000-0000-0000301E0000}"/>
    <cellStyle name="Normal 8 5 2 5 3 2" xfId="14975" xr:uid="{DADE2D2D-AB6A-4DE7-A831-0981E84D79CA}"/>
    <cellStyle name="Normal 8 5 2 5 4" xfId="10757" xr:uid="{3F62DB9C-943C-48E4-8AA7-018614608D08}"/>
    <cellStyle name="Normal 8 5 2 6" xfId="2655" xr:uid="{00000000-0005-0000-0000-0000311E0000}"/>
    <cellStyle name="Normal 8 5 2 6 2" xfId="6938" xr:uid="{00000000-0005-0000-0000-0000321E0000}"/>
    <cellStyle name="Normal 8 5 2 6 2 2" xfId="15388" xr:uid="{6042FB6D-AC1A-4771-93C7-D8D99BCB7D78}"/>
    <cellStyle name="Normal 8 5 2 6 3" xfId="11170" xr:uid="{3619F33E-B5AA-4A74-A081-5B2A3962C58B}"/>
    <cellStyle name="Normal 8 5 2 7" xfId="4873" xr:uid="{00000000-0005-0000-0000-0000331E0000}"/>
    <cellStyle name="Normal 8 5 2 7 2" xfId="13323" xr:uid="{81219E55-2B62-440C-9603-EB8188CEE401}"/>
    <cellStyle name="Normal 8 5 2 8" xfId="9105" xr:uid="{EE5097CC-A8F9-4EB2-80E6-77609A4C8EB8}"/>
    <cellStyle name="Normal 8 5 3" xfId="974" xr:uid="{00000000-0005-0000-0000-0000341E0000}"/>
    <cellStyle name="Normal 8 5 3 2" xfId="3208" xr:uid="{00000000-0005-0000-0000-0000351E0000}"/>
    <cellStyle name="Normal 8 5 3 2 2" xfId="7430" xr:uid="{00000000-0005-0000-0000-0000361E0000}"/>
    <cellStyle name="Normal 8 5 3 2 2 2" xfId="15880" xr:uid="{8E1B5A61-EF28-4FD5-8CAE-D74789CA009B}"/>
    <cellStyle name="Normal 8 5 3 2 3" xfId="11662" xr:uid="{4077CA33-984D-4DBF-A0BA-36F876A1D0A5}"/>
    <cellStyle name="Normal 8 5 3 3" xfId="5285" xr:uid="{00000000-0005-0000-0000-0000371E0000}"/>
    <cellStyle name="Normal 8 5 3 3 2" xfId="13735" xr:uid="{9A012F26-51FD-41C8-8D8E-E41E29241981}"/>
    <cellStyle name="Normal 8 5 3 4" xfId="9517" xr:uid="{EEB7A454-5DE2-498E-A8EB-837309618559}"/>
    <cellStyle name="Normal 8 5 4" xfId="1391" xr:uid="{00000000-0005-0000-0000-0000381E0000}"/>
    <cellStyle name="Normal 8 5 4 2" xfId="3621" xr:uid="{00000000-0005-0000-0000-0000391E0000}"/>
    <cellStyle name="Normal 8 5 4 2 2" xfId="7843" xr:uid="{00000000-0005-0000-0000-00003A1E0000}"/>
    <cellStyle name="Normal 8 5 4 2 2 2" xfId="16293" xr:uid="{300B67A8-8FFF-4F71-B1E6-6123497EF9F2}"/>
    <cellStyle name="Normal 8 5 4 2 3" xfId="12075" xr:uid="{302E7716-3219-4E87-A49B-4375238FC192}"/>
    <cellStyle name="Normal 8 5 4 3" xfId="5698" xr:uid="{00000000-0005-0000-0000-00003B1E0000}"/>
    <cellStyle name="Normal 8 5 4 3 2" xfId="14148" xr:uid="{9F423919-ED9A-449A-ACEA-DE69DF08034F}"/>
    <cellStyle name="Normal 8 5 4 4" xfId="9930" xr:uid="{E6881B25-FD45-42D3-940B-862E98D481A6}"/>
    <cellStyle name="Normal 8 5 5" xfId="1804" xr:uid="{00000000-0005-0000-0000-00003C1E0000}"/>
    <cellStyle name="Normal 8 5 5 2" xfId="4034" xr:uid="{00000000-0005-0000-0000-00003D1E0000}"/>
    <cellStyle name="Normal 8 5 5 2 2" xfId="8256" xr:uid="{00000000-0005-0000-0000-00003E1E0000}"/>
    <cellStyle name="Normal 8 5 5 2 2 2" xfId="16706" xr:uid="{BD402D8E-01E4-4F92-ABB5-586EED18A2AC}"/>
    <cellStyle name="Normal 8 5 5 2 3" xfId="12488" xr:uid="{E8078196-B93E-4215-B3A2-526B8FE83A5A}"/>
    <cellStyle name="Normal 8 5 5 3" xfId="6111" xr:uid="{00000000-0005-0000-0000-00003F1E0000}"/>
    <cellStyle name="Normal 8 5 5 3 2" xfId="14561" xr:uid="{58934C82-9302-45EF-80B3-091E5E496D14}"/>
    <cellStyle name="Normal 8 5 5 4" xfId="10343" xr:uid="{1D176F86-DE03-4A39-9B0A-2B9361C9DA32}"/>
    <cellStyle name="Normal 8 5 6" xfId="2218" xr:uid="{00000000-0005-0000-0000-0000401E0000}"/>
    <cellStyle name="Normal 8 5 6 2" xfId="4447" xr:uid="{00000000-0005-0000-0000-0000411E0000}"/>
    <cellStyle name="Normal 8 5 6 2 2" xfId="8669" xr:uid="{00000000-0005-0000-0000-0000421E0000}"/>
    <cellStyle name="Normal 8 5 6 2 2 2" xfId="17119" xr:uid="{5361A92E-1116-42E2-8C8E-8ABD462B18AC}"/>
    <cellStyle name="Normal 8 5 6 2 3" xfId="12901" xr:uid="{E7EB9FF4-F524-4476-BC4D-EE543D53EA63}"/>
    <cellStyle name="Normal 8 5 6 3" xfId="6524" xr:uid="{00000000-0005-0000-0000-0000431E0000}"/>
    <cellStyle name="Normal 8 5 6 3 2" xfId="14974" xr:uid="{C429DFE4-A6C4-4F97-B3DA-AD4FF4F17597}"/>
    <cellStyle name="Normal 8 5 6 4" xfId="10756" xr:uid="{71D2CD27-5B77-4D11-9389-8543FBAD12A5}"/>
    <cellStyle name="Normal 8 5 7" xfId="2654" xr:uid="{00000000-0005-0000-0000-0000441E0000}"/>
    <cellStyle name="Normal 8 5 7 2" xfId="6937" xr:uid="{00000000-0005-0000-0000-0000451E0000}"/>
    <cellStyle name="Normal 8 5 7 2 2" xfId="15387" xr:uid="{66A8A67D-07BA-48C9-8046-790A0D80DBF8}"/>
    <cellStyle name="Normal 8 5 7 3" xfId="11169" xr:uid="{39CA8B96-3234-41DD-A4CC-47EB63B43059}"/>
    <cellStyle name="Normal 8 5 8" xfId="4872" xr:uid="{00000000-0005-0000-0000-0000461E0000}"/>
    <cellStyle name="Normal 8 5 8 2" xfId="13322" xr:uid="{41C8DD7A-8C84-46E0-A0F1-C51D178936B7}"/>
    <cellStyle name="Normal 8 5 9" xfId="9104" xr:uid="{30DD1A8D-91B2-403A-AABC-44683D401E59}"/>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2 2 2" xfId="15882" xr:uid="{F92127E3-6B9D-425C-BA8A-B403378B0944}"/>
    <cellStyle name="Normal 8 6 2 2 3" xfId="11664" xr:uid="{6151E632-1F0C-41BB-BFBB-B070768D121F}"/>
    <cellStyle name="Normal 8 6 2 3" xfId="5287" xr:uid="{00000000-0005-0000-0000-00004B1E0000}"/>
    <cellStyle name="Normal 8 6 2 3 2" xfId="13737" xr:uid="{1440D72C-C09C-4581-B8DE-D59E94C257B5}"/>
    <cellStyle name="Normal 8 6 2 4" xfId="9519" xr:uid="{A7E45615-CEAC-47AB-BA1E-6477DC3C7971}"/>
    <cellStyle name="Normal 8 6 3" xfId="1393" xr:uid="{00000000-0005-0000-0000-00004C1E0000}"/>
    <cellStyle name="Normal 8 6 3 2" xfId="3623" xr:uid="{00000000-0005-0000-0000-00004D1E0000}"/>
    <cellStyle name="Normal 8 6 3 2 2" xfId="7845" xr:uid="{00000000-0005-0000-0000-00004E1E0000}"/>
    <cellStyle name="Normal 8 6 3 2 2 2" xfId="16295" xr:uid="{0AC968E0-E029-4E57-9AB0-75B335F00F66}"/>
    <cellStyle name="Normal 8 6 3 2 3" xfId="12077" xr:uid="{8DCBAE9B-9EAB-4D01-ADDA-54FF023A70BE}"/>
    <cellStyle name="Normal 8 6 3 3" xfId="5700" xr:uid="{00000000-0005-0000-0000-00004F1E0000}"/>
    <cellStyle name="Normal 8 6 3 3 2" xfId="14150" xr:uid="{71940C7E-3DE5-4E83-889B-43921B8CF237}"/>
    <cellStyle name="Normal 8 6 3 4" xfId="9932" xr:uid="{B3B9C345-498D-4B12-82E7-18BF76C761B3}"/>
    <cellStyle name="Normal 8 6 4" xfId="1806" xr:uid="{00000000-0005-0000-0000-0000501E0000}"/>
    <cellStyle name="Normal 8 6 4 2" xfId="4036" xr:uid="{00000000-0005-0000-0000-0000511E0000}"/>
    <cellStyle name="Normal 8 6 4 2 2" xfId="8258" xr:uid="{00000000-0005-0000-0000-0000521E0000}"/>
    <cellStyle name="Normal 8 6 4 2 2 2" xfId="16708" xr:uid="{C31D30F0-A2C5-4526-B992-E321780786F2}"/>
    <cellStyle name="Normal 8 6 4 2 3" xfId="12490" xr:uid="{7D29F0E8-BD3F-44E0-8313-0F5733D32B90}"/>
    <cellStyle name="Normal 8 6 4 3" xfId="6113" xr:uid="{00000000-0005-0000-0000-0000531E0000}"/>
    <cellStyle name="Normal 8 6 4 3 2" xfId="14563" xr:uid="{8675A11C-ED74-4184-9AC9-D5EBD7AF0D88}"/>
    <cellStyle name="Normal 8 6 4 4" xfId="10345" xr:uid="{CABB0AF0-0500-4B96-8C71-D0F7E2651096}"/>
    <cellStyle name="Normal 8 6 5" xfId="2220" xr:uid="{00000000-0005-0000-0000-0000541E0000}"/>
    <cellStyle name="Normal 8 6 5 2" xfId="4449" xr:uid="{00000000-0005-0000-0000-0000551E0000}"/>
    <cellStyle name="Normal 8 6 5 2 2" xfId="8671" xr:uid="{00000000-0005-0000-0000-0000561E0000}"/>
    <cellStyle name="Normal 8 6 5 2 2 2" xfId="17121" xr:uid="{2C849213-A55C-490B-B94C-4CEE4787F5B3}"/>
    <cellStyle name="Normal 8 6 5 2 3" xfId="12903" xr:uid="{6A32E462-0C56-45D6-AADB-603A1AE27C3B}"/>
    <cellStyle name="Normal 8 6 5 3" xfId="6526" xr:uid="{00000000-0005-0000-0000-0000571E0000}"/>
    <cellStyle name="Normal 8 6 5 3 2" xfId="14976" xr:uid="{2E62772E-4B9F-4200-A4CC-4614A3B019FC}"/>
    <cellStyle name="Normal 8 6 5 4" xfId="10758" xr:uid="{7295ECFA-AEA7-40D5-8711-2E5B3B4762C0}"/>
    <cellStyle name="Normal 8 6 6" xfId="2656" xr:uid="{00000000-0005-0000-0000-0000581E0000}"/>
    <cellStyle name="Normal 8 6 6 2" xfId="6939" xr:uid="{00000000-0005-0000-0000-0000591E0000}"/>
    <cellStyle name="Normal 8 6 6 2 2" xfId="15389" xr:uid="{A13215BA-FDD1-4817-8CF1-9FCAC5999FF5}"/>
    <cellStyle name="Normal 8 6 6 3" xfId="11171" xr:uid="{79EDE4A0-ED94-44F6-A313-8D53F0D126D8}"/>
    <cellStyle name="Normal 8 6 7" xfId="4874" xr:uid="{00000000-0005-0000-0000-00005A1E0000}"/>
    <cellStyle name="Normal 8 6 7 2" xfId="13324" xr:uid="{20BC27A3-16CA-45E2-A065-DE4AD202189E}"/>
    <cellStyle name="Normal 8 6 8" xfId="9106" xr:uid="{16CFC971-50EE-4FDE-9281-C0EFE23592D5}"/>
    <cellStyle name="Normal 8 7" xfId="945" xr:uid="{00000000-0005-0000-0000-00005B1E0000}"/>
    <cellStyle name="Normal 8 7 2" xfId="3179" xr:uid="{00000000-0005-0000-0000-00005C1E0000}"/>
    <cellStyle name="Normal 8 7 2 2" xfId="7401" xr:uid="{00000000-0005-0000-0000-00005D1E0000}"/>
    <cellStyle name="Normal 8 7 2 2 2" xfId="15851" xr:uid="{03F62F46-BCAA-4CAD-BD64-3DAEB4B1CA06}"/>
    <cellStyle name="Normal 8 7 2 3" xfId="11633" xr:uid="{4670206F-BCB3-4005-8CF2-EEBE080A1A1A}"/>
    <cellStyle name="Normal 8 7 3" xfId="5256" xr:uid="{00000000-0005-0000-0000-00005E1E0000}"/>
    <cellStyle name="Normal 8 7 3 2" xfId="13706" xr:uid="{EB1AF4C5-8FF1-4444-8F08-3DE9097670B1}"/>
    <cellStyle name="Normal 8 7 4" xfId="9488" xr:uid="{15CC4FDF-ABAA-4632-B604-AC1C3426AD9A}"/>
    <cellStyle name="Normal 8 8" xfId="1362" xr:uid="{00000000-0005-0000-0000-00005F1E0000}"/>
    <cellStyle name="Normal 8 8 2" xfId="3592" xr:uid="{00000000-0005-0000-0000-0000601E0000}"/>
    <cellStyle name="Normal 8 8 2 2" xfId="7814" xr:uid="{00000000-0005-0000-0000-0000611E0000}"/>
    <cellStyle name="Normal 8 8 2 2 2" xfId="16264" xr:uid="{B4968CD6-BA85-4F4F-8D6E-9FBC9F8BF254}"/>
    <cellStyle name="Normal 8 8 2 3" xfId="12046" xr:uid="{80D39F95-DA78-49D3-9321-E690B0DA6F5D}"/>
    <cellStyle name="Normal 8 8 3" xfId="5669" xr:uid="{00000000-0005-0000-0000-0000621E0000}"/>
    <cellStyle name="Normal 8 8 3 2" xfId="14119" xr:uid="{DE8BF6D8-ABC1-47F6-B4DD-FB85048B8F27}"/>
    <cellStyle name="Normal 8 8 4" xfId="9901" xr:uid="{3F4B2E86-2862-490E-87C3-7537A56D0AB2}"/>
    <cellStyle name="Normal 8 9" xfId="1775" xr:uid="{00000000-0005-0000-0000-0000631E0000}"/>
    <cellStyle name="Normal 8 9 2" xfId="4005" xr:uid="{00000000-0005-0000-0000-0000641E0000}"/>
    <cellStyle name="Normal 8 9 2 2" xfId="8227" xr:uid="{00000000-0005-0000-0000-0000651E0000}"/>
    <cellStyle name="Normal 8 9 2 2 2" xfId="16677" xr:uid="{A77E10A4-0942-46D7-8104-7AED870CC6AD}"/>
    <cellStyle name="Normal 8 9 2 3" xfId="12459" xr:uid="{08D7D4C7-996D-44A8-8AE5-12C12B16BC0D}"/>
    <cellStyle name="Normal 8 9 3" xfId="6082" xr:uid="{00000000-0005-0000-0000-0000661E0000}"/>
    <cellStyle name="Normal 8 9 3 2" xfId="14532" xr:uid="{6E76E4ED-ACFB-4732-9DB9-21FC6E0BCE1F}"/>
    <cellStyle name="Normal 8 9 4" xfId="10314" xr:uid="{C2124A8B-FD0D-4A77-9CEE-2ED639E73F31}"/>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0 2 2" xfId="15390" xr:uid="{986C7918-E465-4C37-A0D4-FCC7B7649001}"/>
    <cellStyle name="Normal 9 2 10 3" xfId="11172" xr:uid="{BA721B73-5439-45CE-BC51-7AB0818380EA}"/>
    <cellStyle name="Normal 9 2 11" xfId="4875" xr:uid="{00000000-0005-0000-0000-00006B1E0000}"/>
    <cellStyle name="Normal 9 2 11 2" xfId="13325" xr:uid="{7132879A-335B-40AC-9B7A-44ED720E94CE}"/>
    <cellStyle name="Normal 9 2 12" xfId="9107" xr:uid="{8BA65D16-765F-4C9C-A58F-A2F5FB608F8E}"/>
    <cellStyle name="Normal 9 2 2" xfId="512" xr:uid="{00000000-0005-0000-0000-00006C1E0000}"/>
    <cellStyle name="Normal 9 2 2 10" xfId="4876" xr:uid="{00000000-0005-0000-0000-00006D1E0000}"/>
    <cellStyle name="Normal 9 2 2 10 2" xfId="13326" xr:uid="{1635CF33-1AD2-4F40-BAA7-A779BF38EFA0}"/>
    <cellStyle name="Normal 9 2 2 11" xfId="9108" xr:uid="{215A95EB-C53E-4BF7-B60D-0D6E4AE3F483}"/>
    <cellStyle name="Normal 9 2 2 2" xfId="513" xr:uid="{00000000-0005-0000-0000-00006E1E0000}"/>
    <cellStyle name="Normal 9 2 2 2 10" xfId="9109" xr:uid="{52862073-975B-4A52-A4CE-28B16D93B97D}"/>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2 2 2" xfId="15887" xr:uid="{61D5E980-7E88-42EC-8A7C-A43363BBBCB8}"/>
    <cellStyle name="Normal 9 2 2 2 2 2 2 2 3" xfId="11669" xr:uid="{AD1EF6C9-112A-4DFB-9948-C9E0B884642B}"/>
    <cellStyle name="Normal 9 2 2 2 2 2 2 3" xfId="5292" xr:uid="{00000000-0005-0000-0000-0000741E0000}"/>
    <cellStyle name="Normal 9 2 2 2 2 2 2 3 2" xfId="13742" xr:uid="{6600149B-FC88-4679-8687-06C0FA27620C}"/>
    <cellStyle name="Normal 9 2 2 2 2 2 2 4" xfId="9524" xr:uid="{EC4BC0A1-D9A2-4F52-99F2-AEC87C035DC8}"/>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2 2 2" xfId="16300" xr:uid="{839B18BC-8A60-4AB3-A10F-135B0E8621E5}"/>
    <cellStyle name="Normal 9 2 2 2 2 2 3 2 3" xfId="12082" xr:uid="{E90A4A9B-4A9D-4233-A426-0E659190C6F8}"/>
    <cellStyle name="Normal 9 2 2 2 2 2 3 3" xfId="5705" xr:uid="{00000000-0005-0000-0000-0000781E0000}"/>
    <cellStyle name="Normal 9 2 2 2 2 2 3 3 2" xfId="14155" xr:uid="{B84C3C50-153C-4316-A112-21E522B7E4E8}"/>
    <cellStyle name="Normal 9 2 2 2 2 2 3 4" xfId="9937" xr:uid="{7FA073D7-21E3-422C-824F-C16764E1E3EB}"/>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2 2 2" xfId="16713" xr:uid="{43D9E619-19D3-46B9-AAFC-6C5D9DFFF513}"/>
    <cellStyle name="Normal 9 2 2 2 2 2 4 2 3" xfId="12495" xr:uid="{75E1C9B9-3C99-44EA-B0AA-AC695D88A5E7}"/>
    <cellStyle name="Normal 9 2 2 2 2 2 4 3" xfId="6118" xr:uid="{00000000-0005-0000-0000-00007C1E0000}"/>
    <cellStyle name="Normal 9 2 2 2 2 2 4 3 2" xfId="14568" xr:uid="{8EAF3EEB-965D-434C-ABD5-8AA03EAB3F59}"/>
    <cellStyle name="Normal 9 2 2 2 2 2 4 4" xfId="10350" xr:uid="{D54A3093-20F4-4926-9BA1-561E68450E8F}"/>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2 2 2" xfId="17126" xr:uid="{103DAF2F-CC94-4845-8E40-C8B84CE7ADC8}"/>
    <cellStyle name="Normal 9 2 2 2 2 2 5 2 3" xfId="12908" xr:uid="{61E6D63D-D042-40CF-BDBA-46BF3F5E11A0}"/>
    <cellStyle name="Normal 9 2 2 2 2 2 5 3" xfId="6531" xr:uid="{00000000-0005-0000-0000-0000801E0000}"/>
    <cellStyle name="Normal 9 2 2 2 2 2 5 3 2" xfId="14981" xr:uid="{5CCCDBD8-1045-4C79-A36D-2F2D16FC3DBE}"/>
    <cellStyle name="Normal 9 2 2 2 2 2 5 4" xfId="10763" xr:uid="{2675C597-631E-41AB-BF6B-7565B9A3B83C}"/>
    <cellStyle name="Normal 9 2 2 2 2 2 6" xfId="2661" xr:uid="{00000000-0005-0000-0000-0000811E0000}"/>
    <cellStyle name="Normal 9 2 2 2 2 2 6 2" xfId="6944" xr:uid="{00000000-0005-0000-0000-0000821E0000}"/>
    <cellStyle name="Normal 9 2 2 2 2 2 6 2 2" xfId="15394" xr:uid="{58975BAF-D067-4131-93B1-B3F357DD9B11}"/>
    <cellStyle name="Normal 9 2 2 2 2 2 6 3" xfId="11176" xr:uid="{8CBAA975-ACDF-47AD-BE27-3A81D64B25CD}"/>
    <cellStyle name="Normal 9 2 2 2 2 2 7" xfId="4879" xr:uid="{00000000-0005-0000-0000-0000831E0000}"/>
    <cellStyle name="Normal 9 2 2 2 2 2 7 2" xfId="13329" xr:uid="{D89888C8-BEC7-4577-9F42-FDC4FA5C81D5}"/>
    <cellStyle name="Normal 9 2 2 2 2 2 8" xfId="9111" xr:uid="{D86A67CC-ECB9-4032-A8F8-D00CDA2232AC}"/>
    <cellStyle name="Normal 9 2 2 2 2 3" xfId="981" xr:uid="{00000000-0005-0000-0000-0000841E0000}"/>
    <cellStyle name="Normal 9 2 2 2 2 3 2" xfId="3214" xr:uid="{00000000-0005-0000-0000-0000851E0000}"/>
    <cellStyle name="Normal 9 2 2 2 2 3 2 2" xfId="7436" xr:uid="{00000000-0005-0000-0000-0000861E0000}"/>
    <cellStyle name="Normal 9 2 2 2 2 3 2 2 2" xfId="15886" xr:uid="{200084AF-1240-4F69-B624-D2B8C33971ED}"/>
    <cellStyle name="Normal 9 2 2 2 2 3 2 3" xfId="11668" xr:uid="{808EA617-DC63-4D76-B2DB-53D48B2A7082}"/>
    <cellStyle name="Normal 9 2 2 2 2 3 3" xfId="5291" xr:uid="{00000000-0005-0000-0000-0000871E0000}"/>
    <cellStyle name="Normal 9 2 2 2 2 3 3 2" xfId="13741" xr:uid="{21607F45-74E0-4F10-A19D-DEA64AF216DE}"/>
    <cellStyle name="Normal 9 2 2 2 2 3 4" xfId="9523" xr:uid="{427B6B03-E74E-4BE9-A77A-BB1856162068}"/>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2 2 2" xfId="16299" xr:uid="{00192F89-4B10-4332-A18F-8FE7FAB126AA}"/>
    <cellStyle name="Normal 9 2 2 2 2 4 2 3" xfId="12081" xr:uid="{40164DB2-7F14-4F16-B9E1-E7A13011D8B7}"/>
    <cellStyle name="Normal 9 2 2 2 2 4 3" xfId="5704" xr:uid="{00000000-0005-0000-0000-00008B1E0000}"/>
    <cellStyle name="Normal 9 2 2 2 2 4 3 2" xfId="14154" xr:uid="{9B871A83-13E7-4292-8B2E-7284D8B49F74}"/>
    <cellStyle name="Normal 9 2 2 2 2 4 4" xfId="9936" xr:uid="{0504E360-6212-492F-81B1-027089799AC4}"/>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2 2 2" xfId="16712" xr:uid="{F7A16FBF-1BF0-4B43-BB6C-B49168F0E563}"/>
    <cellStyle name="Normal 9 2 2 2 2 5 2 3" xfId="12494" xr:uid="{2F590997-CCBB-49F5-AC68-8F6C4C21E986}"/>
    <cellStyle name="Normal 9 2 2 2 2 5 3" xfId="6117" xr:uid="{00000000-0005-0000-0000-00008F1E0000}"/>
    <cellStyle name="Normal 9 2 2 2 2 5 3 2" xfId="14567" xr:uid="{3441EF2F-5B57-42DA-9EEA-C18702F95702}"/>
    <cellStyle name="Normal 9 2 2 2 2 5 4" xfId="10349" xr:uid="{F5AA009D-6594-472A-8BC3-0A5DAF1450F4}"/>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2 2 2" xfId="17125" xr:uid="{FD4FACFC-1898-4E1F-8781-8149B9B3C536}"/>
    <cellStyle name="Normal 9 2 2 2 2 6 2 3" xfId="12907" xr:uid="{F0241B30-BEAA-4432-940F-87D382F489E9}"/>
    <cellStyle name="Normal 9 2 2 2 2 6 3" xfId="6530" xr:uid="{00000000-0005-0000-0000-0000931E0000}"/>
    <cellStyle name="Normal 9 2 2 2 2 6 3 2" xfId="14980" xr:uid="{F7729829-017E-4606-B360-EF2C463BDDA0}"/>
    <cellStyle name="Normal 9 2 2 2 2 6 4" xfId="10762" xr:uid="{BA15DA4A-A505-4340-AB3C-3B8BF473DFC8}"/>
    <cellStyle name="Normal 9 2 2 2 2 7" xfId="2660" xr:uid="{00000000-0005-0000-0000-0000941E0000}"/>
    <cellStyle name="Normal 9 2 2 2 2 7 2" xfId="6943" xr:uid="{00000000-0005-0000-0000-0000951E0000}"/>
    <cellStyle name="Normal 9 2 2 2 2 7 2 2" xfId="15393" xr:uid="{9B4FB51E-D116-4973-8B9E-CF24035549EE}"/>
    <cellStyle name="Normal 9 2 2 2 2 7 3" xfId="11175" xr:uid="{094241AB-58CE-457A-A2D8-ED07B2907B5E}"/>
    <cellStyle name="Normal 9 2 2 2 2 8" xfId="4878" xr:uid="{00000000-0005-0000-0000-0000961E0000}"/>
    <cellStyle name="Normal 9 2 2 2 2 8 2" xfId="13328" xr:uid="{7F1105E1-87B1-45FD-84BE-B8474ACD130D}"/>
    <cellStyle name="Normal 9 2 2 2 2 9" xfId="9110" xr:uid="{CE92AF85-CE80-4EF9-9973-6C23678819A2}"/>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2 2 2" xfId="15888" xr:uid="{F3B72218-56E3-44B3-9A83-DAF28BBF5A44}"/>
    <cellStyle name="Normal 9 2 2 2 3 2 2 3" xfId="11670" xr:uid="{503585D1-78B0-4E6E-A06E-7A08EA2F3E3D}"/>
    <cellStyle name="Normal 9 2 2 2 3 2 3" xfId="5293" xr:uid="{00000000-0005-0000-0000-00009B1E0000}"/>
    <cellStyle name="Normal 9 2 2 2 3 2 3 2" xfId="13743" xr:uid="{3B100959-75BB-4375-A1EF-79CCB354AA3A}"/>
    <cellStyle name="Normal 9 2 2 2 3 2 4" xfId="9525" xr:uid="{1C1E73CE-8107-428C-8EE1-D56CBFFE814D}"/>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2 2 2" xfId="16301" xr:uid="{F5C014D7-2DB3-4481-9B30-3108CD877148}"/>
    <cellStyle name="Normal 9 2 2 2 3 3 2 3" xfId="12083" xr:uid="{12D350C1-B03C-4FFE-A89D-33A5BADD1E85}"/>
    <cellStyle name="Normal 9 2 2 2 3 3 3" xfId="5706" xr:uid="{00000000-0005-0000-0000-00009F1E0000}"/>
    <cellStyle name="Normal 9 2 2 2 3 3 3 2" xfId="14156" xr:uid="{D8ED92D0-5900-4D48-8C68-D57AB3D3145B}"/>
    <cellStyle name="Normal 9 2 2 2 3 3 4" xfId="9938" xr:uid="{A8D304F3-F96D-441F-9069-0E4A3F249BAB}"/>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2 2 2" xfId="16714" xr:uid="{6B3FAAF6-5570-4A60-8998-4CF73183E037}"/>
    <cellStyle name="Normal 9 2 2 2 3 4 2 3" xfId="12496" xr:uid="{045C6A1B-D845-4B53-B6ED-D6CB37EA2EF6}"/>
    <cellStyle name="Normal 9 2 2 2 3 4 3" xfId="6119" xr:uid="{00000000-0005-0000-0000-0000A31E0000}"/>
    <cellStyle name="Normal 9 2 2 2 3 4 3 2" xfId="14569" xr:uid="{0E542836-30C1-498F-9891-93D7C9ACECBD}"/>
    <cellStyle name="Normal 9 2 2 2 3 4 4" xfId="10351" xr:uid="{BFF03054-7D88-44FF-A965-0E17D9A5343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2 2 2" xfId="17127" xr:uid="{D2D07D73-B7B3-427C-B5E2-0C8EBADCAFA6}"/>
    <cellStyle name="Normal 9 2 2 2 3 5 2 3" xfId="12909" xr:uid="{768B456A-CBB8-42E3-ACC1-79F742143C8A}"/>
    <cellStyle name="Normal 9 2 2 2 3 5 3" xfId="6532" xr:uid="{00000000-0005-0000-0000-0000A71E0000}"/>
    <cellStyle name="Normal 9 2 2 2 3 5 3 2" xfId="14982" xr:uid="{D914D0EF-612D-44E8-A2B7-586919017E35}"/>
    <cellStyle name="Normal 9 2 2 2 3 5 4" xfId="10764" xr:uid="{ED23E6FD-56F9-4708-9481-F49961D50FA6}"/>
    <cellStyle name="Normal 9 2 2 2 3 6" xfId="2662" xr:uid="{00000000-0005-0000-0000-0000A81E0000}"/>
    <cellStyle name="Normal 9 2 2 2 3 6 2" xfId="6945" xr:uid="{00000000-0005-0000-0000-0000A91E0000}"/>
    <cellStyle name="Normal 9 2 2 2 3 6 2 2" xfId="15395" xr:uid="{939BABDA-4527-4B61-A76B-B1B5338C4E0E}"/>
    <cellStyle name="Normal 9 2 2 2 3 6 3" xfId="11177" xr:uid="{1A53B65F-F2BA-4474-BF80-00C5CA9D0DFC}"/>
    <cellStyle name="Normal 9 2 2 2 3 7" xfId="4880" xr:uid="{00000000-0005-0000-0000-0000AA1E0000}"/>
    <cellStyle name="Normal 9 2 2 2 3 7 2" xfId="13330" xr:uid="{31428F5B-C614-4CD8-BC00-6E2486F3D69D}"/>
    <cellStyle name="Normal 9 2 2 2 3 8" xfId="9112" xr:uid="{6D2E1FE3-7BA8-456F-B8FD-1F33F70B8E0D}"/>
    <cellStyle name="Normal 9 2 2 2 4" xfId="980" xr:uid="{00000000-0005-0000-0000-0000AB1E0000}"/>
    <cellStyle name="Normal 9 2 2 2 4 2" xfId="3213" xr:uid="{00000000-0005-0000-0000-0000AC1E0000}"/>
    <cellStyle name="Normal 9 2 2 2 4 2 2" xfId="7435" xr:uid="{00000000-0005-0000-0000-0000AD1E0000}"/>
    <cellStyle name="Normal 9 2 2 2 4 2 2 2" xfId="15885" xr:uid="{BD49D71D-A2C0-4C73-9A2F-C757D728B225}"/>
    <cellStyle name="Normal 9 2 2 2 4 2 3" xfId="11667" xr:uid="{B85A31CB-6E6E-45AA-8321-AF9E756E8A80}"/>
    <cellStyle name="Normal 9 2 2 2 4 3" xfId="5290" xr:uid="{00000000-0005-0000-0000-0000AE1E0000}"/>
    <cellStyle name="Normal 9 2 2 2 4 3 2" xfId="13740" xr:uid="{7FA5AA76-0044-4226-B297-605537D1E05E}"/>
    <cellStyle name="Normal 9 2 2 2 4 4" xfId="9522" xr:uid="{C4634647-3C11-4B85-80BA-0B5660502E04}"/>
    <cellStyle name="Normal 9 2 2 2 5" xfId="1396" xr:uid="{00000000-0005-0000-0000-0000AF1E0000}"/>
    <cellStyle name="Normal 9 2 2 2 5 2" xfId="3626" xr:uid="{00000000-0005-0000-0000-0000B01E0000}"/>
    <cellStyle name="Normal 9 2 2 2 5 2 2" xfId="7848" xr:uid="{00000000-0005-0000-0000-0000B11E0000}"/>
    <cellStyle name="Normal 9 2 2 2 5 2 2 2" xfId="16298" xr:uid="{94667E24-4A33-46B7-BE68-0EDE31227A03}"/>
    <cellStyle name="Normal 9 2 2 2 5 2 3" xfId="12080" xr:uid="{2543EABD-644E-4FBD-BEB4-494D670B7B0B}"/>
    <cellStyle name="Normal 9 2 2 2 5 3" xfId="5703" xr:uid="{00000000-0005-0000-0000-0000B21E0000}"/>
    <cellStyle name="Normal 9 2 2 2 5 3 2" xfId="14153" xr:uid="{1875D9F6-978B-45B7-B3D4-621CDF3CFD9C}"/>
    <cellStyle name="Normal 9 2 2 2 5 4" xfId="9935" xr:uid="{DF8E5202-367E-477D-BD67-C56921855332}"/>
    <cellStyle name="Normal 9 2 2 2 6" xfId="1809" xr:uid="{00000000-0005-0000-0000-0000B31E0000}"/>
    <cellStyle name="Normal 9 2 2 2 6 2" xfId="4039" xr:uid="{00000000-0005-0000-0000-0000B41E0000}"/>
    <cellStyle name="Normal 9 2 2 2 6 2 2" xfId="8261" xr:uid="{00000000-0005-0000-0000-0000B51E0000}"/>
    <cellStyle name="Normal 9 2 2 2 6 2 2 2" xfId="16711" xr:uid="{57CBA58E-3024-4274-A295-A933F30CE4D6}"/>
    <cellStyle name="Normal 9 2 2 2 6 2 3" xfId="12493" xr:uid="{88B05CA8-66EE-491F-86B5-19FB16FD077C}"/>
    <cellStyle name="Normal 9 2 2 2 6 3" xfId="6116" xr:uid="{00000000-0005-0000-0000-0000B61E0000}"/>
    <cellStyle name="Normal 9 2 2 2 6 3 2" xfId="14566" xr:uid="{1322CDC5-F148-446E-8C5C-3749963181E1}"/>
    <cellStyle name="Normal 9 2 2 2 6 4" xfId="10348" xr:uid="{EAA94FB4-9552-4463-B488-20D3A6E02F08}"/>
    <cellStyle name="Normal 9 2 2 2 7" xfId="2223" xr:uid="{00000000-0005-0000-0000-0000B71E0000}"/>
    <cellStyle name="Normal 9 2 2 2 7 2" xfId="4452" xr:uid="{00000000-0005-0000-0000-0000B81E0000}"/>
    <cellStyle name="Normal 9 2 2 2 7 2 2" xfId="8674" xr:uid="{00000000-0005-0000-0000-0000B91E0000}"/>
    <cellStyle name="Normal 9 2 2 2 7 2 2 2" xfId="17124" xr:uid="{DA88A520-2553-45EE-8DFD-46E218298A77}"/>
    <cellStyle name="Normal 9 2 2 2 7 2 3" xfId="12906" xr:uid="{7BB08F04-3405-4BB4-B2E9-E0F751C22174}"/>
    <cellStyle name="Normal 9 2 2 2 7 3" xfId="6529" xr:uid="{00000000-0005-0000-0000-0000BA1E0000}"/>
    <cellStyle name="Normal 9 2 2 2 7 3 2" xfId="14979" xr:uid="{08FFB620-5878-45BE-8B1B-E8AEB63ED618}"/>
    <cellStyle name="Normal 9 2 2 2 7 4" xfId="10761" xr:uid="{453AB69C-59F6-4C3F-AE60-C97E7A64F703}"/>
    <cellStyle name="Normal 9 2 2 2 8" xfId="2659" xr:uid="{00000000-0005-0000-0000-0000BB1E0000}"/>
    <cellStyle name="Normal 9 2 2 2 8 2" xfId="6942" xr:uid="{00000000-0005-0000-0000-0000BC1E0000}"/>
    <cellStyle name="Normal 9 2 2 2 8 2 2" xfId="15392" xr:uid="{68708469-32C3-4CD3-B336-6D1223C30916}"/>
    <cellStyle name="Normal 9 2 2 2 8 3" xfId="11174" xr:uid="{A9C1D563-88EE-4290-8D96-22BE77665013}"/>
    <cellStyle name="Normal 9 2 2 2 9" xfId="4877" xr:uid="{00000000-0005-0000-0000-0000BD1E0000}"/>
    <cellStyle name="Normal 9 2 2 2 9 2" xfId="13327" xr:uid="{F21FFC79-F4D2-4D30-8D27-39B291A1C0E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2 2 2" xfId="15890" xr:uid="{92F93EB4-6689-4D95-B311-02AB2D915E47}"/>
    <cellStyle name="Normal 9 2 2 3 2 2 2 3" xfId="11672" xr:uid="{8759CBFF-022F-4DF5-884E-19BEF5E57CB3}"/>
    <cellStyle name="Normal 9 2 2 3 2 2 3" xfId="5295" xr:uid="{00000000-0005-0000-0000-0000C31E0000}"/>
    <cellStyle name="Normal 9 2 2 3 2 2 3 2" xfId="13745" xr:uid="{763B1BE9-80E0-4CA6-99C8-11B006EE5DB1}"/>
    <cellStyle name="Normal 9 2 2 3 2 2 4" xfId="9527" xr:uid="{4F042BE3-E0B3-4DC4-9765-028B13734241}"/>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2 2 2" xfId="16303" xr:uid="{4A49E7F6-29EE-4F94-A9F2-649FF513EA90}"/>
    <cellStyle name="Normal 9 2 2 3 2 3 2 3" xfId="12085" xr:uid="{66839BF1-A1E1-4AD6-8960-2542D47572B6}"/>
    <cellStyle name="Normal 9 2 2 3 2 3 3" xfId="5708" xr:uid="{00000000-0005-0000-0000-0000C71E0000}"/>
    <cellStyle name="Normal 9 2 2 3 2 3 3 2" xfId="14158" xr:uid="{E65D318F-B176-4F67-AA0C-6BBB202B08BA}"/>
    <cellStyle name="Normal 9 2 2 3 2 3 4" xfId="9940" xr:uid="{D1372FBC-D030-463F-8C07-0EC6713B85AF}"/>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2 2 2" xfId="16716" xr:uid="{70C4C5F9-9EC8-4043-8E71-EFE64112A3DA}"/>
    <cellStyle name="Normal 9 2 2 3 2 4 2 3" xfId="12498" xr:uid="{79A96383-4EAC-4500-AFAF-412F871DB153}"/>
    <cellStyle name="Normal 9 2 2 3 2 4 3" xfId="6121" xr:uid="{00000000-0005-0000-0000-0000CB1E0000}"/>
    <cellStyle name="Normal 9 2 2 3 2 4 3 2" xfId="14571" xr:uid="{36118DD9-1C9D-42C8-8BA4-ACF13819CC5A}"/>
    <cellStyle name="Normal 9 2 2 3 2 4 4" xfId="10353" xr:uid="{5279EBAF-44AF-4B41-B8D8-777574ED7D2D}"/>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2 2 2" xfId="17129" xr:uid="{BDD3BC68-26C6-4E5B-AA46-B1D916A07D0C}"/>
    <cellStyle name="Normal 9 2 2 3 2 5 2 3" xfId="12911" xr:uid="{078C85E8-BC2D-45ED-BB2D-F69621CB007F}"/>
    <cellStyle name="Normal 9 2 2 3 2 5 3" xfId="6534" xr:uid="{00000000-0005-0000-0000-0000CF1E0000}"/>
    <cellStyle name="Normal 9 2 2 3 2 5 3 2" xfId="14984" xr:uid="{A292CD5A-EFB4-4BD6-B989-A256E7B853F8}"/>
    <cellStyle name="Normal 9 2 2 3 2 5 4" xfId="10766" xr:uid="{43DEE282-8704-4C25-992F-5FF86C25A1BA}"/>
    <cellStyle name="Normal 9 2 2 3 2 6" xfId="2664" xr:uid="{00000000-0005-0000-0000-0000D01E0000}"/>
    <cellStyle name="Normal 9 2 2 3 2 6 2" xfId="6947" xr:uid="{00000000-0005-0000-0000-0000D11E0000}"/>
    <cellStyle name="Normal 9 2 2 3 2 6 2 2" xfId="15397" xr:uid="{C6989D76-41F9-4F59-8123-92F8D54CDFE5}"/>
    <cellStyle name="Normal 9 2 2 3 2 6 3" xfId="11179" xr:uid="{F2397263-D81D-423B-A73E-AF87D55E1D1D}"/>
    <cellStyle name="Normal 9 2 2 3 2 7" xfId="4882" xr:uid="{00000000-0005-0000-0000-0000D21E0000}"/>
    <cellStyle name="Normal 9 2 2 3 2 7 2" xfId="13332" xr:uid="{A060D689-0CFE-40AF-8961-C59739F068B7}"/>
    <cellStyle name="Normal 9 2 2 3 2 8" xfId="9114" xr:uid="{659435F8-3A42-4BCF-AD07-07D204F2E5A1}"/>
    <cellStyle name="Normal 9 2 2 3 3" xfId="984" xr:uid="{00000000-0005-0000-0000-0000D31E0000}"/>
    <cellStyle name="Normal 9 2 2 3 3 2" xfId="3217" xr:uid="{00000000-0005-0000-0000-0000D41E0000}"/>
    <cellStyle name="Normal 9 2 2 3 3 2 2" xfId="7439" xr:uid="{00000000-0005-0000-0000-0000D51E0000}"/>
    <cellStyle name="Normal 9 2 2 3 3 2 2 2" xfId="15889" xr:uid="{B9FBDCC5-C786-415B-A791-929F52F4E13C}"/>
    <cellStyle name="Normal 9 2 2 3 3 2 3" xfId="11671" xr:uid="{771DF224-1E34-4523-B36F-61C07F646617}"/>
    <cellStyle name="Normal 9 2 2 3 3 3" xfId="5294" xr:uid="{00000000-0005-0000-0000-0000D61E0000}"/>
    <cellStyle name="Normal 9 2 2 3 3 3 2" xfId="13744" xr:uid="{663E6E7B-5E38-4578-981A-F3A5F844A37B}"/>
    <cellStyle name="Normal 9 2 2 3 3 4" xfId="9526" xr:uid="{23161A35-16AC-4A75-8E6B-24262E039B27}"/>
    <cellStyle name="Normal 9 2 2 3 4" xfId="1400" xr:uid="{00000000-0005-0000-0000-0000D71E0000}"/>
    <cellStyle name="Normal 9 2 2 3 4 2" xfId="3630" xr:uid="{00000000-0005-0000-0000-0000D81E0000}"/>
    <cellStyle name="Normal 9 2 2 3 4 2 2" xfId="7852" xr:uid="{00000000-0005-0000-0000-0000D91E0000}"/>
    <cellStyle name="Normal 9 2 2 3 4 2 2 2" xfId="16302" xr:uid="{36B1D576-2B02-43EC-8BEE-DEDB7957A522}"/>
    <cellStyle name="Normal 9 2 2 3 4 2 3" xfId="12084" xr:uid="{DDB235B3-5475-4F9F-AED6-4E462C121F52}"/>
    <cellStyle name="Normal 9 2 2 3 4 3" xfId="5707" xr:uid="{00000000-0005-0000-0000-0000DA1E0000}"/>
    <cellStyle name="Normal 9 2 2 3 4 3 2" xfId="14157" xr:uid="{0E3C5E45-563F-4FCC-B380-AA323BF643E0}"/>
    <cellStyle name="Normal 9 2 2 3 4 4" xfId="9939" xr:uid="{C2BD3F07-8522-41C4-8DCD-D9584A981F73}"/>
    <cellStyle name="Normal 9 2 2 3 5" xfId="1813" xr:uid="{00000000-0005-0000-0000-0000DB1E0000}"/>
    <cellStyle name="Normal 9 2 2 3 5 2" xfId="4043" xr:uid="{00000000-0005-0000-0000-0000DC1E0000}"/>
    <cellStyle name="Normal 9 2 2 3 5 2 2" xfId="8265" xr:uid="{00000000-0005-0000-0000-0000DD1E0000}"/>
    <cellStyle name="Normal 9 2 2 3 5 2 2 2" xfId="16715" xr:uid="{061AE171-55A9-46F1-82AF-51CB920FA826}"/>
    <cellStyle name="Normal 9 2 2 3 5 2 3" xfId="12497" xr:uid="{5902E35C-2288-43A3-8DE7-B1444F039CC5}"/>
    <cellStyle name="Normal 9 2 2 3 5 3" xfId="6120" xr:uid="{00000000-0005-0000-0000-0000DE1E0000}"/>
    <cellStyle name="Normal 9 2 2 3 5 3 2" xfId="14570" xr:uid="{841C2B2B-324A-4C6B-8D66-8E5898C060A9}"/>
    <cellStyle name="Normal 9 2 2 3 5 4" xfId="10352" xr:uid="{65D45D86-B1C4-49B0-9D74-3AE04EE49A14}"/>
    <cellStyle name="Normal 9 2 2 3 6" xfId="2227" xr:uid="{00000000-0005-0000-0000-0000DF1E0000}"/>
    <cellStyle name="Normal 9 2 2 3 6 2" xfId="4456" xr:uid="{00000000-0005-0000-0000-0000E01E0000}"/>
    <cellStyle name="Normal 9 2 2 3 6 2 2" xfId="8678" xr:uid="{00000000-0005-0000-0000-0000E11E0000}"/>
    <cellStyle name="Normal 9 2 2 3 6 2 2 2" xfId="17128" xr:uid="{7F668A2F-EA7C-4961-AC5E-AD5F521D479E}"/>
    <cellStyle name="Normal 9 2 2 3 6 2 3" xfId="12910" xr:uid="{CDE2E2A8-9DA9-4FA1-9C2B-657AEDD3958A}"/>
    <cellStyle name="Normal 9 2 2 3 6 3" xfId="6533" xr:uid="{00000000-0005-0000-0000-0000E21E0000}"/>
    <cellStyle name="Normal 9 2 2 3 6 3 2" xfId="14983" xr:uid="{E863E08F-539D-4CD9-8FC4-DBFF12019216}"/>
    <cellStyle name="Normal 9 2 2 3 6 4" xfId="10765" xr:uid="{6D4443CB-9A84-4113-8ADD-9CABE622C4BE}"/>
    <cellStyle name="Normal 9 2 2 3 7" xfId="2663" xr:uid="{00000000-0005-0000-0000-0000E31E0000}"/>
    <cellStyle name="Normal 9 2 2 3 7 2" xfId="6946" xr:uid="{00000000-0005-0000-0000-0000E41E0000}"/>
    <cellStyle name="Normal 9 2 2 3 7 2 2" xfId="15396" xr:uid="{14A651B4-7C2E-4A18-BAD7-86645C364F04}"/>
    <cellStyle name="Normal 9 2 2 3 7 3" xfId="11178" xr:uid="{22214F2F-8F53-41B9-BBA5-9A2FA1783F4E}"/>
    <cellStyle name="Normal 9 2 2 3 8" xfId="4881" xr:uid="{00000000-0005-0000-0000-0000E51E0000}"/>
    <cellStyle name="Normal 9 2 2 3 8 2" xfId="13331" xr:uid="{2E1C8B67-2B06-4FFA-BB78-B8FD6F44149F}"/>
    <cellStyle name="Normal 9 2 2 3 9" xfId="9113" xr:uid="{EF614665-0B6E-420F-92EC-B02B0FE70189}"/>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2 2 2" xfId="15891" xr:uid="{5687ADE5-5ACC-48FE-BE5B-08C0BCBAB049}"/>
    <cellStyle name="Normal 9 2 2 4 2 2 3" xfId="11673" xr:uid="{203527E8-A10C-4A28-A3B7-04100874CCDD}"/>
    <cellStyle name="Normal 9 2 2 4 2 3" xfId="5296" xr:uid="{00000000-0005-0000-0000-0000EA1E0000}"/>
    <cellStyle name="Normal 9 2 2 4 2 3 2" xfId="13746" xr:uid="{4418B5B5-7515-4F03-A664-14EA6351355C}"/>
    <cellStyle name="Normal 9 2 2 4 2 4" xfId="9528" xr:uid="{B450EBDC-7716-4652-9E4E-760F1D3CAE08}"/>
    <cellStyle name="Normal 9 2 2 4 3" xfId="1402" xr:uid="{00000000-0005-0000-0000-0000EB1E0000}"/>
    <cellStyle name="Normal 9 2 2 4 3 2" xfId="3632" xr:uid="{00000000-0005-0000-0000-0000EC1E0000}"/>
    <cellStyle name="Normal 9 2 2 4 3 2 2" xfId="7854" xr:uid="{00000000-0005-0000-0000-0000ED1E0000}"/>
    <cellStyle name="Normal 9 2 2 4 3 2 2 2" xfId="16304" xr:uid="{5A3B9CC1-FE3D-4C8B-9F4D-9E7292883F44}"/>
    <cellStyle name="Normal 9 2 2 4 3 2 3" xfId="12086" xr:uid="{9C53A476-652B-49C5-BA2F-026195EF3261}"/>
    <cellStyle name="Normal 9 2 2 4 3 3" xfId="5709" xr:uid="{00000000-0005-0000-0000-0000EE1E0000}"/>
    <cellStyle name="Normal 9 2 2 4 3 3 2" xfId="14159" xr:uid="{17AC4F13-5441-4FE5-BD2F-56A240F14745}"/>
    <cellStyle name="Normal 9 2 2 4 3 4" xfId="9941" xr:uid="{1E5EFE33-3FB2-4355-8FD8-702659014E52}"/>
    <cellStyle name="Normal 9 2 2 4 4" xfId="1815" xr:uid="{00000000-0005-0000-0000-0000EF1E0000}"/>
    <cellStyle name="Normal 9 2 2 4 4 2" xfId="4045" xr:uid="{00000000-0005-0000-0000-0000F01E0000}"/>
    <cellStyle name="Normal 9 2 2 4 4 2 2" xfId="8267" xr:uid="{00000000-0005-0000-0000-0000F11E0000}"/>
    <cellStyle name="Normal 9 2 2 4 4 2 2 2" xfId="16717" xr:uid="{377EF031-46D4-434D-B3DD-75A763F441E6}"/>
    <cellStyle name="Normal 9 2 2 4 4 2 3" xfId="12499" xr:uid="{548CFBC9-0D16-49E8-8C93-4E3A7BBBA64C}"/>
    <cellStyle name="Normal 9 2 2 4 4 3" xfId="6122" xr:uid="{00000000-0005-0000-0000-0000F21E0000}"/>
    <cellStyle name="Normal 9 2 2 4 4 3 2" xfId="14572" xr:uid="{2C51E542-8B15-4396-AAF1-1AEDCEDB4BA3}"/>
    <cellStyle name="Normal 9 2 2 4 4 4" xfId="10354" xr:uid="{3051B007-5F7C-4C1B-8DA1-D69F4FF05A00}"/>
    <cellStyle name="Normal 9 2 2 4 5" xfId="2229" xr:uid="{00000000-0005-0000-0000-0000F31E0000}"/>
    <cellStyle name="Normal 9 2 2 4 5 2" xfId="4458" xr:uid="{00000000-0005-0000-0000-0000F41E0000}"/>
    <cellStyle name="Normal 9 2 2 4 5 2 2" xfId="8680" xr:uid="{00000000-0005-0000-0000-0000F51E0000}"/>
    <cellStyle name="Normal 9 2 2 4 5 2 2 2" xfId="17130" xr:uid="{5DAEB7EF-1EA2-47BA-9F7A-8EB3DD9E3DBC}"/>
    <cellStyle name="Normal 9 2 2 4 5 2 3" xfId="12912" xr:uid="{8B784B85-E5B1-4562-BF8F-D0CD6DA0A734}"/>
    <cellStyle name="Normal 9 2 2 4 5 3" xfId="6535" xr:uid="{00000000-0005-0000-0000-0000F61E0000}"/>
    <cellStyle name="Normal 9 2 2 4 5 3 2" xfId="14985" xr:uid="{0C66520D-A089-4ECD-AE81-7A4788B57650}"/>
    <cellStyle name="Normal 9 2 2 4 5 4" xfId="10767" xr:uid="{6E8B4CA3-2E7C-49CC-8C69-11D7C09AEEED}"/>
    <cellStyle name="Normal 9 2 2 4 6" xfId="2665" xr:uid="{00000000-0005-0000-0000-0000F71E0000}"/>
    <cellStyle name="Normal 9 2 2 4 6 2" xfId="6948" xr:uid="{00000000-0005-0000-0000-0000F81E0000}"/>
    <cellStyle name="Normal 9 2 2 4 6 2 2" xfId="15398" xr:uid="{5E7A5E8F-D7ED-4D48-A85C-B4F5A18F1BC5}"/>
    <cellStyle name="Normal 9 2 2 4 6 3" xfId="11180" xr:uid="{396B7448-A5B3-4FA4-B57A-7A9CDE4BE3AF}"/>
    <cellStyle name="Normal 9 2 2 4 7" xfId="4883" xr:uid="{00000000-0005-0000-0000-0000F91E0000}"/>
    <cellStyle name="Normal 9 2 2 4 7 2" xfId="13333" xr:uid="{EA37CE33-E726-4D5E-8E44-AE2467D59CF1}"/>
    <cellStyle name="Normal 9 2 2 4 8" xfId="9115" xr:uid="{563F1D80-03A9-40AB-9896-CA8EC71FA27D}"/>
    <cellStyle name="Normal 9 2 2 5" xfId="979" xr:uid="{00000000-0005-0000-0000-0000FA1E0000}"/>
    <cellStyle name="Normal 9 2 2 5 2" xfId="3212" xr:uid="{00000000-0005-0000-0000-0000FB1E0000}"/>
    <cellStyle name="Normal 9 2 2 5 2 2" xfId="7434" xr:uid="{00000000-0005-0000-0000-0000FC1E0000}"/>
    <cellStyle name="Normal 9 2 2 5 2 2 2" xfId="15884" xr:uid="{8F159A18-051E-444F-927A-743576589DE0}"/>
    <cellStyle name="Normal 9 2 2 5 2 3" xfId="11666" xr:uid="{780ECF86-1C2D-4C7B-85DD-60FA0F7EB584}"/>
    <cellStyle name="Normal 9 2 2 5 3" xfId="5289" xr:uid="{00000000-0005-0000-0000-0000FD1E0000}"/>
    <cellStyle name="Normal 9 2 2 5 3 2" xfId="13739" xr:uid="{361F7D79-72F6-49EA-A437-013558EE2BD9}"/>
    <cellStyle name="Normal 9 2 2 5 4" xfId="9521" xr:uid="{8E495854-8095-4B0B-82EE-A804EB25275F}"/>
    <cellStyle name="Normal 9 2 2 6" xfId="1395" xr:uid="{00000000-0005-0000-0000-0000FE1E0000}"/>
    <cellStyle name="Normal 9 2 2 6 2" xfId="3625" xr:uid="{00000000-0005-0000-0000-0000FF1E0000}"/>
    <cellStyle name="Normal 9 2 2 6 2 2" xfId="7847" xr:uid="{00000000-0005-0000-0000-0000001F0000}"/>
    <cellStyle name="Normal 9 2 2 6 2 2 2" xfId="16297" xr:uid="{557E554C-C380-4217-8C5A-1752F5054542}"/>
    <cellStyle name="Normal 9 2 2 6 2 3" xfId="12079" xr:uid="{E9788234-637F-4CF4-ABDD-CC4DA30AFB65}"/>
    <cellStyle name="Normal 9 2 2 6 3" xfId="5702" xr:uid="{00000000-0005-0000-0000-0000011F0000}"/>
    <cellStyle name="Normal 9 2 2 6 3 2" xfId="14152" xr:uid="{94368BAA-4396-41B9-BE2C-4173406C09C8}"/>
    <cellStyle name="Normal 9 2 2 6 4" xfId="9934" xr:uid="{DD3EA404-271F-4F71-86F0-524E58B4541D}"/>
    <cellStyle name="Normal 9 2 2 7" xfId="1808" xr:uid="{00000000-0005-0000-0000-0000021F0000}"/>
    <cellStyle name="Normal 9 2 2 7 2" xfId="4038" xr:uid="{00000000-0005-0000-0000-0000031F0000}"/>
    <cellStyle name="Normal 9 2 2 7 2 2" xfId="8260" xr:uid="{00000000-0005-0000-0000-0000041F0000}"/>
    <cellStyle name="Normal 9 2 2 7 2 2 2" xfId="16710" xr:uid="{54445D67-BBBF-46A3-B975-F0B6876DFD46}"/>
    <cellStyle name="Normal 9 2 2 7 2 3" xfId="12492" xr:uid="{A659D714-7355-431D-A0E6-1384DB6AEF6A}"/>
    <cellStyle name="Normal 9 2 2 7 3" xfId="6115" xr:uid="{00000000-0005-0000-0000-0000051F0000}"/>
    <cellStyle name="Normal 9 2 2 7 3 2" xfId="14565" xr:uid="{401AE4C3-3305-452B-A4AF-57539D3E0178}"/>
    <cellStyle name="Normal 9 2 2 7 4" xfId="10347" xr:uid="{C1079FE3-03E6-4BB1-9323-B2B9215D8308}"/>
    <cellStyle name="Normal 9 2 2 8" xfId="2222" xr:uid="{00000000-0005-0000-0000-0000061F0000}"/>
    <cellStyle name="Normal 9 2 2 8 2" xfId="4451" xr:uid="{00000000-0005-0000-0000-0000071F0000}"/>
    <cellStyle name="Normal 9 2 2 8 2 2" xfId="8673" xr:uid="{00000000-0005-0000-0000-0000081F0000}"/>
    <cellStyle name="Normal 9 2 2 8 2 2 2" xfId="17123" xr:uid="{40FC051A-B6D4-4380-8291-9DD5A8E76352}"/>
    <cellStyle name="Normal 9 2 2 8 2 3" xfId="12905" xr:uid="{DD3E3435-7A48-4787-9360-399CA08417F5}"/>
    <cellStyle name="Normal 9 2 2 8 3" xfId="6528" xr:uid="{00000000-0005-0000-0000-0000091F0000}"/>
    <cellStyle name="Normal 9 2 2 8 3 2" xfId="14978" xr:uid="{75D133CC-5CD4-48F8-9DA4-611D27D2B3F0}"/>
    <cellStyle name="Normal 9 2 2 8 4" xfId="10760" xr:uid="{22838563-328D-449E-AE7B-0489DD7FCB38}"/>
    <cellStyle name="Normal 9 2 2 9" xfId="2658" xr:uid="{00000000-0005-0000-0000-00000A1F0000}"/>
    <cellStyle name="Normal 9 2 2 9 2" xfId="6941" xr:uid="{00000000-0005-0000-0000-00000B1F0000}"/>
    <cellStyle name="Normal 9 2 2 9 2 2" xfId="15391" xr:uid="{244BC955-4FDB-475A-BD40-B961E4D3B1CB}"/>
    <cellStyle name="Normal 9 2 2 9 3" xfId="11173" xr:uid="{35B3E83A-EB19-47A6-93B8-D89BA3A9E9D8}"/>
    <cellStyle name="Normal 9 2 3" xfId="520" xr:uid="{00000000-0005-0000-0000-00000C1F0000}"/>
    <cellStyle name="Normal 9 2 3 10" xfId="9116" xr:uid="{27B542EA-BEF4-453C-96A0-C318BCA0231A}"/>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2 2 2" xfId="15894" xr:uid="{47E1CAED-53C5-419F-9374-18552E8D6B91}"/>
    <cellStyle name="Normal 9 2 3 2 2 2 2 3" xfId="11676" xr:uid="{99900B5B-92ED-4C9A-9EF8-61C3263A29AD}"/>
    <cellStyle name="Normal 9 2 3 2 2 2 3" xfId="5299" xr:uid="{00000000-0005-0000-0000-0000121F0000}"/>
    <cellStyle name="Normal 9 2 3 2 2 2 3 2" xfId="13749" xr:uid="{5F07AC48-6B0B-4568-9B11-EAB6AE92995F}"/>
    <cellStyle name="Normal 9 2 3 2 2 2 4" xfId="9531" xr:uid="{0A75F42C-5CDD-4184-8CF5-45B3519E670E}"/>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2 2 2" xfId="16307" xr:uid="{8169CA8B-B9C0-479F-A424-77E35E396B12}"/>
    <cellStyle name="Normal 9 2 3 2 2 3 2 3" xfId="12089" xr:uid="{C341ECC6-F19E-4980-A1C7-C717D9C986B9}"/>
    <cellStyle name="Normal 9 2 3 2 2 3 3" xfId="5712" xr:uid="{00000000-0005-0000-0000-0000161F0000}"/>
    <cellStyle name="Normal 9 2 3 2 2 3 3 2" xfId="14162" xr:uid="{E4F1C855-D1DB-4038-8BBE-2494809A811E}"/>
    <cellStyle name="Normal 9 2 3 2 2 3 4" xfId="9944" xr:uid="{CB50707B-FB18-45F9-B450-736E68EE6EC6}"/>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2 2 2" xfId="16720" xr:uid="{2A494543-C187-4795-8DA8-51A2A227499C}"/>
    <cellStyle name="Normal 9 2 3 2 2 4 2 3" xfId="12502" xr:uid="{9DB26C9E-75FA-4FC4-84C2-E1E1C37186E4}"/>
    <cellStyle name="Normal 9 2 3 2 2 4 3" xfId="6125" xr:uid="{00000000-0005-0000-0000-00001A1F0000}"/>
    <cellStyle name="Normal 9 2 3 2 2 4 3 2" xfId="14575" xr:uid="{FF8A76B1-1AC6-4F4A-AF21-A2458476E7B9}"/>
    <cellStyle name="Normal 9 2 3 2 2 4 4" xfId="10357" xr:uid="{3644C3AE-A135-4725-A8C3-73B59A6F1DDD}"/>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2 2 2" xfId="17133" xr:uid="{FC539CDD-3E98-4A58-80C4-29A304C65A88}"/>
    <cellStyle name="Normal 9 2 3 2 2 5 2 3" xfId="12915" xr:uid="{FDCBF82F-EAAF-40D6-86B9-41BAD59325E1}"/>
    <cellStyle name="Normal 9 2 3 2 2 5 3" xfId="6538" xr:uid="{00000000-0005-0000-0000-00001E1F0000}"/>
    <cellStyle name="Normal 9 2 3 2 2 5 3 2" xfId="14988" xr:uid="{01384D97-E807-430B-9E7B-B168CD9546AB}"/>
    <cellStyle name="Normal 9 2 3 2 2 5 4" xfId="10770" xr:uid="{D8492CDB-D1AB-487B-B509-6612F8F949E9}"/>
    <cellStyle name="Normal 9 2 3 2 2 6" xfId="2668" xr:uid="{00000000-0005-0000-0000-00001F1F0000}"/>
    <cellStyle name="Normal 9 2 3 2 2 6 2" xfId="6951" xr:uid="{00000000-0005-0000-0000-0000201F0000}"/>
    <cellStyle name="Normal 9 2 3 2 2 6 2 2" xfId="15401" xr:uid="{C446C8A8-0E50-452C-A732-C5DD975DACC1}"/>
    <cellStyle name="Normal 9 2 3 2 2 6 3" xfId="11183" xr:uid="{CB0D88C1-A6E1-4E0C-954A-04CAABBE21DB}"/>
    <cellStyle name="Normal 9 2 3 2 2 7" xfId="4886" xr:uid="{00000000-0005-0000-0000-0000211F0000}"/>
    <cellStyle name="Normal 9 2 3 2 2 7 2" xfId="13336" xr:uid="{C550D79E-9C72-4C5A-9184-F55055595649}"/>
    <cellStyle name="Normal 9 2 3 2 2 8" xfId="9118" xr:uid="{A194E421-B9B0-4F2A-931C-611FDFC0E614}"/>
    <cellStyle name="Normal 9 2 3 2 3" xfId="988" xr:uid="{00000000-0005-0000-0000-0000221F0000}"/>
    <cellStyle name="Normal 9 2 3 2 3 2" xfId="3221" xr:uid="{00000000-0005-0000-0000-0000231F0000}"/>
    <cellStyle name="Normal 9 2 3 2 3 2 2" xfId="7443" xr:uid="{00000000-0005-0000-0000-0000241F0000}"/>
    <cellStyle name="Normal 9 2 3 2 3 2 2 2" xfId="15893" xr:uid="{569F210B-1444-4DDF-A5E7-F3A4B329ADEB}"/>
    <cellStyle name="Normal 9 2 3 2 3 2 3" xfId="11675" xr:uid="{97F4D1E7-53D2-4734-A7B2-BED3A173E827}"/>
    <cellStyle name="Normal 9 2 3 2 3 3" xfId="5298" xr:uid="{00000000-0005-0000-0000-0000251F0000}"/>
    <cellStyle name="Normal 9 2 3 2 3 3 2" xfId="13748" xr:uid="{281E833C-9C1A-45F3-AD79-D634DE740BD6}"/>
    <cellStyle name="Normal 9 2 3 2 3 4" xfId="9530" xr:uid="{89725576-4CE5-45AB-9D88-4D49D3511EFF}"/>
    <cellStyle name="Normal 9 2 3 2 4" xfId="1404" xr:uid="{00000000-0005-0000-0000-0000261F0000}"/>
    <cellStyle name="Normal 9 2 3 2 4 2" xfId="3634" xr:uid="{00000000-0005-0000-0000-0000271F0000}"/>
    <cellStyle name="Normal 9 2 3 2 4 2 2" xfId="7856" xr:uid="{00000000-0005-0000-0000-0000281F0000}"/>
    <cellStyle name="Normal 9 2 3 2 4 2 2 2" xfId="16306" xr:uid="{D7F9FA67-BEF8-4728-A15E-66A372AD2FF8}"/>
    <cellStyle name="Normal 9 2 3 2 4 2 3" xfId="12088" xr:uid="{E63E17DD-23B7-4C61-A211-5B38E191FC8F}"/>
    <cellStyle name="Normal 9 2 3 2 4 3" xfId="5711" xr:uid="{00000000-0005-0000-0000-0000291F0000}"/>
    <cellStyle name="Normal 9 2 3 2 4 3 2" xfId="14161" xr:uid="{0F614A60-7B53-4FDB-B755-647FD0B7E745}"/>
    <cellStyle name="Normal 9 2 3 2 4 4" xfId="9943" xr:uid="{D9AFC555-231E-491D-A17E-99140F2F2875}"/>
    <cellStyle name="Normal 9 2 3 2 5" xfId="1817" xr:uid="{00000000-0005-0000-0000-00002A1F0000}"/>
    <cellStyle name="Normal 9 2 3 2 5 2" xfId="4047" xr:uid="{00000000-0005-0000-0000-00002B1F0000}"/>
    <cellStyle name="Normal 9 2 3 2 5 2 2" xfId="8269" xr:uid="{00000000-0005-0000-0000-00002C1F0000}"/>
    <cellStyle name="Normal 9 2 3 2 5 2 2 2" xfId="16719" xr:uid="{27889057-4F57-4075-A0DA-CBB205D31541}"/>
    <cellStyle name="Normal 9 2 3 2 5 2 3" xfId="12501" xr:uid="{9ED25971-62BC-44A2-8164-DF841198526F}"/>
    <cellStyle name="Normal 9 2 3 2 5 3" xfId="6124" xr:uid="{00000000-0005-0000-0000-00002D1F0000}"/>
    <cellStyle name="Normal 9 2 3 2 5 3 2" xfId="14574" xr:uid="{78BE9C14-7B5B-4A2A-8B23-BE7F3FB010D0}"/>
    <cellStyle name="Normal 9 2 3 2 5 4" xfId="10356" xr:uid="{D80C69CB-6390-4C3E-A96B-09CE3F943489}"/>
    <cellStyle name="Normal 9 2 3 2 6" xfId="2231" xr:uid="{00000000-0005-0000-0000-00002E1F0000}"/>
    <cellStyle name="Normal 9 2 3 2 6 2" xfId="4460" xr:uid="{00000000-0005-0000-0000-00002F1F0000}"/>
    <cellStyle name="Normal 9 2 3 2 6 2 2" xfId="8682" xr:uid="{00000000-0005-0000-0000-0000301F0000}"/>
    <cellStyle name="Normal 9 2 3 2 6 2 2 2" xfId="17132" xr:uid="{83987C09-4D2C-4512-B0C3-8B305D09355D}"/>
    <cellStyle name="Normal 9 2 3 2 6 2 3" xfId="12914" xr:uid="{54D900DF-5798-455A-ACF7-49D81409C8FD}"/>
    <cellStyle name="Normal 9 2 3 2 6 3" xfId="6537" xr:uid="{00000000-0005-0000-0000-0000311F0000}"/>
    <cellStyle name="Normal 9 2 3 2 6 3 2" xfId="14987" xr:uid="{E3C9288E-F8FE-459F-B708-73E12191A6A5}"/>
    <cellStyle name="Normal 9 2 3 2 6 4" xfId="10769" xr:uid="{33AEF0F2-FC06-4C4E-AA98-D98B9DEAEFE7}"/>
    <cellStyle name="Normal 9 2 3 2 7" xfId="2667" xr:uid="{00000000-0005-0000-0000-0000321F0000}"/>
    <cellStyle name="Normal 9 2 3 2 7 2" xfId="6950" xr:uid="{00000000-0005-0000-0000-0000331F0000}"/>
    <cellStyle name="Normal 9 2 3 2 7 2 2" xfId="15400" xr:uid="{7B592D35-E5C4-4C28-9DA8-AC524E8F655C}"/>
    <cellStyle name="Normal 9 2 3 2 7 3" xfId="11182" xr:uid="{0BE7704D-3723-4016-8EF4-2418B9ACEA60}"/>
    <cellStyle name="Normal 9 2 3 2 8" xfId="4885" xr:uid="{00000000-0005-0000-0000-0000341F0000}"/>
    <cellStyle name="Normal 9 2 3 2 8 2" xfId="13335" xr:uid="{6F8DF96A-8C17-4A4E-80FA-AAB8235C7CD3}"/>
    <cellStyle name="Normal 9 2 3 2 9" xfId="9117" xr:uid="{CA46A40C-5AB9-47D6-BFF3-43D0397AAD23}"/>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2 2 2" xfId="15895" xr:uid="{80AAE4FD-5A6C-4CE4-BDC7-C4FB7FBC886D}"/>
    <cellStyle name="Normal 9 2 3 3 2 2 3" xfId="11677" xr:uid="{7B7A114C-F78B-438D-A340-9103A3DF3335}"/>
    <cellStyle name="Normal 9 2 3 3 2 3" xfId="5300" xr:uid="{00000000-0005-0000-0000-0000391F0000}"/>
    <cellStyle name="Normal 9 2 3 3 2 3 2" xfId="13750" xr:uid="{BE7FAE98-AEC2-4822-AF13-B10BC621ADA9}"/>
    <cellStyle name="Normal 9 2 3 3 2 4" xfId="9532" xr:uid="{D5EA2464-AC3E-42D8-887E-E80FC4889B47}"/>
    <cellStyle name="Normal 9 2 3 3 3" xfId="1406" xr:uid="{00000000-0005-0000-0000-00003A1F0000}"/>
    <cellStyle name="Normal 9 2 3 3 3 2" xfId="3636" xr:uid="{00000000-0005-0000-0000-00003B1F0000}"/>
    <cellStyle name="Normal 9 2 3 3 3 2 2" xfId="7858" xr:uid="{00000000-0005-0000-0000-00003C1F0000}"/>
    <cellStyle name="Normal 9 2 3 3 3 2 2 2" xfId="16308" xr:uid="{230A2B16-40F3-4F86-906A-3C9CC6F8FF4E}"/>
    <cellStyle name="Normal 9 2 3 3 3 2 3" xfId="12090" xr:uid="{51F1792E-B39E-4D55-AE67-3253937FCCB9}"/>
    <cellStyle name="Normal 9 2 3 3 3 3" xfId="5713" xr:uid="{00000000-0005-0000-0000-00003D1F0000}"/>
    <cellStyle name="Normal 9 2 3 3 3 3 2" xfId="14163" xr:uid="{598F361A-8B2B-4429-9E39-49DF3D0AC1A3}"/>
    <cellStyle name="Normal 9 2 3 3 3 4" xfId="9945" xr:uid="{ACF44F38-993B-4DCB-BA35-5A0AB46ED6AB}"/>
    <cellStyle name="Normal 9 2 3 3 4" xfId="1819" xr:uid="{00000000-0005-0000-0000-00003E1F0000}"/>
    <cellStyle name="Normal 9 2 3 3 4 2" xfId="4049" xr:uid="{00000000-0005-0000-0000-00003F1F0000}"/>
    <cellStyle name="Normal 9 2 3 3 4 2 2" xfId="8271" xr:uid="{00000000-0005-0000-0000-0000401F0000}"/>
    <cellStyle name="Normal 9 2 3 3 4 2 2 2" xfId="16721" xr:uid="{061277B2-9C74-44BF-9B37-43E80F0CD07C}"/>
    <cellStyle name="Normal 9 2 3 3 4 2 3" xfId="12503" xr:uid="{D16E091E-8E3A-466D-AF0D-5BF86DFB5C56}"/>
    <cellStyle name="Normal 9 2 3 3 4 3" xfId="6126" xr:uid="{00000000-0005-0000-0000-0000411F0000}"/>
    <cellStyle name="Normal 9 2 3 3 4 3 2" xfId="14576" xr:uid="{E2D8C3BC-EF08-43E9-9C0A-F1B55180EE33}"/>
    <cellStyle name="Normal 9 2 3 3 4 4" xfId="10358" xr:uid="{F24D85B3-51D8-450A-B73A-7EE803A9E851}"/>
    <cellStyle name="Normal 9 2 3 3 5" xfId="2233" xr:uid="{00000000-0005-0000-0000-0000421F0000}"/>
    <cellStyle name="Normal 9 2 3 3 5 2" xfId="4462" xr:uid="{00000000-0005-0000-0000-0000431F0000}"/>
    <cellStyle name="Normal 9 2 3 3 5 2 2" xfId="8684" xr:uid="{00000000-0005-0000-0000-0000441F0000}"/>
    <cellStyle name="Normal 9 2 3 3 5 2 2 2" xfId="17134" xr:uid="{8A4F0E9B-92E1-4DF2-8F52-CA8E70C811BC}"/>
    <cellStyle name="Normal 9 2 3 3 5 2 3" xfId="12916" xr:uid="{BDA673E1-6EB9-4E0E-A726-79F72AD56CC9}"/>
    <cellStyle name="Normal 9 2 3 3 5 3" xfId="6539" xr:uid="{00000000-0005-0000-0000-0000451F0000}"/>
    <cellStyle name="Normal 9 2 3 3 5 3 2" xfId="14989" xr:uid="{EB4CE021-FEB7-4DDC-BA66-2A9454898854}"/>
    <cellStyle name="Normal 9 2 3 3 5 4" xfId="10771" xr:uid="{CF30278A-E4B8-4FAD-BF98-CA1EA1D9AEAB}"/>
    <cellStyle name="Normal 9 2 3 3 6" xfId="2669" xr:uid="{00000000-0005-0000-0000-0000461F0000}"/>
    <cellStyle name="Normal 9 2 3 3 6 2" xfId="6952" xr:uid="{00000000-0005-0000-0000-0000471F0000}"/>
    <cellStyle name="Normal 9 2 3 3 6 2 2" xfId="15402" xr:uid="{5F26F3F4-36F7-4AE2-A527-147ABF1B4C84}"/>
    <cellStyle name="Normal 9 2 3 3 6 3" xfId="11184" xr:uid="{DF630EE0-24FD-4F8B-BB2C-99480D5DDC0C}"/>
    <cellStyle name="Normal 9 2 3 3 7" xfId="4887" xr:uid="{00000000-0005-0000-0000-0000481F0000}"/>
    <cellStyle name="Normal 9 2 3 3 7 2" xfId="13337" xr:uid="{4867C594-2C64-4FCA-8CF3-DFF367CE4F84}"/>
    <cellStyle name="Normal 9 2 3 3 8" xfId="9119" xr:uid="{0D716BA8-C2C0-4AFE-A330-8619D47551CD}"/>
    <cellStyle name="Normal 9 2 3 4" xfId="987" xr:uid="{00000000-0005-0000-0000-0000491F0000}"/>
    <cellStyle name="Normal 9 2 3 4 2" xfId="3220" xr:uid="{00000000-0005-0000-0000-00004A1F0000}"/>
    <cellStyle name="Normal 9 2 3 4 2 2" xfId="7442" xr:uid="{00000000-0005-0000-0000-00004B1F0000}"/>
    <cellStyle name="Normal 9 2 3 4 2 2 2" xfId="15892" xr:uid="{2D920956-105E-499E-A377-1ECD511D619C}"/>
    <cellStyle name="Normal 9 2 3 4 2 3" xfId="11674" xr:uid="{952F1134-3531-44E9-A184-B77392E8F1D7}"/>
    <cellStyle name="Normal 9 2 3 4 3" xfId="5297" xr:uid="{00000000-0005-0000-0000-00004C1F0000}"/>
    <cellStyle name="Normal 9 2 3 4 3 2" xfId="13747" xr:uid="{83BAE9CC-CA15-4207-BABA-45B384A4E96E}"/>
    <cellStyle name="Normal 9 2 3 4 4" xfId="9529" xr:uid="{63F8BB80-5B6C-4F31-ABAA-E3A5D75DE395}"/>
    <cellStyle name="Normal 9 2 3 5" xfId="1403" xr:uid="{00000000-0005-0000-0000-00004D1F0000}"/>
    <cellStyle name="Normal 9 2 3 5 2" xfId="3633" xr:uid="{00000000-0005-0000-0000-00004E1F0000}"/>
    <cellStyle name="Normal 9 2 3 5 2 2" xfId="7855" xr:uid="{00000000-0005-0000-0000-00004F1F0000}"/>
    <cellStyle name="Normal 9 2 3 5 2 2 2" xfId="16305" xr:uid="{F46DA209-C5F9-4E13-B205-BFF942F7C7DF}"/>
    <cellStyle name="Normal 9 2 3 5 2 3" xfId="12087" xr:uid="{A549D76E-A6DC-4B75-84B2-505855449EE1}"/>
    <cellStyle name="Normal 9 2 3 5 3" xfId="5710" xr:uid="{00000000-0005-0000-0000-0000501F0000}"/>
    <cellStyle name="Normal 9 2 3 5 3 2" xfId="14160" xr:uid="{D9BF6256-9217-469C-8DE9-71E98535869B}"/>
    <cellStyle name="Normal 9 2 3 5 4" xfId="9942" xr:uid="{7461C0E2-D655-4205-A48E-5579EDAA0549}"/>
    <cellStyle name="Normal 9 2 3 6" xfId="1816" xr:uid="{00000000-0005-0000-0000-0000511F0000}"/>
    <cellStyle name="Normal 9 2 3 6 2" xfId="4046" xr:uid="{00000000-0005-0000-0000-0000521F0000}"/>
    <cellStyle name="Normal 9 2 3 6 2 2" xfId="8268" xr:uid="{00000000-0005-0000-0000-0000531F0000}"/>
    <cellStyle name="Normal 9 2 3 6 2 2 2" xfId="16718" xr:uid="{A0BC31A9-240A-43ED-9DF5-3B135A2F0662}"/>
    <cellStyle name="Normal 9 2 3 6 2 3" xfId="12500" xr:uid="{A2CBB943-75F9-4F88-80F9-8AED18D68C8C}"/>
    <cellStyle name="Normal 9 2 3 6 3" xfId="6123" xr:uid="{00000000-0005-0000-0000-0000541F0000}"/>
    <cellStyle name="Normal 9 2 3 6 3 2" xfId="14573" xr:uid="{B3B12C0C-4689-4FF1-BA8D-EE52721C7ED5}"/>
    <cellStyle name="Normal 9 2 3 6 4" xfId="10355" xr:uid="{39C79F71-9802-4A62-921A-3845C6C82F08}"/>
    <cellStyle name="Normal 9 2 3 7" xfId="2230" xr:uid="{00000000-0005-0000-0000-0000551F0000}"/>
    <cellStyle name="Normal 9 2 3 7 2" xfId="4459" xr:uid="{00000000-0005-0000-0000-0000561F0000}"/>
    <cellStyle name="Normal 9 2 3 7 2 2" xfId="8681" xr:uid="{00000000-0005-0000-0000-0000571F0000}"/>
    <cellStyle name="Normal 9 2 3 7 2 2 2" xfId="17131" xr:uid="{62725D43-E686-4DE6-B8C9-C6BC061B66F9}"/>
    <cellStyle name="Normal 9 2 3 7 2 3" xfId="12913" xr:uid="{34E38B90-E561-4906-A7FE-2D8F424F65E6}"/>
    <cellStyle name="Normal 9 2 3 7 3" xfId="6536" xr:uid="{00000000-0005-0000-0000-0000581F0000}"/>
    <cellStyle name="Normal 9 2 3 7 3 2" xfId="14986" xr:uid="{D3F775AC-E149-4420-BEEB-2B286DC26907}"/>
    <cellStyle name="Normal 9 2 3 7 4" xfId="10768" xr:uid="{4B47E13A-39B6-40B6-B234-BBB7B28093DB}"/>
    <cellStyle name="Normal 9 2 3 8" xfId="2666" xr:uid="{00000000-0005-0000-0000-0000591F0000}"/>
    <cellStyle name="Normal 9 2 3 8 2" xfId="6949" xr:uid="{00000000-0005-0000-0000-00005A1F0000}"/>
    <cellStyle name="Normal 9 2 3 8 2 2" xfId="15399" xr:uid="{1BF3A350-4D46-45E9-A54B-16D3073B7572}"/>
    <cellStyle name="Normal 9 2 3 8 3" xfId="11181" xr:uid="{54B2A35C-EC65-48A8-8AAB-BA64AF3B0451}"/>
    <cellStyle name="Normal 9 2 3 9" xfId="4884" xr:uid="{00000000-0005-0000-0000-00005B1F0000}"/>
    <cellStyle name="Normal 9 2 3 9 2" xfId="13334" xr:uid="{1A258F6B-AE6B-4EA2-AEF8-6B46F5094EBF}"/>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2 2 2" xfId="15897" xr:uid="{193B86E7-AF87-4C17-B436-CF98BD757C97}"/>
    <cellStyle name="Normal 9 2 4 2 2 2 3" xfId="11679" xr:uid="{1D33CDE3-7985-4976-95B0-44DA5EDFECB7}"/>
    <cellStyle name="Normal 9 2 4 2 2 3" xfId="5302" xr:uid="{00000000-0005-0000-0000-0000611F0000}"/>
    <cellStyle name="Normal 9 2 4 2 2 3 2" xfId="13752" xr:uid="{548EFFA9-4F83-44D7-812C-F76F7376B992}"/>
    <cellStyle name="Normal 9 2 4 2 2 4" xfId="9534" xr:uid="{7900046D-A775-4E20-96FD-68A71BF9D29C}"/>
    <cellStyle name="Normal 9 2 4 2 3" xfId="1408" xr:uid="{00000000-0005-0000-0000-0000621F0000}"/>
    <cellStyle name="Normal 9 2 4 2 3 2" xfId="3638" xr:uid="{00000000-0005-0000-0000-0000631F0000}"/>
    <cellStyle name="Normal 9 2 4 2 3 2 2" xfId="7860" xr:uid="{00000000-0005-0000-0000-0000641F0000}"/>
    <cellStyle name="Normal 9 2 4 2 3 2 2 2" xfId="16310" xr:uid="{04660FAC-2A3E-4F3E-B110-2B8FF0141C58}"/>
    <cellStyle name="Normal 9 2 4 2 3 2 3" xfId="12092" xr:uid="{33526E9C-C820-4478-B660-4FAF5138CA08}"/>
    <cellStyle name="Normal 9 2 4 2 3 3" xfId="5715" xr:uid="{00000000-0005-0000-0000-0000651F0000}"/>
    <cellStyle name="Normal 9 2 4 2 3 3 2" xfId="14165" xr:uid="{5AEEF5D8-C465-4204-B7B1-643FFE410BCC}"/>
    <cellStyle name="Normal 9 2 4 2 3 4" xfId="9947" xr:uid="{D278C62A-791C-4D1E-86F3-E75290412564}"/>
    <cellStyle name="Normal 9 2 4 2 4" xfId="1821" xr:uid="{00000000-0005-0000-0000-0000661F0000}"/>
    <cellStyle name="Normal 9 2 4 2 4 2" xfId="4051" xr:uid="{00000000-0005-0000-0000-0000671F0000}"/>
    <cellStyle name="Normal 9 2 4 2 4 2 2" xfId="8273" xr:uid="{00000000-0005-0000-0000-0000681F0000}"/>
    <cellStyle name="Normal 9 2 4 2 4 2 2 2" xfId="16723" xr:uid="{B15E33E3-3910-4B7B-97C7-3E417AC4CF89}"/>
    <cellStyle name="Normal 9 2 4 2 4 2 3" xfId="12505" xr:uid="{1E15F1A5-D023-4CBB-977C-EB1B691C7238}"/>
    <cellStyle name="Normal 9 2 4 2 4 3" xfId="6128" xr:uid="{00000000-0005-0000-0000-0000691F0000}"/>
    <cellStyle name="Normal 9 2 4 2 4 3 2" xfId="14578" xr:uid="{EB67BD88-9025-43EA-A9EE-D0F6FE1EDF53}"/>
    <cellStyle name="Normal 9 2 4 2 4 4" xfId="10360" xr:uid="{1B9D9E77-3190-45F7-94F1-190931E1DF0C}"/>
    <cellStyle name="Normal 9 2 4 2 5" xfId="2235" xr:uid="{00000000-0005-0000-0000-00006A1F0000}"/>
    <cellStyle name="Normal 9 2 4 2 5 2" xfId="4464" xr:uid="{00000000-0005-0000-0000-00006B1F0000}"/>
    <cellStyle name="Normal 9 2 4 2 5 2 2" xfId="8686" xr:uid="{00000000-0005-0000-0000-00006C1F0000}"/>
    <cellStyle name="Normal 9 2 4 2 5 2 2 2" xfId="17136" xr:uid="{7357455E-B4E0-463F-A6B9-1A83A996357B}"/>
    <cellStyle name="Normal 9 2 4 2 5 2 3" xfId="12918" xr:uid="{3C3358A5-BAC2-4108-BDB8-6426411C8FF2}"/>
    <cellStyle name="Normal 9 2 4 2 5 3" xfId="6541" xr:uid="{00000000-0005-0000-0000-00006D1F0000}"/>
    <cellStyle name="Normal 9 2 4 2 5 3 2" xfId="14991" xr:uid="{2833E134-B8B2-411C-957E-4205C6D2CB6A}"/>
    <cellStyle name="Normal 9 2 4 2 5 4" xfId="10773" xr:uid="{B46069EB-7E17-42EB-9299-0E42E60C5D82}"/>
    <cellStyle name="Normal 9 2 4 2 6" xfId="2671" xr:uid="{00000000-0005-0000-0000-00006E1F0000}"/>
    <cellStyle name="Normal 9 2 4 2 6 2" xfId="6954" xr:uid="{00000000-0005-0000-0000-00006F1F0000}"/>
    <cellStyle name="Normal 9 2 4 2 6 2 2" xfId="15404" xr:uid="{A145EAEB-06D4-42E7-A4EE-2FB2A7AD3884}"/>
    <cellStyle name="Normal 9 2 4 2 6 3" xfId="11186" xr:uid="{9CF25E68-D48C-41DD-985F-C15AAD880CBB}"/>
    <cellStyle name="Normal 9 2 4 2 7" xfId="4889" xr:uid="{00000000-0005-0000-0000-0000701F0000}"/>
    <cellStyle name="Normal 9 2 4 2 7 2" xfId="13339" xr:uid="{38EF5526-2D02-49A8-A87D-BC48F4CA2A3A}"/>
    <cellStyle name="Normal 9 2 4 2 8" xfId="9121" xr:uid="{CA4D9768-4A11-40E2-B5ED-46F6FB420F34}"/>
    <cellStyle name="Normal 9 2 4 3" xfId="991" xr:uid="{00000000-0005-0000-0000-0000711F0000}"/>
    <cellStyle name="Normal 9 2 4 3 2" xfId="3224" xr:uid="{00000000-0005-0000-0000-0000721F0000}"/>
    <cellStyle name="Normal 9 2 4 3 2 2" xfId="7446" xr:uid="{00000000-0005-0000-0000-0000731F0000}"/>
    <cellStyle name="Normal 9 2 4 3 2 2 2" xfId="15896" xr:uid="{9446B7C6-6588-46EB-B573-080A384FFE55}"/>
    <cellStyle name="Normal 9 2 4 3 2 3" xfId="11678" xr:uid="{AE1A9D89-AAE0-4496-8A91-E352A1D28629}"/>
    <cellStyle name="Normal 9 2 4 3 3" xfId="5301" xr:uid="{00000000-0005-0000-0000-0000741F0000}"/>
    <cellStyle name="Normal 9 2 4 3 3 2" xfId="13751" xr:uid="{282E48FF-FDC1-4B36-A992-50285E2D5499}"/>
    <cellStyle name="Normal 9 2 4 3 4" xfId="9533" xr:uid="{08A9C270-8F56-4558-94B6-F3D19EA4344D}"/>
    <cellStyle name="Normal 9 2 4 4" xfId="1407" xr:uid="{00000000-0005-0000-0000-0000751F0000}"/>
    <cellStyle name="Normal 9 2 4 4 2" xfId="3637" xr:uid="{00000000-0005-0000-0000-0000761F0000}"/>
    <cellStyle name="Normal 9 2 4 4 2 2" xfId="7859" xr:uid="{00000000-0005-0000-0000-0000771F0000}"/>
    <cellStyle name="Normal 9 2 4 4 2 2 2" xfId="16309" xr:uid="{DAC20398-40DB-4616-8C36-E57E476EBE1C}"/>
    <cellStyle name="Normal 9 2 4 4 2 3" xfId="12091" xr:uid="{7F9DCF2F-D225-4B7A-8433-83BA0455F897}"/>
    <cellStyle name="Normal 9 2 4 4 3" xfId="5714" xr:uid="{00000000-0005-0000-0000-0000781F0000}"/>
    <cellStyle name="Normal 9 2 4 4 3 2" xfId="14164" xr:uid="{ADBE163E-BC54-4582-A7EC-335E6A29B101}"/>
    <cellStyle name="Normal 9 2 4 4 4" xfId="9946" xr:uid="{05951E03-0517-4172-B8F6-8397D68307B2}"/>
    <cellStyle name="Normal 9 2 4 5" xfId="1820" xr:uid="{00000000-0005-0000-0000-0000791F0000}"/>
    <cellStyle name="Normal 9 2 4 5 2" xfId="4050" xr:uid="{00000000-0005-0000-0000-00007A1F0000}"/>
    <cellStyle name="Normal 9 2 4 5 2 2" xfId="8272" xr:uid="{00000000-0005-0000-0000-00007B1F0000}"/>
    <cellStyle name="Normal 9 2 4 5 2 2 2" xfId="16722" xr:uid="{2B4ECC86-B300-44EA-8849-D36A4A8E8519}"/>
    <cellStyle name="Normal 9 2 4 5 2 3" xfId="12504" xr:uid="{E36E42F1-A9EF-4F0F-B829-A40EAC8F80C3}"/>
    <cellStyle name="Normal 9 2 4 5 3" xfId="6127" xr:uid="{00000000-0005-0000-0000-00007C1F0000}"/>
    <cellStyle name="Normal 9 2 4 5 3 2" xfId="14577" xr:uid="{118EF72A-1F6A-48D8-955D-C56C81280D4C}"/>
    <cellStyle name="Normal 9 2 4 5 4" xfId="10359" xr:uid="{8F7844D6-7A8E-4999-B5FC-7D2878E21CF5}"/>
    <cellStyle name="Normal 9 2 4 6" xfId="2234" xr:uid="{00000000-0005-0000-0000-00007D1F0000}"/>
    <cellStyle name="Normal 9 2 4 6 2" xfId="4463" xr:uid="{00000000-0005-0000-0000-00007E1F0000}"/>
    <cellStyle name="Normal 9 2 4 6 2 2" xfId="8685" xr:uid="{00000000-0005-0000-0000-00007F1F0000}"/>
    <cellStyle name="Normal 9 2 4 6 2 2 2" xfId="17135" xr:uid="{20AC37A4-15E7-4AFC-8270-640FC72905DE}"/>
    <cellStyle name="Normal 9 2 4 6 2 3" xfId="12917" xr:uid="{4DA0C56E-56A2-4E5B-B0A9-41066AD6BFA8}"/>
    <cellStyle name="Normal 9 2 4 6 3" xfId="6540" xr:uid="{00000000-0005-0000-0000-0000801F0000}"/>
    <cellStyle name="Normal 9 2 4 6 3 2" xfId="14990" xr:uid="{224A34DA-55E1-4354-8CA0-CBD1D239DC8D}"/>
    <cellStyle name="Normal 9 2 4 6 4" xfId="10772" xr:uid="{1F9F45CA-491F-4C64-8CAC-97BD64AFA65E}"/>
    <cellStyle name="Normal 9 2 4 7" xfId="2670" xr:uid="{00000000-0005-0000-0000-0000811F0000}"/>
    <cellStyle name="Normal 9 2 4 7 2" xfId="6953" xr:uid="{00000000-0005-0000-0000-0000821F0000}"/>
    <cellStyle name="Normal 9 2 4 7 2 2" xfId="15403" xr:uid="{46CC977D-6DDD-4204-BC6A-10560661CF9C}"/>
    <cellStyle name="Normal 9 2 4 7 3" xfId="11185" xr:uid="{3D03EE96-6D24-439F-AD76-2EF9DFE8BEE4}"/>
    <cellStyle name="Normal 9 2 4 8" xfId="4888" xr:uid="{00000000-0005-0000-0000-0000831F0000}"/>
    <cellStyle name="Normal 9 2 4 8 2" xfId="13338" xr:uid="{4CC2539F-92EE-4735-A3DC-B43C6933BC95}"/>
    <cellStyle name="Normal 9 2 4 9" xfId="9120" xr:uid="{4EC905D8-57F8-464F-928E-B264F67E617D}"/>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2 2 2" xfId="15898" xr:uid="{F135980C-A0B2-4070-95E1-1244B741C10A}"/>
    <cellStyle name="Normal 9 2 5 2 2 3" xfId="11680" xr:uid="{331ACFEC-24F7-43AB-AED4-5AA3D6FBC666}"/>
    <cellStyle name="Normal 9 2 5 2 3" xfId="5303" xr:uid="{00000000-0005-0000-0000-0000881F0000}"/>
    <cellStyle name="Normal 9 2 5 2 3 2" xfId="13753" xr:uid="{FA7AAF82-829F-4EB1-A8B9-7B93E01057EF}"/>
    <cellStyle name="Normal 9 2 5 2 4" xfId="9535" xr:uid="{5B68FD0C-5172-47D2-B2C9-9B17160B0AC2}"/>
    <cellStyle name="Normal 9 2 5 3" xfId="1409" xr:uid="{00000000-0005-0000-0000-0000891F0000}"/>
    <cellStyle name="Normal 9 2 5 3 2" xfId="3639" xr:uid="{00000000-0005-0000-0000-00008A1F0000}"/>
    <cellStyle name="Normal 9 2 5 3 2 2" xfId="7861" xr:uid="{00000000-0005-0000-0000-00008B1F0000}"/>
    <cellStyle name="Normal 9 2 5 3 2 2 2" xfId="16311" xr:uid="{C2F4C994-BD40-454D-817E-9E2B54AF01E0}"/>
    <cellStyle name="Normal 9 2 5 3 2 3" xfId="12093" xr:uid="{A86BBF87-7401-42B5-B532-0AAAF57BC6FA}"/>
    <cellStyle name="Normal 9 2 5 3 3" xfId="5716" xr:uid="{00000000-0005-0000-0000-00008C1F0000}"/>
    <cellStyle name="Normal 9 2 5 3 3 2" xfId="14166" xr:uid="{1E8088B9-D53E-4642-BE55-4E56CB31946B}"/>
    <cellStyle name="Normal 9 2 5 3 4" xfId="9948" xr:uid="{E4C8E809-C40D-46D1-A333-8DAB45231C69}"/>
    <cellStyle name="Normal 9 2 5 4" xfId="1822" xr:uid="{00000000-0005-0000-0000-00008D1F0000}"/>
    <cellStyle name="Normal 9 2 5 4 2" xfId="4052" xr:uid="{00000000-0005-0000-0000-00008E1F0000}"/>
    <cellStyle name="Normal 9 2 5 4 2 2" xfId="8274" xr:uid="{00000000-0005-0000-0000-00008F1F0000}"/>
    <cellStyle name="Normal 9 2 5 4 2 2 2" xfId="16724" xr:uid="{85FA562F-0138-4007-99C4-8EBB01F52010}"/>
    <cellStyle name="Normal 9 2 5 4 2 3" xfId="12506" xr:uid="{334446AA-737B-416D-8E54-A915799A9D71}"/>
    <cellStyle name="Normal 9 2 5 4 3" xfId="6129" xr:uid="{00000000-0005-0000-0000-0000901F0000}"/>
    <cellStyle name="Normal 9 2 5 4 3 2" xfId="14579" xr:uid="{1652D339-9A4B-4BEF-B77D-4CE6959A737C}"/>
    <cellStyle name="Normal 9 2 5 4 4" xfId="10361" xr:uid="{49271B07-56D8-4841-8F13-3DA4DDC0D31E}"/>
    <cellStyle name="Normal 9 2 5 5" xfId="2236" xr:uid="{00000000-0005-0000-0000-0000911F0000}"/>
    <cellStyle name="Normal 9 2 5 5 2" xfId="4465" xr:uid="{00000000-0005-0000-0000-0000921F0000}"/>
    <cellStyle name="Normal 9 2 5 5 2 2" xfId="8687" xr:uid="{00000000-0005-0000-0000-0000931F0000}"/>
    <cellStyle name="Normal 9 2 5 5 2 2 2" xfId="17137" xr:uid="{4E7A6A7F-644E-4BA8-B366-13588EFE6832}"/>
    <cellStyle name="Normal 9 2 5 5 2 3" xfId="12919" xr:uid="{F1C8C5B5-57A1-47A7-B2C4-76CFDD16DDE3}"/>
    <cellStyle name="Normal 9 2 5 5 3" xfId="6542" xr:uid="{00000000-0005-0000-0000-0000941F0000}"/>
    <cellStyle name="Normal 9 2 5 5 3 2" xfId="14992" xr:uid="{45672952-C947-469E-825E-1E08DC4912DC}"/>
    <cellStyle name="Normal 9 2 5 5 4" xfId="10774" xr:uid="{FB49D841-7D97-44A9-B296-179320F639AD}"/>
    <cellStyle name="Normal 9 2 5 6" xfId="2672" xr:uid="{00000000-0005-0000-0000-0000951F0000}"/>
    <cellStyle name="Normal 9 2 5 6 2" xfId="6955" xr:uid="{00000000-0005-0000-0000-0000961F0000}"/>
    <cellStyle name="Normal 9 2 5 6 2 2" xfId="15405" xr:uid="{0C82DF1E-706F-45E6-BC55-47734BA4F910}"/>
    <cellStyle name="Normal 9 2 5 6 3" xfId="11187" xr:uid="{D4ED7CC2-ACFA-4076-8A66-22AEC944BDEA}"/>
    <cellStyle name="Normal 9 2 5 7" xfId="4890" xr:uid="{00000000-0005-0000-0000-0000971F0000}"/>
    <cellStyle name="Normal 9 2 5 7 2" xfId="13340" xr:uid="{A41ABBC7-3CBF-41AE-B0A1-92DBB50FC19F}"/>
    <cellStyle name="Normal 9 2 5 8" xfId="9122" xr:uid="{FB5054B6-5ECB-4C53-9CA8-D2877811210D}"/>
    <cellStyle name="Normal 9 2 6" xfId="978" xr:uid="{00000000-0005-0000-0000-0000981F0000}"/>
    <cellStyle name="Normal 9 2 6 2" xfId="3211" xr:uid="{00000000-0005-0000-0000-0000991F0000}"/>
    <cellStyle name="Normal 9 2 6 2 2" xfId="7433" xr:uid="{00000000-0005-0000-0000-00009A1F0000}"/>
    <cellStyle name="Normal 9 2 6 2 2 2" xfId="15883" xr:uid="{F9A3A828-4D3A-4EA6-8368-90D0D369C04B}"/>
    <cellStyle name="Normal 9 2 6 2 3" xfId="11665" xr:uid="{C6A5A806-F92B-4CB6-8726-68504F50E4B5}"/>
    <cellStyle name="Normal 9 2 6 3" xfId="5288" xr:uid="{00000000-0005-0000-0000-00009B1F0000}"/>
    <cellStyle name="Normal 9 2 6 3 2" xfId="13738" xr:uid="{266EDBD6-EBEF-4AE4-8B6B-81A50B8D8396}"/>
    <cellStyle name="Normal 9 2 6 4" xfId="9520" xr:uid="{CE5F5CC9-E43D-47F7-A208-83B98BA48218}"/>
    <cellStyle name="Normal 9 2 7" xfId="1394" xr:uid="{00000000-0005-0000-0000-00009C1F0000}"/>
    <cellStyle name="Normal 9 2 7 2" xfId="3624" xr:uid="{00000000-0005-0000-0000-00009D1F0000}"/>
    <cellStyle name="Normal 9 2 7 2 2" xfId="7846" xr:uid="{00000000-0005-0000-0000-00009E1F0000}"/>
    <cellStyle name="Normal 9 2 7 2 2 2" xfId="16296" xr:uid="{91463B4A-B2C7-4973-BBF7-774E4D5137A3}"/>
    <cellStyle name="Normal 9 2 7 2 3" xfId="12078" xr:uid="{CBD218FD-FACC-4C6D-B412-C501E5296109}"/>
    <cellStyle name="Normal 9 2 7 3" xfId="5701" xr:uid="{00000000-0005-0000-0000-00009F1F0000}"/>
    <cellStyle name="Normal 9 2 7 3 2" xfId="14151" xr:uid="{B1B500BF-F144-4ACE-90E8-D5A410593BC7}"/>
    <cellStyle name="Normal 9 2 7 4" xfId="9933" xr:uid="{76DC8D83-7346-4C1B-9027-5C0257A3E021}"/>
    <cellStyle name="Normal 9 2 8" xfId="1807" xr:uid="{00000000-0005-0000-0000-0000A01F0000}"/>
    <cellStyle name="Normal 9 2 8 2" xfId="4037" xr:uid="{00000000-0005-0000-0000-0000A11F0000}"/>
    <cellStyle name="Normal 9 2 8 2 2" xfId="8259" xr:uid="{00000000-0005-0000-0000-0000A21F0000}"/>
    <cellStyle name="Normal 9 2 8 2 2 2" xfId="16709" xr:uid="{863D504A-6409-4A4F-BCC1-FAF77C2981C2}"/>
    <cellStyle name="Normal 9 2 8 2 3" xfId="12491" xr:uid="{CCBE7FCB-3472-442F-8862-C601B7FFF383}"/>
    <cellStyle name="Normal 9 2 8 3" xfId="6114" xr:uid="{00000000-0005-0000-0000-0000A31F0000}"/>
    <cellStyle name="Normal 9 2 8 3 2" xfId="14564" xr:uid="{FC773C36-5F56-41A7-9C23-F354C5DF52D9}"/>
    <cellStyle name="Normal 9 2 8 4" xfId="10346" xr:uid="{9C6BCD4B-6AC2-4892-9481-B4097863107F}"/>
    <cellStyle name="Normal 9 2 9" xfId="2221" xr:uid="{00000000-0005-0000-0000-0000A41F0000}"/>
    <cellStyle name="Normal 9 2 9 2" xfId="4450" xr:uid="{00000000-0005-0000-0000-0000A51F0000}"/>
    <cellStyle name="Normal 9 2 9 2 2" xfId="8672" xr:uid="{00000000-0005-0000-0000-0000A61F0000}"/>
    <cellStyle name="Normal 9 2 9 2 2 2" xfId="17122" xr:uid="{5B6573ED-5227-45B1-9A8E-523511913C1D}"/>
    <cellStyle name="Normal 9 2 9 2 3" xfId="12904" xr:uid="{2FEADFE1-475B-4BEF-BA0A-930C30165E6C}"/>
    <cellStyle name="Normal 9 2 9 3" xfId="6527" xr:uid="{00000000-0005-0000-0000-0000A71F0000}"/>
    <cellStyle name="Normal 9 2 9 3 2" xfId="14977" xr:uid="{E66A861C-6585-4DE3-83D1-E719ABF959E1}"/>
    <cellStyle name="Normal 9 2 9 4" xfId="10759" xr:uid="{96B6B664-9FFF-4613-81BA-1693A4737762}"/>
    <cellStyle name="Normal 9 3" xfId="527" xr:uid="{00000000-0005-0000-0000-0000A81F0000}"/>
    <cellStyle name="Normal 9 3 10" xfId="4891" xr:uid="{00000000-0005-0000-0000-0000A91F0000}"/>
    <cellStyle name="Normal 9 3 10 2" xfId="13341" xr:uid="{11EC3757-FBF6-4E10-ACE4-032DC80BB9A1}"/>
    <cellStyle name="Normal 9 3 11" xfId="9123" xr:uid="{3B18BF68-E48E-4153-A610-575A21424AF9}"/>
    <cellStyle name="Normal 9 3 2" xfId="528" xr:uid="{00000000-0005-0000-0000-0000AA1F0000}"/>
    <cellStyle name="Normal 9 3 2 10" xfId="9124" xr:uid="{8812CC8E-FEB6-40FE-A020-5D6918573A35}"/>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2 2 2" xfId="15902" xr:uid="{A4695F63-5061-4E5C-9EF7-3D6C656915DB}"/>
    <cellStyle name="Normal 9 3 2 2 2 2 2 3" xfId="11684" xr:uid="{7D3C2685-7269-4EB2-944A-C494B9BFC1C9}"/>
    <cellStyle name="Normal 9 3 2 2 2 2 3" xfId="5307" xr:uid="{00000000-0005-0000-0000-0000B01F0000}"/>
    <cellStyle name="Normal 9 3 2 2 2 2 3 2" xfId="13757" xr:uid="{1E23B89C-24F3-4239-9389-2DB65D947B18}"/>
    <cellStyle name="Normal 9 3 2 2 2 2 4" xfId="9539" xr:uid="{797D7489-EC97-4500-9E07-AB0D0133E48A}"/>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2 2 2" xfId="16315" xr:uid="{897FC3E2-C28C-4691-AC63-EF1D9E46EB61}"/>
    <cellStyle name="Normal 9 3 2 2 2 3 2 3" xfId="12097" xr:uid="{862CBF7E-167B-46B2-B7FE-9B8BE2081D83}"/>
    <cellStyle name="Normal 9 3 2 2 2 3 3" xfId="5720" xr:uid="{00000000-0005-0000-0000-0000B41F0000}"/>
    <cellStyle name="Normal 9 3 2 2 2 3 3 2" xfId="14170" xr:uid="{DCD3F698-109A-4D3E-A1DC-F987E38F125D}"/>
    <cellStyle name="Normal 9 3 2 2 2 3 4" xfId="9952" xr:uid="{2AD8BE60-2B1E-4DB6-8D6B-407F060F0F9D}"/>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2 2 2" xfId="16728" xr:uid="{E0BB8A24-343D-4E12-A02A-3DB776EDCB6F}"/>
    <cellStyle name="Normal 9 3 2 2 2 4 2 3" xfId="12510" xr:uid="{0FB9D7F4-C8C6-4D78-B66A-4A2C9657D239}"/>
    <cellStyle name="Normal 9 3 2 2 2 4 3" xfId="6133" xr:uid="{00000000-0005-0000-0000-0000B81F0000}"/>
    <cellStyle name="Normal 9 3 2 2 2 4 3 2" xfId="14583" xr:uid="{D7223D48-553C-44FF-B1BA-312E50DA24DE}"/>
    <cellStyle name="Normal 9 3 2 2 2 4 4" xfId="10365" xr:uid="{3A42FB86-CE9A-4E18-9D23-7AABD26A55AB}"/>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2 2 2" xfId="17141" xr:uid="{8969CF01-8D72-46DF-8192-EB062405E577}"/>
    <cellStyle name="Normal 9 3 2 2 2 5 2 3" xfId="12923" xr:uid="{EEE5E535-4DC1-47E9-985A-FEFECF7C6684}"/>
    <cellStyle name="Normal 9 3 2 2 2 5 3" xfId="6546" xr:uid="{00000000-0005-0000-0000-0000BC1F0000}"/>
    <cellStyle name="Normal 9 3 2 2 2 5 3 2" xfId="14996" xr:uid="{E092B436-8696-4344-9FC8-2EB42B46444E}"/>
    <cellStyle name="Normal 9 3 2 2 2 5 4" xfId="10778" xr:uid="{12BD8C6F-6DFB-4F74-BE1A-E4F6A4C6F6C1}"/>
    <cellStyle name="Normal 9 3 2 2 2 6" xfId="2676" xr:uid="{00000000-0005-0000-0000-0000BD1F0000}"/>
    <cellStyle name="Normal 9 3 2 2 2 6 2" xfId="6959" xr:uid="{00000000-0005-0000-0000-0000BE1F0000}"/>
    <cellStyle name="Normal 9 3 2 2 2 6 2 2" xfId="15409" xr:uid="{76251479-D9A3-4DD8-96AE-81BD4E1FA426}"/>
    <cellStyle name="Normal 9 3 2 2 2 6 3" xfId="11191" xr:uid="{2B2D882D-F51A-4C52-BCB7-0EA13ADFD5D3}"/>
    <cellStyle name="Normal 9 3 2 2 2 7" xfId="4894" xr:uid="{00000000-0005-0000-0000-0000BF1F0000}"/>
    <cellStyle name="Normal 9 3 2 2 2 7 2" xfId="13344" xr:uid="{66F65D0C-3BF5-4CC6-9222-3ED667A80FA2}"/>
    <cellStyle name="Normal 9 3 2 2 2 8" xfId="9126" xr:uid="{E6A9ACF5-B36C-4A24-AB5A-A3DC9B1A3E55}"/>
    <cellStyle name="Normal 9 3 2 2 3" xfId="996" xr:uid="{00000000-0005-0000-0000-0000C01F0000}"/>
    <cellStyle name="Normal 9 3 2 2 3 2" xfId="3229" xr:uid="{00000000-0005-0000-0000-0000C11F0000}"/>
    <cellStyle name="Normal 9 3 2 2 3 2 2" xfId="7451" xr:uid="{00000000-0005-0000-0000-0000C21F0000}"/>
    <cellStyle name="Normal 9 3 2 2 3 2 2 2" xfId="15901" xr:uid="{DC97A25F-4CD1-4287-B104-AEA0A052C0CC}"/>
    <cellStyle name="Normal 9 3 2 2 3 2 3" xfId="11683" xr:uid="{DAC66A79-BB51-4569-A4FB-25E9771AE5E4}"/>
    <cellStyle name="Normal 9 3 2 2 3 3" xfId="5306" xr:uid="{00000000-0005-0000-0000-0000C31F0000}"/>
    <cellStyle name="Normal 9 3 2 2 3 3 2" xfId="13756" xr:uid="{2E916C2D-7C8B-48F9-B9D2-8EF2E4FFD581}"/>
    <cellStyle name="Normal 9 3 2 2 3 4" xfId="9538" xr:uid="{B33A23D3-A3D7-49B7-A3E1-465FCB5A048C}"/>
    <cellStyle name="Normal 9 3 2 2 4" xfId="1412" xr:uid="{00000000-0005-0000-0000-0000C41F0000}"/>
    <cellStyle name="Normal 9 3 2 2 4 2" xfId="3642" xr:uid="{00000000-0005-0000-0000-0000C51F0000}"/>
    <cellStyle name="Normal 9 3 2 2 4 2 2" xfId="7864" xr:uid="{00000000-0005-0000-0000-0000C61F0000}"/>
    <cellStyle name="Normal 9 3 2 2 4 2 2 2" xfId="16314" xr:uid="{104CD25D-E04E-46DA-AE7A-677A5F1D8ABA}"/>
    <cellStyle name="Normal 9 3 2 2 4 2 3" xfId="12096" xr:uid="{D2A4FAEA-65C8-49F0-BB79-B6CDBC05A64E}"/>
    <cellStyle name="Normal 9 3 2 2 4 3" xfId="5719" xr:uid="{00000000-0005-0000-0000-0000C71F0000}"/>
    <cellStyle name="Normal 9 3 2 2 4 3 2" xfId="14169" xr:uid="{1FA24DC8-EB49-480E-B263-52C338CFC530}"/>
    <cellStyle name="Normal 9 3 2 2 4 4" xfId="9951" xr:uid="{6CD5B8AE-2F6E-47F7-80CF-DBDBB44450E2}"/>
    <cellStyle name="Normal 9 3 2 2 5" xfId="1825" xr:uid="{00000000-0005-0000-0000-0000C81F0000}"/>
    <cellStyle name="Normal 9 3 2 2 5 2" xfId="4055" xr:uid="{00000000-0005-0000-0000-0000C91F0000}"/>
    <cellStyle name="Normal 9 3 2 2 5 2 2" xfId="8277" xr:uid="{00000000-0005-0000-0000-0000CA1F0000}"/>
    <cellStyle name="Normal 9 3 2 2 5 2 2 2" xfId="16727" xr:uid="{8B7DAB60-71E3-4C56-A45E-9767709CB86D}"/>
    <cellStyle name="Normal 9 3 2 2 5 2 3" xfId="12509" xr:uid="{C7E2128A-C71C-40AB-9A9A-10D4CD148251}"/>
    <cellStyle name="Normal 9 3 2 2 5 3" xfId="6132" xr:uid="{00000000-0005-0000-0000-0000CB1F0000}"/>
    <cellStyle name="Normal 9 3 2 2 5 3 2" xfId="14582" xr:uid="{F68BEDD0-0FD5-4FE9-8EF0-8F4C86F867EF}"/>
    <cellStyle name="Normal 9 3 2 2 5 4" xfId="10364" xr:uid="{D53ABDEF-FDA9-415C-9248-68D4089A586C}"/>
    <cellStyle name="Normal 9 3 2 2 6" xfId="2239" xr:uid="{00000000-0005-0000-0000-0000CC1F0000}"/>
    <cellStyle name="Normal 9 3 2 2 6 2" xfId="4468" xr:uid="{00000000-0005-0000-0000-0000CD1F0000}"/>
    <cellStyle name="Normal 9 3 2 2 6 2 2" xfId="8690" xr:uid="{00000000-0005-0000-0000-0000CE1F0000}"/>
    <cellStyle name="Normal 9 3 2 2 6 2 2 2" xfId="17140" xr:uid="{02D1AC6F-5742-44AE-9CF0-538CB281DFB4}"/>
    <cellStyle name="Normal 9 3 2 2 6 2 3" xfId="12922" xr:uid="{588F63E0-5DB8-4A06-A24C-177EE6D3C0F0}"/>
    <cellStyle name="Normal 9 3 2 2 6 3" xfId="6545" xr:uid="{00000000-0005-0000-0000-0000CF1F0000}"/>
    <cellStyle name="Normal 9 3 2 2 6 3 2" xfId="14995" xr:uid="{FB2F9387-0FA9-4793-9E06-57A18D122475}"/>
    <cellStyle name="Normal 9 3 2 2 6 4" xfId="10777" xr:uid="{F107AA9B-D0DE-43F8-B1AC-551C537C7628}"/>
    <cellStyle name="Normal 9 3 2 2 7" xfId="2675" xr:uid="{00000000-0005-0000-0000-0000D01F0000}"/>
    <cellStyle name="Normal 9 3 2 2 7 2" xfId="6958" xr:uid="{00000000-0005-0000-0000-0000D11F0000}"/>
    <cellStyle name="Normal 9 3 2 2 7 2 2" xfId="15408" xr:uid="{2E9A42F2-FCA6-40E2-B977-DC19176D5BDA}"/>
    <cellStyle name="Normal 9 3 2 2 7 3" xfId="11190" xr:uid="{F6D2E517-6CF7-424A-98EB-4A6F57848371}"/>
    <cellStyle name="Normal 9 3 2 2 8" xfId="4893" xr:uid="{00000000-0005-0000-0000-0000D21F0000}"/>
    <cellStyle name="Normal 9 3 2 2 8 2" xfId="13343" xr:uid="{A30A7D03-DF68-4C6A-BF3D-AA731208756F}"/>
    <cellStyle name="Normal 9 3 2 2 9" xfId="9125" xr:uid="{4DACAB45-E074-4B39-AE3E-0099BA9B47DE}"/>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2 2 2" xfId="15903" xr:uid="{AA1EC3DE-FDBE-40FA-B270-9A9030FF24F9}"/>
    <cellStyle name="Normal 9 3 2 3 2 2 3" xfId="11685" xr:uid="{3678ED7A-9244-442A-A09E-FA8191E207CA}"/>
    <cellStyle name="Normal 9 3 2 3 2 3" xfId="5308" xr:uid="{00000000-0005-0000-0000-0000D71F0000}"/>
    <cellStyle name="Normal 9 3 2 3 2 3 2" xfId="13758" xr:uid="{577F4895-2B0C-4A0D-AAA4-7E9BBD796A7D}"/>
    <cellStyle name="Normal 9 3 2 3 2 4" xfId="9540" xr:uid="{E79B7545-B670-4EBB-842E-3747A0EBB0D3}"/>
    <cellStyle name="Normal 9 3 2 3 3" xfId="1414" xr:uid="{00000000-0005-0000-0000-0000D81F0000}"/>
    <cellStyle name="Normal 9 3 2 3 3 2" xfId="3644" xr:uid="{00000000-0005-0000-0000-0000D91F0000}"/>
    <cellStyle name="Normal 9 3 2 3 3 2 2" xfId="7866" xr:uid="{00000000-0005-0000-0000-0000DA1F0000}"/>
    <cellStyle name="Normal 9 3 2 3 3 2 2 2" xfId="16316" xr:uid="{9E655971-630A-44F9-A524-A10507EF01E7}"/>
    <cellStyle name="Normal 9 3 2 3 3 2 3" xfId="12098" xr:uid="{EA94ECA1-6607-4A78-9396-12F2189697CF}"/>
    <cellStyle name="Normal 9 3 2 3 3 3" xfId="5721" xr:uid="{00000000-0005-0000-0000-0000DB1F0000}"/>
    <cellStyle name="Normal 9 3 2 3 3 3 2" xfId="14171" xr:uid="{AC4F31D7-CA41-48E8-B7A7-F866AD46A36B}"/>
    <cellStyle name="Normal 9 3 2 3 3 4" xfId="9953" xr:uid="{DCC1C063-CC41-4193-914D-3C25E5F100F7}"/>
    <cellStyle name="Normal 9 3 2 3 4" xfId="1827" xr:uid="{00000000-0005-0000-0000-0000DC1F0000}"/>
    <cellStyle name="Normal 9 3 2 3 4 2" xfId="4057" xr:uid="{00000000-0005-0000-0000-0000DD1F0000}"/>
    <cellStyle name="Normal 9 3 2 3 4 2 2" xfId="8279" xr:uid="{00000000-0005-0000-0000-0000DE1F0000}"/>
    <cellStyle name="Normal 9 3 2 3 4 2 2 2" xfId="16729" xr:uid="{943F4462-29F1-4B8C-BC75-88DCEFB5A388}"/>
    <cellStyle name="Normal 9 3 2 3 4 2 3" xfId="12511" xr:uid="{D32FF07D-B33D-484B-A51E-CB4B9C61ABAF}"/>
    <cellStyle name="Normal 9 3 2 3 4 3" xfId="6134" xr:uid="{00000000-0005-0000-0000-0000DF1F0000}"/>
    <cellStyle name="Normal 9 3 2 3 4 3 2" xfId="14584" xr:uid="{A156EA98-CD57-4664-B62A-2E22C3A4FF8A}"/>
    <cellStyle name="Normal 9 3 2 3 4 4" xfId="10366" xr:uid="{A9CC86E9-3696-4C63-B46C-C27CF8CC64C2}"/>
    <cellStyle name="Normal 9 3 2 3 5" xfId="2241" xr:uid="{00000000-0005-0000-0000-0000E01F0000}"/>
    <cellStyle name="Normal 9 3 2 3 5 2" xfId="4470" xr:uid="{00000000-0005-0000-0000-0000E11F0000}"/>
    <cellStyle name="Normal 9 3 2 3 5 2 2" xfId="8692" xr:uid="{00000000-0005-0000-0000-0000E21F0000}"/>
    <cellStyle name="Normal 9 3 2 3 5 2 2 2" xfId="17142" xr:uid="{7A01AA8C-436D-4CBA-A2B5-963A4A388AB9}"/>
    <cellStyle name="Normal 9 3 2 3 5 2 3" xfId="12924" xr:uid="{E167AC90-E49D-4EBE-B798-0EA9F48F6C03}"/>
    <cellStyle name="Normal 9 3 2 3 5 3" xfId="6547" xr:uid="{00000000-0005-0000-0000-0000E31F0000}"/>
    <cellStyle name="Normal 9 3 2 3 5 3 2" xfId="14997" xr:uid="{FCCD47FC-692B-48AF-8E6B-066AF06362F3}"/>
    <cellStyle name="Normal 9 3 2 3 5 4" xfId="10779" xr:uid="{1F86117D-349B-4E52-94AE-F079A852FE5F}"/>
    <cellStyle name="Normal 9 3 2 3 6" xfId="2677" xr:uid="{00000000-0005-0000-0000-0000E41F0000}"/>
    <cellStyle name="Normal 9 3 2 3 6 2" xfId="6960" xr:uid="{00000000-0005-0000-0000-0000E51F0000}"/>
    <cellStyle name="Normal 9 3 2 3 6 2 2" xfId="15410" xr:uid="{AFAAF61F-3D60-4F73-B500-4781AA80D77D}"/>
    <cellStyle name="Normal 9 3 2 3 6 3" xfId="11192" xr:uid="{991BBB7A-503E-4DD2-9542-E44A4F494A9B}"/>
    <cellStyle name="Normal 9 3 2 3 7" xfId="4895" xr:uid="{00000000-0005-0000-0000-0000E61F0000}"/>
    <cellStyle name="Normal 9 3 2 3 7 2" xfId="13345" xr:uid="{5F1B7C0F-2CA2-4393-822E-003527498A4F}"/>
    <cellStyle name="Normal 9 3 2 3 8" xfId="9127" xr:uid="{553CF202-7DA9-4F2C-81F1-50E89109200D}"/>
    <cellStyle name="Normal 9 3 2 4" xfId="995" xr:uid="{00000000-0005-0000-0000-0000E71F0000}"/>
    <cellStyle name="Normal 9 3 2 4 2" xfId="3228" xr:uid="{00000000-0005-0000-0000-0000E81F0000}"/>
    <cellStyle name="Normal 9 3 2 4 2 2" xfId="7450" xr:uid="{00000000-0005-0000-0000-0000E91F0000}"/>
    <cellStyle name="Normal 9 3 2 4 2 2 2" xfId="15900" xr:uid="{133F1C60-1756-4A03-AE8A-73FA18F60D82}"/>
    <cellStyle name="Normal 9 3 2 4 2 3" xfId="11682" xr:uid="{8A708878-A05C-453C-A921-780C2EC68197}"/>
    <cellStyle name="Normal 9 3 2 4 3" xfId="5305" xr:uid="{00000000-0005-0000-0000-0000EA1F0000}"/>
    <cellStyle name="Normal 9 3 2 4 3 2" xfId="13755" xr:uid="{F3995456-9CAA-4FD0-8C3C-1A7D698E955A}"/>
    <cellStyle name="Normal 9 3 2 4 4" xfId="9537" xr:uid="{B3DEFAB5-A054-4CAB-B2B7-2939D0EFFF7D}"/>
    <cellStyle name="Normal 9 3 2 5" xfId="1411" xr:uid="{00000000-0005-0000-0000-0000EB1F0000}"/>
    <cellStyle name="Normal 9 3 2 5 2" xfId="3641" xr:uid="{00000000-0005-0000-0000-0000EC1F0000}"/>
    <cellStyle name="Normal 9 3 2 5 2 2" xfId="7863" xr:uid="{00000000-0005-0000-0000-0000ED1F0000}"/>
    <cellStyle name="Normal 9 3 2 5 2 2 2" xfId="16313" xr:uid="{3201140E-E45F-4AA0-8742-2AF3AC1F8008}"/>
    <cellStyle name="Normal 9 3 2 5 2 3" xfId="12095" xr:uid="{8E85D2A1-3FD9-45BC-88C9-CC5D0BD02DFF}"/>
    <cellStyle name="Normal 9 3 2 5 3" xfId="5718" xr:uid="{00000000-0005-0000-0000-0000EE1F0000}"/>
    <cellStyle name="Normal 9 3 2 5 3 2" xfId="14168" xr:uid="{73538944-6F5F-44E1-8CAF-51AC2BF2A476}"/>
    <cellStyle name="Normal 9 3 2 5 4" xfId="9950" xr:uid="{BC6B55AB-90E6-414C-97ED-68143499E10C}"/>
    <cellStyle name="Normal 9 3 2 6" xfId="1824" xr:uid="{00000000-0005-0000-0000-0000EF1F0000}"/>
    <cellStyle name="Normal 9 3 2 6 2" xfId="4054" xr:uid="{00000000-0005-0000-0000-0000F01F0000}"/>
    <cellStyle name="Normal 9 3 2 6 2 2" xfId="8276" xr:uid="{00000000-0005-0000-0000-0000F11F0000}"/>
    <cellStyle name="Normal 9 3 2 6 2 2 2" xfId="16726" xr:uid="{F1723D05-D58F-404C-9C4A-35746BFB4CBC}"/>
    <cellStyle name="Normal 9 3 2 6 2 3" xfId="12508" xr:uid="{538D6184-3148-4B63-A305-1B4FEB12DF0C}"/>
    <cellStyle name="Normal 9 3 2 6 3" xfId="6131" xr:uid="{00000000-0005-0000-0000-0000F21F0000}"/>
    <cellStyle name="Normal 9 3 2 6 3 2" xfId="14581" xr:uid="{B5EFDEAE-D90D-4683-A3D4-827D10120138}"/>
    <cellStyle name="Normal 9 3 2 6 4" xfId="10363" xr:uid="{921C91BB-8709-428C-A17A-5AC1AD2A2464}"/>
    <cellStyle name="Normal 9 3 2 7" xfId="2238" xr:uid="{00000000-0005-0000-0000-0000F31F0000}"/>
    <cellStyle name="Normal 9 3 2 7 2" xfId="4467" xr:uid="{00000000-0005-0000-0000-0000F41F0000}"/>
    <cellStyle name="Normal 9 3 2 7 2 2" xfId="8689" xr:uid="{00000000-0005-0000-0000-0000F51F0000}"/>
    <cellStyle name="Normal 9 3 2 7 2 2 2" xfId="17139" xr:uid="{6FFE9226-CF5F-4A09-A5C3-F14E708558D6}"/>
    <cellStyle name="Normal 9 3 2 7 2 3" xfId="12921" xr:uid="{1819CAE3-0B46-4C57-97CB-43719D5E6DAC}"/>
    <cellStyle name="Normal 9 3 2 7 3" xfId="6544" xr:uid="{00000000-0005-0000-0000-0000F61F0000}"/>
    <cellStyle name="Normal 9 3 2 7 3 2" xfId="14994" xr:uid="{6E0BD7E0-9AD0-4826-9FBD-ABB44DB2BC2C}"/>
    <cellStyle name="Normal 9 3 2 7 4" xfId="10776" xr:uid="{7727A29B-6E81-46E4-BFA1-1858D732542B}"/>
    <cellStyle name="Normal 9 3 2 8" xfId="2674" xr:uid="{00000000-0005-0000-0000-0000F71F0000}"/>
    <cellStyle name="Normal 9 3 2 8 2" xfId="6957" xr:uid="{00000000-0005-0000-0000-0000F81F0000}"/>
    <cellStyle name="Normal 9 3 2 8 2 2" xfId="15407" xr:uid="{9F2E53A4-E69C-41EE-BB1D-00017CF35FE6}"/>
    <cellStyle name="Normal 9 3 2 8 3" xfId="11189" xr:uid="{C1A5DA02-7201-4C3B-B010-C24E07D78D62}"/>
    <cellStyle name="Normal 9 3 2 9" xfId="4892" xr:uid="{00000000-0005-0000-0000-0000F91F0000}"/>
    <cellStyle name="Normal 9 3 2 9 2" xfId="13342" xr:uid="{81C0D4A4-C103-4F84-B532-6AD7E5356D65}"/>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2 2 2" xfId="15905" xr:uid="{8A879FE5-662A-4D89-B33C-414298448A4F}"/>
    <cellStyle name="Normal 9 3 3 2 2 2 3" xfId="11687" xr:uid="{BEB95F23-EFE1-4229-BAE4-B261C9FAE474}"/>
    <cellStyle name="Normal 9 3 3 2 2 3" xfId="5310" xr:uid="{00000000-0005-0000-0000-0000FF1F0000}"/>
    <cellStyle name="Normal 9 3 3 2 2 3 2" xfId="13760" xr:uid="{7655D5FC-1CEB-465F-933D-01B747BBEB68}"/>
    <cellStyle name="Normal 9 3 3 2 2 4" xfId="9542" xr:uid="{E707047E-6949-4641-826D-19EEFDE7D2C2}"/>
    <cellStyle name="Normal 9 3 3 2 3" xfId="1416" xr:uid="{00000000-0005-0000-0000-000000200000}"/>
    <cellStyle name="Normal 9 3 3 2 3 2" xfId="3646" xr:uid="{00000000-0005-0000-0000-000001200000}"/>
    <cellStyle name="Normal 9 3 3 2 3 2 2" xfId="7868" xr:uid="{00000000-0005-0000-0000-000002200000}"/>
    <cellStyle name="Normal 9 3 3 2 3 2 2 2" xfId="16318" xr:uid="{80B7C1F6-19A4-42DB-BE3E-163591B6A588}"/>
    <cellStyle name="Normal 9 3 3 2 3 2 3" xfId="12100" xr:uid="{E4DE6B4D-FD99-4E68-9AAA-634EE4DF7333}"/>
    <cellStyle name="Normal 9 3 3 2 3 3" xfId="5723" xr:uid="{00000000-0005-0000-0000-000003200000}"/>
    <cellStyle name="Normal 9 3 3 2 3 3 2" xfId="14173" xr:uid="{ACB454F6-8209-4A9D-8880-5EE0D34FE604}"/>
    <cellStyle name="Normal 9 3 3 2 3 4" xfId="9955" xr:uid="{F4550C73-2AC5-4FFB-9686-633453CE19EA}"/>
    <cellStyle name="Normal 9 3 3 2 4" xfId="1829" xr:uid="{00000000-0005-0000-0000-000004200000}"/>
    <cellStyle name="Normal 9 3 3 2 4 2" xfId="4059" xr:uid="{00000000-0005-0000-0000-000005200000}"/>
    <cellStyle name="Normal 9 3 3 2 4 2 2" xfId="8281" xr:uid="{00000000-0005-0000-0000-000006200000}"/>
    <cellStyle name="Normal 9 3 3 2 4 2 2 2" xfId="16731" xr:uid="{557C8840-16FE-44A7-AC15-77A263DCB4EC}"/>
    <cellStyle name="Normal 9 3 3 2 4 2 3" xfId="12513" xr:uid="{6B8F9BC7-F03E-460C-AEE4-8558F6597B56}"/>
    <cellStyle name="Normal 9 3 3 2 4 3" xfId="6136" xr:uid="{00000000-0005-0000-0000-000007200000}"/>
    <cellStyle name="Normal 9 3 3 2 4 3 2" xfId="14586" xr:uid="{CBE9E837-19E1-43E4-A04E-7167508601D8}"/>
    <cellStyle name="Normal 9 3 3 2 4 4" xfId="10368" xr:uid="{66029E63-A284-421D-B206-41764776EBB6}"/>
    <cellStyle name="Normal 9 3 3 2 5" xfId="2243" xr:uid="{00000000-0005-0000-0000-000008200000}"/>
    <cellStyle name="Normal 9 3 3 2 5 2" xfId="4472" xr:uid="{00000000-0005-0000-0000-000009200000}"/>
    <cellStyle name="Normal 9 3 3 2 5 2 2" xfId="8694" xr:uid="{00000000-0005-0000-0000-00000A200000}"/>
    <cellStyle name="Normal 9 3 3 2 5 2 2 2" xfId="17144" xr:uid="{C2B69D5E-602A-4E51-B652-FD66C8148C56}"/>
    <cellStyle name="Normal 9 3 3 2 5 2 3" xfId="12926" xr:uid="{6F097327-28F4-4464-BA4A-7DE72660F6D1}"/>
    <cellStyle name="Normal 9 3 3 2 5 3" xfId="6549" xr:uid="{00000000-0005-0000-0000-00000B200000}"/>
    <cellStyle name="Normal 9 3 3 2 5 3 2" xfId="14999" xr:uid="{D4D16AB9-3997-4149-85D7-BBBB841D6FC5}"/>
    <cellStyle name="Normal 9 3 3 2 5 4" xfId="10781" xr:uid="{BF3F4EE4-35CB-44AB-A22D-458B67F266D4}"/>
    <cellStyle name="Normal 9 3 3 2 6" xfId="2679" xr:uid="{00000000-0005-0000-0000-00000C200000}"/>
    <cellStyle name="Normal 9 3 3 2 6 2" xfId="6962" xr:uid="{00000000-0005-0000-0000-00000D200000}"/>
    <cellStyle name="Normal 9 3 3 2 6 2 2" xfId="15412" xr:uid="{F059D19E-81DC-4677-9776-7F0A7A1104E0}"/>
    <cellStyle name="Normal 9 3 3 2 6 3" xfId="11194" xr:uid="{27ADF300-2EC6-4205-AC22-ED1EA566BE34}"/>
    <cellStyle name="Normal 9 3 3 2 7" xfId="4897" xr:uid="{00000000-0005-0000-0000-00000E200000}"/>
    <cellStyle name="Normal 9 3 3 2 7 2" xfId="13347" xr:uid="{371A93E6-FD33-4FE4-AEE8-3FD0F0221E7F}"/>
    <cellStyle name="Normal 9 3 3 2 8" xfId="9129" xr:uid="{52058540-21BC-48CE-8BBA-3D001FC58FF4}"/>
    <cellStyle name="Normal 9 3 3 3" xfId="999" xr:uid="{00000000-0005-0000-0000-00000F200000}"/>
    <cellStyle name="Normal 9 3 3 3 2" xfId="3232" xr:uid="{00000000-0005-0000-0000-000010200000}"/>
    <cellStyle name="Normal 9 3 3 3 2 2" xfId="7454" xr:uid="{00000000-0005-0000-0000-000011200000}"/>
    <cellStyle name="Normal 9 3 3 3 2 2 2" xfId="15904" xr:uid="{8AB01349-489F-42D6-97EF-7EB418D0D214}"/>
    <cellStyle name="Normal 9 3 3 3 2 3" xfId="11686" xr:uid="{7A82A9B9-26AC-4F38-9AA8-F8EB76DB9AB7}"/>
    <cellStyle name="Normal 9 3 3 3 3" xfId="5309" xr:uid="{00000000-0005-0000-0000-000012200000}"/>
    <cellStyle name="Normal 9 3 3 3 3 2" xfId="13759" xr:uid="{8CB5FB08-69CF-422F-AC0A-C26837B55760}"/>
    <cellStyle name="Normal 9 3 3 3 4" xfId="9541" xr:uid="{1E3523F3-0DB0-4A36-82D2-DC94B8AF2041}"/>
    <cellStyle name="Normal 9 3 3 4" xfId="1415" xr:uid="{00000000-0005-0000-0000-000013200000}"/>
    <cellStyle name="Normal 9 3 3 4 2" xfId="3645" xr:uid="{00000000-0005-0000-0000-000014200000}"/>
    <cellStyle name="Normal 9 3 3 4 2 2" xfId="7867" xr:uid="{00000000-0005-0000-0000-000015200000}"/>
    <cellStyle name="Normal 9 3 3 4 2 2 2" xfId="16317" xr:uid="{D08B6C64-7623-4191-B345-515245055EDA}"/>
    <cellStyle name="Normal 9 3 3 4 2 3" xfId="12099" xr:uid="{815235AA-22E0-4ECE-A4B7-9577589B82F1}"/>
    <cellStyle name="Normal 9 3 3 4 3" xfId="5722" xr:uid="{00000000-0005-0000-0000-000016200000}"/>
    <cellStyle name="Normal 9 3 3 4 3 2" xfId="14172" xr:uid="{17D78BFE-1DB8-4A40-8170-E17FBE131A6F}"/>
    <cellStyle name="Normal 9 3 3 4 4" xfId="9954" xr:uid="{51EFDF6D-E134-4612-9496-BBBA10B1A986}"/>
    <cellStyle name="Normal 9 3 3 5" xfId="1828" xr:uid="{00000000-0005-0000-0000-000017200000}"/>
    <cellStyle name="Normal 9 3 3 5 2" xfId="4058" xr:uid="{00000000-0005-0000-0000-000018200000}"/>
    <cellStyle name="Normal 9 3 3 5 2 2" xfId="8280" xr:uid="{00000000-0005-0000-0000-000019200000}"/>
    <cellStyle name="Normal 9 3 3 5 2 2 2" xfId="16730" xr:uid="{4B534A42-FE12-4BE6-AC28-B9835BFDB9C8}"/>
    <cellStyle name="Normal 9 3 3 5 2 3" xfId="12512" xr:uid="{1D6E9689-B8E9-4A8E-880D-CDCA1EDD7C2C}"/>
    <cellStyle name="Normal 9 3 3 5 3" xfId="6135" xr:uid="{00000000-0005-0000-0000-00001A200000}"/>
    <cellStyle name="Normal 9 3 3 5 3 2" xfId="14585" xr:uid="{03BFBC8A-5DCC-45BE-A314-088E9DD76F12}"/>
    <cellStyle name="Normal 9 3 3 5 4" xfId="10367" xr:uid="{582672BB-B4E4-4291-B770-054FD07AAD88}"/>
    <cellStyle name="Normal 9 3 3 6" xfId="2242" xr:uid="{00000000-0005-0000-0000-00001B200000}"/>
    <cellStyle name="Normal 9 3 3 6 2" xfId="4471" xr:uid="{00000000-0005-0000-0000-00001C200000}"/>
    <cellStyle name="Normal 9 3 3 6 2 2" xfId="8693" xr:uid="{00000000-0005-0000-0000-00001D200000}"/>
    <cellStyle name="Normal 9 3 3 6 2 2 2" xfId="17143" xr:uid="{EE9D9B5F-A18C-465D-BA4B-7BC5EF037823}"/>
    <cellStyle name="Normal 9 3 3 6 2 3" xfId="12925" xr:uid="{48F2116C-60FA-4D92-9F11-B059C6CC33F6}"/>
    <cellStyle name="Normal 9 3 3 6 3" xfId="6548" xr:uid="{00000000-0005-0000-0000-00001E200000}"/>
    <cellStyle name="Normal 9 3 3 6 3 2" xfId="14998" xr:uid="{5392E229-2BB3-4727-83F6-7728D187BA62}"/>
    <cellStyle name="Normal 9 3 3 6 4" xfId="10780" xr:uid="{1B5719BE-F2AD-4A45-8224-645F15FEB2B4}"/>
    <cellStyle name="Normal 9 3 3 7" xfId="2678" xr:uid="{00000000-0005-0000-0000-00001F200000}"/>
    <cellStyle name="Normal 9 3 3 7 2" xfId="6961" xr:uid="{00000000-0005-0000-0000-000020200000}"/>
    <cellStyle name="Normal 9 3 3 7 2 2" xfId="15411" xr:uid="{7CDD969A-D608-45EE-8CCE-835F4D68ADF2}"/>
    <cellStyle name="Normal 9 3 3 7 3" xfId="11193" xr:uid="{3064320B-5A46-4C37-A38A-3E19806C9ED0}"/>
    <cellStyle name="Normal 9 3 3 8" xfId="4896" xr:uid="{00000000-0005-0000-0000-000021200000}"/>
    <cellStyle name="Normal 9 3 3 8 2" xfId="13346" xr:uid="{650195E1-F28B-4332-8359-2104113B9E34}"/>
    <cellStyle name="Normal 9 3 3 9" xfId="9128" xr:uid="{AB480D83-0053-42BF-AFC0-B9ACED8BC051}"/>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2 2 2" xfId="15906" xr:uid="{312F17CF-A865-438F-9A7F-E22B6491D07C}"/>
    <cellStyle name="Normal 9 3 4 2 2 3" xfId="11688" xr:uid="{8CF0C497-7185-49DD-BC52-0A3FD46868C8}"/>
    <cellStyle name="Normal 9 3 4 2 3" xfId="5311" xr:uid="{00000000-0005-0000-0000-000026200000}"/>
    <cellStyle name="Normal 9 3 4 2 3 2" xfId="13761" xr:uid="{12D0468F-4D5B-4D1E-8080-C95988DC302F}"/>
    <cellStyle name="Normal 9 3 4 2 4" xfId="9543" xr:uid="{A1B57B1B-4760-4B17-92CE-5A9F38A9E01D}"/>
    <cellStyle name="Normal 9 3 4 3" xfId="1417" xr:uid="{00000000-0005-0000-0000-000027200000}"/>
    <cellStyle name="Normal 9 3 4 3 2" xfId="3647" xr:uid="{00000000-0005-0000-0000-000028200000}"/>
    <cellStyle name="Normal 9 3 4 3 2 2" xfId="7869" xr:uid="{00000000-0005-0000-0000-000029200000}"/>
    <cellStyle name="Normal 9 3 4 3 2 2 2" xfId="16319" xr:uid="{FC3E2F7E-C733-4324-9DDC-AAE49CB461F1}"/>
    <cellStyle name="Normal 9 3 4 3 2 3" xfId="12101" xr:uid="{EDDA7CC2-EFA9-4B46-B929-4FBFBCD36C80}"/>
    <cellStyle name="Normal 9 3 4 3 3" xfId="5724" xr:uid="{00000000-0005-0000-0000-00002A200000}"/>
    <cellStyle name="Normal 9 3 4 3 3 2" xfId="14174" xr:uid="{E3A4D023-3052-4DAE-B273-F00A4DD68700}"/>
    <cellStyle name="Normal 9 3 4 3 4" xfId="9956" xr:uid="{50B02F25-A890-45A3-8AA5-C01045470986}"/>
    <cellStyle name="Normal 9 3 4 4" xfId="1830" xr:uid="{00000000-0005-0000-0000-00002B200000}"/>
    <cellStyle name="Normal 9 3 4 4 2" xfId="4060" xr:uid="{00000000-0005-0000-0000-00002C200000}"/>
    <cellStyle name="Normal 9 3 4 4 2 2" xfId="8282" xr:uid="{00000000-0005-0000-0000-00002D200000}"/>
    <cellStyle name="Normal 9 3 4 4 2 2 2" xfId="16732" xr:uid="{C3EB037F-AFAE-4936-ACB9-68A6E35061D0}"/>
    <cellStyle name="Normal 9 3 4 4 2 3" xfId="12514" xr:uid="{8DD692D9-FA25-4CBF-AFE5-BE5DBC974AE9}"/>
    <cellStyle name="Normal 9 3 4 4 3" xfId="6137" xr:uid="{00000000-0005-0000-0000-00002E200000}"/>
    <cellStyle name="Normal 9 3 4 4 3 2" xfId="14587" xr:uid="{067B2E39-D102-4699-B51E-1F088242E934}"/>
    <cellStyle name="Normal 9 3 4 4 4" xfId="10369" xr:uid="{5A72418E-40B4-4464-83A3-CEE6F02B35A8}"/>
    <cellStyle name="Normal 9 3 4 5" xfId="2244" xr:uid="{00000000-0005-0000-0000-00002F200000}"/>
    <cellStyle name="Normal 9 3 4 5 2" xfId="4473" xr:uid="{00000000-0005-0000-0000-000030200000}"/>
    <cellStyle name="Normal 9 3 4 5 2 2" xfId="8695" xr:uid="{00000000-0005-0000-0000-000031200000}"/>
    <cellStyle name="Normal 9 3 4 5 2 2 2" xfId="17145" xr:uid="{ECF7D217-4E79-48FB-9BCC-E8589DBF86C3}"/>
    <cellStyle name="Normal 9 3 4 5 2 3" xfId="12927" xr:uid="{86BF38E8-0713-4201-B3A4-86AA532C4957}"/>
    <cellStyle name="Normal 9 3 4 5 3" xfId="6550" xr:uid="{00000000-0005-0000-0000-000032200000}"/>
    <cellStyle name="Normal 9 3 4 5 3 2" xfId="15000" xr:uid="{5DD49CF0-E1CF-4A3D-8CDA-BC2CC864854B}"/>
    <cellStyle name="Normal 9 3 4 5 4" xfId="10782" xr:uid="{44E0473E-D276-4300-A5F3-64D71995DAEE}"/>
    <cellStyle name="Normal 9 3 4 6" xfId="2680" xr:uid="{00000000-0005-0000-0000-000033200000}"/>
    <cellStyle name="Normal 9 3 4 6 2" xfId="6963" xr:uid="{00000000-0005-0000-0000-000034200000}"/>
    <cellStyle name="Normal 9 3 4 6 2 2" xfId="15413" xr:uid="{709D9BC3-7227-47A7-9DA1-CD7C62192F22}"/>
    <cellStyle name="Normal 9 3 4 6 3" xfId="11195" xr:uid="{FEE9C2A1-5129-4C8F-BB0B-4F2776765144}"/>
    <cellStyle name="Normal 9 3 4 7" xfId="4898" xr:uid="{00000000-0005-0000-0000-000035200000}"/>
    <cellStyle name="Normal 9 3 4 7 2" xfId="13348" xr:uid="{A50C0AE5-C4C7-4126-8C8C-BB27234112B1}"/>
    <cellStyle name="Normal 9 3 4 8" xfId="9130" xr:uid="{2E3EE98C-877C-4EA8-B685-6EE7E51F40A9}"/>
    <cellStyle name="Normal 9 3 5" xfId="994" xr:uid="{00000000-0005-0000-0000-000036200000}"/>
    <cellStyle name="Normal 9 3 5 2" xfId="3227" xr:uid="{00000000-0005-0000-0000-000037200000}"/>
    <cellStyle name="Normal 9 3 5 2 2" xfId="7449" xr:uid="{00000000-0005-0000-0000-000038200000}"/>
    <cellStyle name="Normal 9 3 5 2 2 2" xfId="15899" xr:uid="{88ED24AE-CED8-4F85-8C8D-45F73D1A62AC}"/>
    <cellStyle name="Normal 9 3 5 2 3" xfId="11681" xr:uid="{3BEE9A45-9F28-45BA-A959-CFDAB4D03378}"/>
    <cellStyle name="Normal 9 3 5 3" xfId="5304" xr:uid="{00000000-0005-0000-0000-000039200000}"/>
    <cellStyle name="Normal 9 3 5 3 2" xfId="13754" xr:uid="{9FE51CA7-637D-46A9-AD8C-D3E5533DCAC3}"/>
    <cellStyle name="Normal 9 3 5 4" xfId="9536" xr:uid="{D8DE49E4-2F58-4AF4-9830-4B9FB6354591}"/>
    <cellStyle name="Normal 9 3 6" xfId="1410" xr:uid="{00000000-0005-0000-0000-00003A200000}"/>
    <cellStyle name="Normal 9 3 6 2" xfId="3640" xr:uid="{00000000-0005-0000-0000-00003B200000}"/>
    <cellStyle name="Normal 9 3 6 2 2" xfId="7862" xr:uid="{00000000-0005-0000-0000-00003C200000}"/>
    <cellStyle name="Normal 9 3 6 2 2 2" xfId="16312" xr:uid="{D0166912-6029-4DEC-92F6-527A23E9ABFD}"/>
    <cellStyle name="Normal 9 3 6 2 3" xfId="12094" xr:uid="{359C9599-A378-4706-BB8D-EA2ACEF098D1}"/>
    <cellStyle name="Normal 9 3 6 3" xfId="5717" xr:uid="{00000000-0005-0000-0000-00003D200000}"/>
    <cellStyle name="Normal 9 3 6 3 2" xfId="14167" xr:uid="{C2410596-526D-4710-9697-B50F04E62B6C}"/>
    <cellStyle name="Normal 9 3 6 4" xfId="9949" xr:uid="{2048A565-8C86-4075-A85E-4CAAFEFC998D}"/>
    <cellStyle name="Normal 9 3 7" xfId="1823" xr:uid="{00000000-0005-0000-0000-00003E200000}"/>
    <cellStyle name="Normal 9 3 7 2" xfId="4053" xr:uid="{00000000-0005-0000-0000-00003F200000}"/>
    <cellStyle name="Normal 9 3 7 2 2" xfId="8275" xr:uid="{00000000-0005-0000-0000-000040200000}"/>
    <cellStyle name="Normal 9 3 7 2 2 2" xfId="16725" xr:uid="{A0584C5D-33DE-4B72-9237-C7750836D909}"/>
    <cellStyle name="Normal 9 3 7 2 3" xfId="12507" xr:uid="{DA0DB83A-0D39-468E-A650-7B9E17A5AAF1}"/>
    <cellStyle name="Normal 9 3 7 3" xfId="6130" xr:uid="{00000000-0005-0000-0000-000041200000}"/>
    <cellStyle name="Normal 9 3 7 3 2" xfId="14580" xr:uid="{4577B76F-90AC-4917-A707-351985545B78}"/>
    <cellStyle name="Normal 9 3 7 4" xfId="10362" xr:uid="{E965ACD5-ECB5-418F-9712-0023DBB9CEA9}"/>
    <cellStyle name="Normal 9 3 8" xfId="2237" xr:uid="{00000000-0005-0000-0000-000042200000}"/>
    <cellStyle name="Normal 9 3 8 2" xfId="4466" xr:uid="{00000000-0005-0000-0000-000043200000}"/>
    <cellStyle name="Normal 9 3 8 2 2" xfId="8688" xr:uid="{00000000-0005-0000-0000-000044200000}"/>
    <cellStyle name="Normal 9 3 8 2 2 2" xfId="17138" xr:uid="{68726A8F-5647-45F5-AA9E-B88773401FC1}"/>
    <cellStyle name="Normal 9 3 8 2 3" xfId="12920" xr:uid="{CC73399E-1B0A-465F-9E3A-94406E718B26}"/>
    <cellStyle name="Normal 9 3 8 3" xfId="6543" xr:uid="{00000000-0005-0000-0000-000045200000}"/>
    <cellStyle name="Normal 9 3 8 3 2" xfId="14993" xr:uid="{50FDB2D9-6299-44AB-878B-9A98C7A0EB78}"/>
    <cellStyle name="Normal 9 3 8 4" xfId="10775" xr:uid="{7CCF0F86-B9C5-448F-AADA-82719367DAB8}"/>
    <cellStyle name="Normal 9 3 9" xfId="2673" xr:uid="{00000000-0005-0000-0000-000046200000}"/>
    <cellStyle name="Normal 9 3 9 2" xfId="6956" xr:uid="{00000000-0005-0000-0000-000047200000}"/>
    <cellStyle name="Normal 9 3 9 2 2" xfId="15406" xr:uid="{6C822719-89B5-4C67-84D9-69D58BF043FD}"/>
    <cellStyle name="Normal 9 3 9 3" xfId="11188" xr:uid="{2A9765C4-3F78-4731-B7A7-271184D3F5EE}"/>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2 2 2" xfId="15908" xr:uid="{EE325327-4D10-4A93-9919-4DF0F64561BE}"/>
    <cellStyle name="Normal 9 5 2 2 2 3" xfId="11690" xr:uid="{0C30F99D-A55A-4B1E-ADDF-DD26857F98C9}"/>
    <cellStyle name="Normal 9 5 2 2 3" xfId="5313" xr:uid="{00000000-0005-0000-0000-00004F200000}"/>
    <cellStyle name="Normal 9 5 2 2 3 2" xfId="13763" xr:uid="{BC726D51-F472-4649-BAA0-126A3E032F2B}"/>
    <cellStyle name="Normal 9 5 2 2 4" xfId="9545" xr:uid="{8E657BBA-5CE5-4AC7-B4B7-2112422159E5}"/>
    <cellStyle name="Normal 9 5 2 3" xfId="1419" xr:uid="{00000000-0005-0000-0000-000050200000}"/>
    <cellStyle name="Normal 9 5 2 3 2" xfId="3649" xr:uid="{00000000-0005-0000-0000-000051200000}"/>
    <cellStyle name="Normal 9 5 2 3 2 2" xfId="7871" xr:uid="{00000000-0005-0000-0000-000052200000}"/>
    <cellStyle name="Normal 9 5 2 3 2 2 2" xfId="16321" xr:uid="{D22BAA27-E199-446B-A381-75A6E8275E7A}"/>
    <cellStyle name="Normal 9 5 2 3 2 3" xfId="12103" xr:uid="{E5EBEC38-D083-41B5-BECD-9EED75E43A6E}"/>
    <cellStyle name="Normal 9 5 2 3 3" xfId="5726" xr:uid="{00000000-0005-0000-0000-000053200000}"/>
    <cellStyle name="Normal 9 5 2 3 3 2" xfId="14176" xr:uid="{E82A00FE-5BA9-4FE7-B431-BFE2963C0A62}"/>
    <cellStyle name="Normal 9 5 2 3 4" xfId="9958" xr:uid="{CDF7A39D-45AA-4BFF-8D6E-F505D5914C70}"/>
    <cellStyle name="Normal 9 5 2 4" xfId="1832" xr:uid="{00000000-0005-0000-0000-000054200000}"/>
    <cellStyle name="Normal 9 5 2 4 2" xfId="4062" xr:uid="{00000000-0005-0000-0000-000055200000}"/>
    <cellStyle name="Normal 9 5 2 4 2 2" xfId="8284" xr:uid="{00000000-0005-0000-0000-000056200000}"/>
    <cellStyle name="Normal 9 5 2 4 2 2 2" xfId="16734" xr:uid="{B11F1668-3E42-4285-819E-82503ECC42FF}"/>
    <cellStyle name="Normal 9 5 2 4 2 3" xfId="12516" xr:uid="{51421761-F4D6-4925-B9A0-14916BA0EEF1}"/>
    <cellStyle name="Normal 9 5 2 4 3" xfId="6139" xr:uid="{00000000-0005-0000-0000-000057200000}"/>
    <cellStyle name="Normal 9 5 2 4 3 2" xfId="14589" xr:uid="{096B3052-129F-4BDF-A973-D9DD4D5B2920}"/>
    <cellStyle name="Normal 9 5 2 4 4" xfId="10371" xr:uid="{6D5A7B52-9438-4C00-9258-289A0830B0F5}"/>
    <cellStyle name="Normal 9 5 2 5" xfId="2246" xr:uid="{00000000-0005-0000-0000-000058200000}"/>
    <cellStyle name="Normal 9 5 2 5 2" xfId="4475" xr:uid="{00000000-0005-0000-0000-000059200000}"/>
    <cellStyle name="Normal 9 5 2 5 2 2" xfId="8697" xr:uid="{00000000-0005-0000-0000-00005A200000}"/>
    <cellStyle name="Normal 9 5 2 5 2 2 2" xfId="17147" xr:uid="{2858E399-3311-40F4-984E-17ABC8BD8E39}"/>
    <cellStyle name="Normal 9 5 2 5 2 3" xfId="12929" xr:uid="{FDBD32EE-7900-4712-A05C-0531DB8F1F20}"/>
    <cellStyle name="Normal 9 5 2 5 3" xfId="6552" xr:uid="{00000000-0005-0000-0000-00005B200000}"/>
    <cellStyle name="Normal 9 5 2 5 3 2" xfId="15002" xr:uid="{030EE3FC-0D52-4807-A21C-EAE64466F912}"/>
    <cellStyle name="Normal 9 5 2 5 4" xfId="10784" xr:uid="{F3C03921-FAF6-44DB-B629-38505214131B}"/>
    <cellStyle name="Normal 9 5 2 6" xfId="2682" xr:uid="{00000000-0005-0000-0000-00005C200000}"/>
    <cellStyle name="Normal 9 5 2 6 2" xfId="6965" xr:uid="{00000000-0005-0000-0000-00005D200000}"/>
    <cellStyle name="Normal 9 5 2 6 2 2" xfId="15415" xr:uid="{7EE98D27-DCAF-47A5-BB83-337300270BBF}"/>
    <cellStyle name="Normal 9 5 2 6 3" xfId="11197" xr:uid="{D9E20A95-900A-4DFD-8240-33167082082C}"/>
    <cellStyle name="Normal 9 5 2 7" xfId="4900" xr:uid="{00000000-0005-0000-0000-00005E200000}"/>
    <cellStyle name="Normal 9 5 2 7 2" xfId="13350" xr:uid="{EBCB15BA-4355-4726-8333-81B629198ED4}"/>
    <cellStyle name="Normal 9 5 2 8" xfId="9132" xr:uid="{D415AE94-A65F-48ED-9537-C10756C53674}"/>
    <cellStyle name="Normal 9 5 3" xfId="1003" xr:uid="{00000000-0005-0000-0000-00005F200000}"/>
    <cellStyle name="Normal 9 5 3 2" xfId="3235" xr:uid="{00000000-0005-0000-0000-000060200000}"/>
    <cellStyle name="Normal 9 5 3 2 2" xfId="7457" xr:uid="{00000000-0005-0000-0000-000061200000}"/>
    <cellStyle name="Normal 9 5 3 2 2 2" xfId="15907" xr:uid="{25B161C0-0C11-455D-8A4D-E8DEF45077FB}"/>
    <cellStyle name="Normal 9 5 3 2 3" xfId="11689" xr:uid="{BD0D9B30-8AD9-484D-8372-5412CC400CE4}"/>
    <cellStyle name="Normal 9 5 3 3" xfId="5312" xr:uid="{00000000-0005-0000-0000-000062200000}"/>
    <cellStyle name="Normal 9 5 3 3 2" xfId="13762" xr:uid="{4FCF6CC4-A3CA-4136-8698-DB35EB8D0299}"/>
    <cellStyle name="Normal 9 5 3 4" xfId="9544" xr:uid="{39ABE510-E7E5-4F36-BA36-38CEDF8618A5}"/>
    <cellStyle name="Normal 9 5 4" xfId="1418" xr:uid="{00000000-0005-0000-0000-000063200000}"/>
    <cellStyle name="Normal 9 5 4 2" xfId="3648" xr:uid="{00000000-0005-0000-0000-000064200000}"/>
    <cellStyle name="Normal 9 5 4 2 2" xfId="7870" xr:uid="{00000000-0005-0000-0000-000065200000}"/>
    <cellStyle name="Normal 9 5 4 2 2 2" xfId="16320" xr:uid="{39B1442F-6C5B-4740-A572-1D141A0EE000}"/>
    <cellStyle name="Normal 9 5 4 2 3" xfId="12102" xr:uid="{66CF9CD7-C33A-43EB-9AA1-D5C7C0176D6C}"/>
    <cellStyle name="Normal 9 5 4 3" xfId="5725" xr:uid="{00000000-0005-0000-0000-000066200000}"/>
    <cellStyle name="Normal 9 5 4 3 2" xfId="14175" xr:uid="{58746D59-2C88-4A2C-B4D4-7FF96202CD26}"/>
    <cellStyle name="Normal 9 5 4 4" xfId="9957" xr:uid="{3CA37F78-04F3-485A-8DA6-5A9D3AD2898D}"/>
    <cellStyle name="Normal 9 5 5" xfId="1831" xr:uid="{00000000-0005-0000-0000-000067200000}"/>
    <cellStyle name="Normal 9 5 5 2" xfId="4061" xr:uid="{00000000-0005-0000-0000-000068200000}"/>
    <cellStyle name="Normal 9 5 5 2 2" xfId="8283" xr:uid="{00000000-0005-0000-0000-000069200000}"/>
    <cellStyle name="Normal 9 5 5 2 2 2" xfId="16733" xr:uid="{C083B648-3F5F-4266-A70C-A2EBDD98835E}"/>
    <cellStyle name="Normal 9 5 5 2 3" xfId="12515" xr:uid="{39CD426B-4868-4E33-8891-93A2A593477B}"/>
    <cellStyle name="Normal 9 5 5 3" xfId="6138" xr:uid="{00000000-0005-0000-0000-00006A200000}"/>
    <cellStyle name="Normal 9 5 5 3 2" xfId="14588" xr:uid="{CEDC35DE-EF07-4491-A1E9-2F49FA868B52}"/>
    <cellStyle name="Normal 9 5 5 4" xfId="10370" xr:uid="{47C00459-1ED6-435F-85C1-CAEF38871072}"/>
    <cellStyle name="Normal 9 5 6" xfId="2245" xr:uid="{00000000-0005-0000-0000-00006B200000}"/>
    <cellStyle name="Normal 9 5 6 2" xfId="4474" xr:uid="{00000000-0005-0000-0000-00006C200000}"/>
    <cellStyle name="Normal 9 5 6 2 2" xfId="8696" xr:uid="{00000000-0005-0000-0000-00006D200000}"/>
    <cellStyle name="Normal 9 5 6 2 2 2" xfId="17146" xr:uid="{FC9D287C-4E1A-4C34-8FC0-8C3E43C50604}"/>
    <cellStyle name="Normal 9 5 6 2 3" xfId="12928" xr:uid="{B24C6647-29BD-4AD2-B86A-68357898B69B}"/>
    <cellStyle name="Normal 9 5 6 3" xfId="6551" xr:uid="{00000000-0005-0000-0000-00006E200000}"/>
    <cellStyle name="Normal 9 5 6 3 2" xfId="15001" xr:uid="{636DDF76-E545-4CE4-9ECF-DD515D3F70B4}"/>
    <cellStyle name="Normal 9 5 6 4" xfId="10783" xr:uid="{94834C5B-74EC-4B06-9BDF-BC5CA95261CD}"/>
    <cellStyle name="Normal 9 5 7" xfId="2681" xr:uid="{00000000-0005-0000-0000-00006F200000}"/>
    <cellStyle name="Normal 9 5 7 2" xfId="6964" xr:uid="{00000000-0005-0000-0000-000070200000}"/>
    <cellStyle name="Normal 9 5 7 2 2" xfId="15414" xr:uid="{94F27BBC-C4F3-4748-AD12-100137777E4C}"/>
    <cellStyle name="Normal 9 5 7 3" xfId="11196" xr:uid="{C6EF4182-D796-4DD4-A02E-48599BA86181}"/>
    <cellStyle name="Normal 9 5 8" xfId="4899" xr:uid="{00000000-0005-0000-0000-000071200000}"/>
    <cellStyle name="Normal 9 5 8 2" xfId="13349" xr:uid="{0BCB543C-E414-463C-8C06-84BAC150A509}"/>
    <cellStyle name="Normal 9 5 9" xfId="9131" xr:uid="{014E7D29-DBD9-47A1-B05F-9C27B432CB45}"/>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2 2 2" xfId="15909" xr:uid="{E9083CBA-1CA9-4EEB-B96C-AE5F0EF2F35C}"/>
    <cellStyle name="Normal 9 6 2 2 3" xfId="11691" xr:uid="{16FF3507-E33C-41D1-8103-348503D70F77}"/>
    <cellStyle name="Normal 9 6 2 3" xfId="5314" xr:uid="{00000000-0005-0000-0000-000076200000}"/>
    <cellStyle name="Normal 9 6 2 3 2" xfId="13764" xr:uid="{D1DCB9E2-9BF9-4110-8795-EC9E428B1F9D}"/>
    <cellStyle name="Normal 9 6 2 4" xfId="9546" xr:uid="{5C347F8F-4119-4A6B-BBDE-DEA2A8C2787D}"/>
    <cellStyle name="Normal 9 6 3" xfId="1420" xr:uid="{00000000-0005-0000-0000-000077200000}"/>
    <cellStyle name="Normal 9 6 3 2" xfId="3650" xr:uid="{00000000-0005-0000-0000-000078200000}"/>
    <cellStyle name="Normal 9 6 3 2 2" xfId="7872" xr:uid="{00000000-0005-0000-0000-000079200000}"/>
    <cellStyle name="Normal 9 6 3 2 2 2" xfId="16322" xr:uid="{70464612-CD7E-487E-B3AA-678F7B6B55A1}"/>
    <cellStyle name="Normal 9 6 3 2 3" xfId="12104" xr:uid="{CDFB79C5-780D-492D-A39B-A410BE15BE4C}"/>
    <cellStyle name="Normal 9 6 3 3" xfId="5727" xr:uid="{00000000-0005-0000-0000-00007A200000}"/>
    <cellStyle name="Normal 9 6 3 3 2" xfId="14177" xr:uid="{878E2D09-A1B8-4FEE-9567-6E93AC5B70C1}"/>
    <cellStyle name="Normal 9 6 3 4" xfId="9959" xr:uid="{9D3E70DD-23FE-4384-BAE7-997D24857B9A}"/>
    <cellStyle name="Normal 9 6 4" xfId="1833" xr:uid="{00000000-0005-0000-0000-00007B200000}"/>
    <cellStyle name="Normal 9 6 4 2" xfId="4063" xr:uid="{00000000-0005-0000-0000-00007C200000}"/>
    <cellStyle name="Normal 9 6 4 2 2" xfId="8285" xr:uid="{00000000-0005-0000-0000-00007D200000}"/>
    <cellStyle name="Normal 9 6 4 2 2 2" xfId="16735" xr:uid="{06765E32-DC23-46C3-9B12-1528252A68E2}"/>
    <cellStyle name="Normal 9 6 4 2 3" xfId="12517" xr:uid="{66DBC7A8-8529-4116-81E7-5D77C1A89B37}"/>
    <cellStyle name="Normal 9 6 4 3" xfId="6140" xr:uid="{00000000-0005-0000-0000-00007E200000}"/>
    <cellStyle name="Normal 9 6 4 3 2" xfId="14590" xr:uid="{9343CA94-F033-4615-ACCC-53F04832D908}"/>
    <cellStyle name="Normal 9 6 4 4" xfId="10372" xr:uid="{1541D1CF-64F3-42DD-B942-AED29A6BAC9A}"/>
    <cellStyle name="Normal 9 6 5" xfId="2247" xr:uid="{00000000-0005-0000-0000-00007F200000}"/>
    <cellStyle name="Normal 9 6 5 2" xfId="4476" xr:uid="{00000000-0005-0000-0000-000080200000}"/>
    <cellStyle name="Normal 9 6 5 2 2" xfId="8698" xr:uid="{00000000-0005-0000-0000-000081200000}"/>
    <cellStyle name="Normal 9 6 5 2 2 2" xfId="17148" xr:uid="{3948D4BB-8A6C-414E-8577-3B8C2E2C9C49}"/>
    <cellStyle name="Normal 9 6 5 2 3" xfId="12930" xr:uid="{75A2FD7E-F577-4729-918A-719A1A76C34B}"/>
    <cellStyle name="Normal 9 6 5 3" xfId="6553" xr:uid="{00000000-0005-0000-0000-000082200000}"/>
    <cellStyle name="Normal 9 6 5 3 2" xfId="15003" xr:uid="{0BF3AA20-811F-47A0-922F-48D7D00194B2}"/>
    <cellStyle name="Normal 9 6 5 4" xfId="10785" xr:uid="{39E8A5EE-0E0A-40F2-8F98-A51459B12225}"/>
    <cellStyle name="Normal 9 6 6" xfId="2683" xr:uid="{00000000-0005-0000-0000-000083200000}"/>
    <cellStyle name="Normal 9 6 6 2" xfId="6966" xr:uid="{00000000-0005-0000-0000-000084200000}"/>
    <cellStyle name="Normal 9 6 6 2 2" xfId="15416" xr:uid="{63ECD29C-9CE5-402B-BA06-DA76C0BD9440}"/>
    <cellStyle name="Normal 9 6 6 3" xfId="11198" xr:uid="{1CCC8827-4FBD-4CC8-8759-7C03396F43F3}"/>
    <cellStyle name="Normal 9 6 7" xfId="4901" xr:uid="{00000000-0005-0000-0000-000085200000}"/>
    <cellStyle name="Normal 9 6 7 2" xfId="13351" xr:uid="{09CAC08E-6482-459A-87B1-761D15A85DCE}"/>
    <cellStyle name="Normal 9 6 8" xfId="9133" xr:uid="{B36AF70D-82FD-45A4-8DBB-764BA6F80D9D}"/>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0 2 2" xfId="15497" xr:uid="{FAEF4370-8318-46B0-8534-8E7342F6FF34}"/>
    <cellStyle name="Note 2 2 10 3" xfId="11279" xr:uid="{D707B077-160E-4BCA-9094-A36B196CB074}"/>
    <cellStyle name="Note 2 2 11" xfId="4902" xr:uid="{00000000-0005-0000-0000-000094200000}"/>
    <cellStyle name="Note 2 2 11 2" xfId="13352" xr:uid="{E69C6F59-F7F4-4246-902B-AEF26AFAC154}"/>
    <cellStyle name="Note 2 2 12" xfId="9134" xr:uid="{B01DF9BE-BD99-445C-8137-D4BEC133CFBE}"/>
    <cellStyle name="Note 2 2 2" xfId="546" xr:uid="{00000000-0005-0000-0000-000095200000}"/>
    <cellStyle name="Note 2 2 2 10" xfId="4903" xr:uid="{00000000-0005-0000-0000-000096200000}"/>
    <cellStyle name="Note 2 2 2 10 2" xfId="13353" xr:uid="{95C27A79-15FE-4D0D-8271-5B9C0F64C78B}"/>
    <cellStyle name="Note 2 2 2 11" xfId="9135" xr:uid="{CEBF2BD0-8F0E-4CFC-9357-40B478D9DAF1}"/>
    <cellStyle name="Note 2 2 2 2" xfId="547" xr:uid="{00000000-0005-0000-0000-000097200000}"/>
    <cellStyle name="Note 2 2 2 2 10" xfId="9136" xr:uid="{C0A5A188-322F-4FAD-80DC-2AD89FA6426E}"/>
    <cellStyle name="Note 2 2 2 2 2" xfId="1008" xr:uid="{00000000-0005-0000-0000-000098200000}"/>
    <cellStyle name="Note 2 2 2 2 2 2" xfId="3240" xr:uid="{00000000-0005-0000-0000-000099200000}"/>
    <cellStyle name="Note 2 2 2 2 2 2 2" xfId="7462" xr:uid="{00000000-0005-0000-0000-00009A200000}"/>
    <cellStyle name="Note 2 2 2 2 2 2 2 2" xfId="15912" xr:uid="{8677A0F9-8A3A-45B8-862A-5962704DABDB}"/>
    <cellStyle name="Note 2 2 2 2 2 2 3" xfId="11694" xr:uid="{D15E9F3B-5773-4C2F-B507-F76DC8CBDE03}"/>
    <cellStyle name="Note 2 2 2 2 2 3" xfId="5317" xr:uid="{00000000-0005-0000-0000-00009B200000}"/>
    <cellStyle name="Note 2 2 2 2 2 3 2" xfId="13767" xr:uid="{7E1085EF-26B2-43C5-9FF2-FEE6CA8F5D1C}"/>
    <cellStyle name="Note 2 2 2 2 2 4" xfId="9549" xr:uid="{B3A41F7A-B2FC-4D5B-B16D-A20E25D9DAFB}"/>
    <cellStyle name="Note 2 2 2 2 3" xfId="1423" xr:uid="{00000000-0005-0000-0000-00009C200000}"/>
    <cellStyle name="Note 2 2 2 2 3 2" xfId="3653" xr:uid="{00000000-0005-0000-0000-00009D200000}"/>
    <cellStyle name="Note 2 2 2 2 3 2 2" xfId="7875" xr:uid="{00000000-0005-0000-0000-00009E200000}"/>
    <cellStyle name="Note 2 2 2 2 3 2 2 2" xfId="16325" xr:uid="{14440B15-8BA4-430E-97D9-A1674F2FC0A8}"/>
    <cellStyle name="Note 2 2 2 2 3 2 3" xfId="12107" xr:uid="{11B1D654-C115-4048-94C7-4E2622F50C44}"/>
    <cellStyle name="Note 2 2 2 2 3 3" xfId="5730" xr:uid="{00000000-0005-0000-0000-00009F200000}"/>
    <cellStyle name="Note 2 2 2 2 3 3 2" xfId="14180" xr:uid="{A49EBBE7-1CE6-4141-A97C-C8291CB2B274}"/>
    <cellStyle name="Note 2 2 2 2 3 4" xfId="9962" xr:uid="{30660038-4598-43E4-9C26-87F639D458DA}"/>
    <cellStyle name="Note 2 2 2 2 4" xfId="1837" xr:uid="{00000000-0005-0000-0000-0000A0200000}"/>
    <cellStyle name="Note 2 2 2 2 4 2" xfId="4066" xr:uid="{00000000-0005-0000-0000-0000A1200000}"/>
    <cellStyle name="Note 2 2 2 2 4 2 2" xfId="8288" xr:uid="{00000000-0005-0000-0000-0000A2200000}"/>
    <cellStyle name="Note 2 2 2 2 4 2 2 2" xfId="16738" xr:uid="{DDFD3A6E-FBCD-4A52-AA28-9CA1A50BAD0B}"/>
    <cellStyle name="Note 2 2 2 2 4 2 3" xfId="12520" xr:uid="{162494BC-2B43-4AC9-A3DD-22DC78D6C151}"/>
    <cellStyle name="Note 2 2 2 2 4 3" xfId="6143" xr:uid="{00000000-0005-0000-0000-0000A3200000}"/>
    <cellStyle name="Note 2 2 2 2 4 3 2" xfId="14593" xr:uid="{6BF5E5C9-CBF2-4B81-85CD-BAA598C20CF0}"/>
    <cellStyle name="Note 2 2 2 2 4 4" xfId="10375" xr:uid="{5DB4CD98-456D-4CCF-8C08-ABB22CFB7F11}"/>
    <cellStyle name="Note 2 2 2 2 5" xfId="2250" xr:uid="{00000000-0005-0000-0000-0000A4200000}"/>
    <cellStyle name="Note 2 2 2 2 5 2" xfId="4479" xr:uid="{00000000-0005-0000-0000-0000A5200000}"/>
    <cellStyle name="Note 2 2 2 2 5 2 2" xfId="8701" xr:uid="{00000000-0005-0000-0000-0000A6200000}"/>
    <cellStyle name="Note 2 2 2 2 5 2 2 2" xfId="17151" xr:uid="{CB7DB1AD-4C71-4BE8-AA8C-B02CD4742A6E}"/>
    <cellStyle name="Note 2 2 2 2 5 2 3" xfId="12933" xr:uid="{B6658D74-3788-4AF9-8A95-59FB6F9DC5F4}"/>
    <cellStyle name="Note 2 2 2 2 5 3" xfId="6556" xr:uid="{00000000-0005-0000-0000-0000A7200000}"/>
    <cellStyle name="Note 2 2 2 2 5 3 2" xfId="15006" xr:uid="{24288FF9-D906-480B-A2A9-89BEDF913055}"/>
    <cellStyle name="Note 2 2 2 2 5 4" xfId="10788" xr:uid="{36B3EB19-3F38-4D01-911D-8B0E1106A676}"/>
    <cellStyle name="Note 2 2 2 2 6" xfId="2686" xr:uid="{00000000-0005-0000-0000-0000A8200000}"/>
    <cellStyle name="Note 2 2 2 2 6 2" xfId="6969" xr:uid="{00000000-0005-0000-0000-0000A9200000}"/>
    <cellStyle name="Note 2 2 2 2 6 2 2" xfId="15419" xr:uid="{BE782C6F-9CE1-4DCC-8714-68D5F19C6D7A}"/>
    <cellStyle name="Note 2 2 2 2 6 3" xfId="11201" xr:uid="{6A6E9F8C-7130-4956-8F1F-9AE160A20129}"/>
    <cellStyle name="Note 2 2 2 2 7" xfId="2745" xr:uid="{00000000-0005-0000-0000-0000AA200000}"/>
    <cellStyle name="Note 2 2 2 2 8" xfId="2826" xr:uid="{00000000-0005-0000-0000-0000AB200000}"/>
    <cellStyle name="Note 2 2 2 2 8 2" xfId="7049" xr:uid="{00000000-0005-0000-0000-0000AC200000}"/>
    <cellStyle name="Note 2 2 2 2 8 2 2" xfId="15499" xr:uid="{C98FEF00-0414-42A5-A57B-EB60C0ACB8A4}"/>
    <cellStyle name="Note 2 2 2 2 8 3" xfId="11281" xr:uid="{7F1FA58B-7EC5-4091-AC92-ECCD9466EC2C}"/>
    <cellStyle name="Note 2 2 2 2 9" xfId="4904" xr:uid="{00000000-0005-0000-0000-0000AD200000}"/>
    <cellStyle name="Note 2 2 2 2 9 2" xfId="13354" xr:uid="{BA491BBA-CF66-4DB8-B7C9-A29AABC83157}"/>
    <cellStyle name="Note 2 2 2 3" xfId="1007" xr:uid="{00000000-0005-0000-0000-0000AE200000}"/>
    <cellStyle name="Note 2 2 2 3 2" xfId="3239" xr:uid="{00000000-0005-0000-0000-0000AF200000}"/>
    <cellStyle name="Note 2 2 2 3 2 2" xfId="7461" xr:uid="{00000000-0005-0000-0000-0000B0200000}"/>
    <cellStyle name="Note 2 2 2 3 2 2 2" xfId="15911" xr:uid="{47C3CAF0-82F7-428B-A472-DE71002FC068}"/>
    <cellStyle name="Note 2 2 2 3 2 3" xfId="11693" xr:uid="{0535AC71-B29B-4D0F-AACB-521084217947}"/>
    <cellStyle name="Note 2 2 2 3 3" xfId="5316" xr:uid="{00000000-0005-0000-0000-0000B1200000}"/>
    <cellStyle name="Note 2 2 2 3 3 2" xfId="13766" xr:uid="{9650A8A4-C3D2-4331-A800-8E0969991FD5}"/>
    <cellStyle name="Note 2 2 2 3 4" xfId="9548" xr:uid="{D7BD753B-7175-4875-9545-87726E143222}"/>
    <cellStyle name="Note 2 2 2 4" xfId="1422" xr:uid="{00000000-0005-0000-0000-0000B2200000}"/>
    <cellStyle name="Note 2 2 2 4 2" xfId="3652" xr:uid="{00000000-0005-0000-0000-0000B3200000}"/>
    <cellStyle name="Note 2 2 2 4 2 2" xfId="7874" xr:uid="{00000000-0005-0000-0000-0000B4200000}"/>
    <cellStyle name="Note 2 2 2 4 2 2 2" xfId="16324" xr:uid="{1A851B70-C031-4D30-B801-96471165E6F4}"/>
    <cellStyle name="Note 2 2 2 4 2 3" xfId="12106" xr:uid="{09EF8297-FCF7-42ED-A025-C518E2452054}"/>
    <cellStyle name="Note 2 2 2 4 3" xfId="5729" xr:uid="{00000000-0005-0000-0000-0000B5200000}"/>
    <cellStyle name="Note 2 2 2 4 3 2" xfId="14179" xr:uid="{B70BB13D-0D14-4809-B86A-F920EE6FB2AC}"/>
    <cellStyle name="Note 2 2 2 4 4" xfId="9961" xr:uid="{F77ED431-A8B7-4960-916A-88DD010A3374}"/>
    <cellStyle name="Note 2 2 2 5" xfId="1836" xr:uid="{00000000-0005-0000-0000-0000B6200000}"/>
    <cellStyle name="Note 2 2 2 5 2" xfId="4065" xr:uid="{00000000-0005-0000-0000-0000B7200000}"/>
    <cellStyle name="Note 2 2 2 5 2 2" xfId="8287" xr:uid="{00000000-0005-0000-0000-0000B8200000}"/>
    <cellStyle name="Note 2 2 2 5 2 2 2" xfId="16737" xr:uid="{F6FCC180-EBFE-4516-B7BA-C3BE15005148}"/>
    <cellStyle name="Note 2 2 2 5 2 3" xfId="12519" xr:uid="{6329404E-71D2-4DEB-950E-5344ABD64145}"/>
    <cellStyle name="Note 2 2 2 5 3" xfId="6142" xr:uid="{00000000-0005-0000-0000-0000B9200000}"/>
    <cellStyle name="Note 2 2 2 5 3 2" xfId="14592" xr:uid="{DF8D131E-22E3-4C33-BB52-02B1F6753706}"/>
    <cellStyle name="Note 2 2 2 5 4" xfId="10374" xr:uid="{2FF87988-A928-4D2B-8AE2-FC8FC7DB4293}"/>
    <cellStyle name="Note 2 2 2 6" xfId="2249" xr:uid="{00000000-0005-0000-0000-0000BA200000}"/>
    <cellStyle name="Note 2 2 2 6 2" xfId="4478" xr:uid="{00000000-0005-0000-0000-0000BB200000}"/>
    <cellStyle name="Note 2 2 2 6 2 2" xfId="8700" xr:uid="{00000000-0005-0000-0000-0000BC200000}"/>
    <cellStyle name="Note 2 2 2 6 2 2 2" xfId="17150" xr:uid="{F9E57EAE-4A3A-49A2-8729-45C9607A2294}"/>
    <cellStyle name="Note 2 2 2 6 2 3" xfId="12932" xr:uid="{4B833A23-32CE-4803-9EE2-C2D9E0044B0D}"/>
    <cellStyle name="Note 2 2 2 6 3" xfId="6555" xr:uid="{00000000-0005-0000-0000-0000BD200000}"/>
    <cellStyle name="Note 2 2 2 6 3 2" xfId="15005" xr:uid="{D22E91BD-1A5B-45F5-AEDA-7476A5E9D672}"/>
    <cellStyle name="Note 2 2 2 6 4" xfId="10787" xr:uid="{CB7AD380-579B-4BBD-AD6C-A1BE9750BC5D}"/>
    <cellStyle name="Note 2 2 2 7" xfId="2685" xr:uid="{00000000-0005-0000-0000-0000BE200000}"/>
    <cellStyle name="Note 2 2 2 7 2" xfId="6968" xr:uid="{00000000-0005-0000-0000-0000BF200000}"/>
    <cellStyle name="Note 2 2 2 7 2 2" xfId="15418" xr:uid="{9573CCAD-5D49-4DC4-B122-35306A72ABF4}"/>
    <cellStyle name="Note 2 2 2 7 3" xfId="11200" xr:uid="{271A138A-3BA9-4F8D-BF5F-CF2FE90CC2C8}"/>
    <cellStyle name="Note 2 2 2 8" xfId="2744" xr:uid="{00000000-0005-0000-0000-0000C0200000}"/>
    <cellStyle name="Note 2 2 2 9" xfId="2825" xr:uid="{00000000-0005-0000-0000-0000C1200000}"/>
    <cellStyle name="Note 2 2 2 9 2" xfId="7048" xr:uid="{00000000-0005-0000-0000-0000C2200000}"/>
    <cellStyle name="Note 2 2 2 9 2 2" xfId="15498" xr:uid="{4E407884-AE13-4330-910F-1197A9F95EAA}"/>
    <cellStyle name="Note 2 2 2 9 3" xfId="11280" xr:uid="{A9728681-2E6F-4757-8B3D-11BDA1D0052B}"/>
    <cellStyle name="Note 2 2 3" xfId="548" xr:uid="{00000000-0005-0000-0000-0000C3200000}"/>
    <cellStyle name="Note 2 2 3 10" xfId="9137" xr:uid="{D7ABCBCC-7FC2-4F05-BFFB-A5856DD67E71}"/>
    <cellStyle name="Note 2 2 3 2" xfId="1009" xr:uid="{00000000-0005-0000-0000-0000C4200000}"/>
    <cellStyle name="Note 2 2 3 2 2" xfId="3241" xr:uid="{00000000-0005-0000-0000-0000C5200000}"/>
    <cellStyle name="Note 2 2 3 2 2 2" xfId="7463" xr:uid="{00000000-0005-0000-0000-0000C6200000}"/>
    <cellStyle name="Note 2 2 3 2 2 2 2" xfId="15913" xr:uid="{0D74C4CE-D5BB-4A8F-92B3-7FA8AEF6E231}"/>
    <cellStyle name="Note 2 2 3 2 2 3" xfId="11695" xr:uid="{1B372C03-7930-4863-93E3-3B1CF7FE4A3E}"/>
    <cellStyle name="Note 2 2 3 2 3" xfId="5318" xr:uid="{00000000-0005-0000-0000-0000C7200000}"/>
    <cellStyle name="Note 2 2 3 2 3 2" xfId="13768" xr:uid="{D6DF4019-7B1E-4CD4-B730-CB043D3D61D0}"/>
    <cellStyle name="Note 2 2 3 2 4" xfId="9550" xr:uid="{5A5B9DDF-250F-4E71-945A-BC47B5E80B84}"/>
    <cellStyle name="Note 2 2 3 3" xfId="1424" xr:uid="{00000000-0005-0000-0000-0000C8200000}"/>
    <cellStyle name="Note 2 2 3 3 2" xfId="3654" xr:uid="{00000000-0005-0000-0000-0000C9200000}"/>
    <cellStyle name="Note 2 2 3 3 2 2" xfId="7876" xr:uid="{00000000-0005-0000-0000-0000CA200000}"/>
    <cellStyle name="Note 2 2 3 3 2 2 2" xfId="16326" xr:uid="{222E505D-6CD6-405C-BD2B-7EF0F9A1B170}"/>
    <cellStyle name="Note 2 2 3 3 2 3" xfId="12108" xr:uid="{6510DE64-9794-4138-B2D7-6D7FA4DCE311}"/>
    <cellStyle name="Note 2 2 3 3 3" xfId="5731" xr:uid="{00000000-0005-0000-0000-0000CB200000}"/>
    <cellStyle name="Note 2 2 3 3 3 2" xfId="14181" xr:uid="{F4F4608B-1C41-4FF2-BA30-1838D5C02F54}"/>
    <cellStyle name="Note 2 2 3 3 4" xfId="9963" xr:uid="{3804F498-823F-44B7-8350-2069F9B0488A}"/>
    <cellStyle name="Note 2 2 3 4" xfId="1838" xr:uid="{00000000-0005-0000-0000-0000CC200000}"/>
    <cellStyle name="Note 2 2 3 4 2" xfId="4067" xr:uid="{00000000-0005-0000-0000-0000CD200000}"/>
    <cellStyle name="Note 2 2 3 4 2 2" xfId="8289" xr:uid="{00000000-0005-0000-0000-0000CE200000}"/>
    <cellStyle name="Note 2 2 3 4 2 2 2" xfId="16739" xr:uid="{840C8A86-79E8-4C9D-B3E1-27B77BA32F5B}"/>
    <cellStyle name="Note 2 2 3 4 2 3" xfId="12521" xr:uid="{38BE3340-6CA9-41C9-BA32-26E546B36E92}"/>
    <cellStyle name="Note 2 2 3 4 3" xfId="6144" xr:uid="{00000000-0005-0000-0000-0000CF200000}"/>
    <cellStyle name="Note 2 2 3 4 3 2" xfId="14594" xr:uid="{E0CB29D3-E081-4CE9-8F3B-729CD9FA0F26}"/>
    <cellStyle name="Note 2 2 3 4 4" xfId="10376" xr:uid="{9BA735D7-EDB6-46E2-87B7-1C8162452130}"/>
    <cellStyle name="Note 2 2 3 5" xfId="2251" xr:uid="{00000000-0005-0000-0000-0000D0200000}"/>
    <cellStyle name="Note 2 2 3 5 2" xfId="4480" xr:uid="{00000000-0005-0000-0000-0000D1200000}"/>
    <cellStyle name="Note 2 2 3 5 2 2" xfId="8702" xr:uid="{00000000-0005-0000-0000-0000D2200000}"/>
    <cellStyle name="Note 2 2 3 5 2 2 2" xfId="17152" xr:uid="{6B3A188F-52AE-48DB-99C3-7376BC46A750}"/>
    <cellStyle name="Note 2 2 3 5 2 3" xfId="12934" xr:uid="{3DF45431-8635-4799-BA77-BAB356C6E74A}"/>
    <cellStyle name="Note 2 2 3 5 3" xfId="6557" xr:uid="{00000000-0005-0000-0000-0000D3200000}"/>
    <cellStyle name="Note 2 2 3 5 3 2" xfId="15007" xr:uid="{EA58FEC2-962E-41A2-8D02-D610BF7E60E5}"/>
    <cellStyle name="Note 2 2 3 5 4" xfId="10789" xr:uid="{109C68AF-E675-4871-86A6-AC0FA7B37EB6}"/>
    <cellStyle name="Note 2 2 3 6" xfId="2687" xr:uid="{00000000-0005-0000-0000-0000D4200000}"/>
    <cellStyle name="Note 2 2 3 6 2" xfId="6970" xr:uid="{00000000-0005-0000-0000-0000D5200000}"/>
    <cellStyle name="Note 2 2 3 6 2 2" xfId="15420" xr:uid="{54A06054-5DBE-47DC-B540-16531ECB5E15}"/>
    <cellStyle name="Note 2 2 3 6 3" xfId="11202" xr:uid="{6797DD2D-9086-4626-87D2-38C8C2D5DF68}"/>
    <cellStyle name="Note 2 2 3 7" xfId="2746" xr:uid="{00000000-0005-0000-0000-0000D6200000}"/>
    <cellStyle name="Note 2 2 3 8" xfId="2827" xr:uid="{00000000-0005-0000-0000-0000D7200000}"/>
    <cellStyle name="Note 2 2 3 8 2" xfId="7050" xr:uid="{00000000-0005-0000-0000-0000D8200000}"/>
    <cellStyle name="Note 2 2 3 8 2 2" xfId="15500" xr:uid="{102C9FAE-7BA6-48AD-880E-6F985FEF3C22}"/>
    <cellStyle name="Note 2 2 3 8 3" xfId="11282" xr:uid="{91252C14-02EF-48FD-8BDD-AA0E95155D70}"/>
    <cellStyle name="Note 2 2 3 9" xfId="4905" xr:uid="{00000000-0005-0000-0000-0000D9200000}"/>
    <cellStyle name="Note 2 2 3 9 2" xfId="13355" xr:uid="{8A4429EC-44D4-45AF-9911-C74229DF58B2}"/>
    <cellStyle name="Note 2 2 4" xfId="1006" xr:uid="{00000000-0005-0000-0000-0000DA200000}"/>
    <cellStyle name="Note 2 2 4 2" xfId="3238" xr:uid="{00000000-0005-0000-0000-0000DB200000}"/>
    <cellStyle name="Note 2 2 4 2 2" xfId="7460" xr:uid="{00000000-0005-0000-0000-0000DC200000}"/>
    <cellStyle name="Note 2 2 4 2 2 2" xfId="15910" xr:uid="{87E215A8-A6BE-401C-9F6E-4B7809114FD3}"/>
    <cellStyle name="Note 2 2 4 2 3" xfId="11692" xr:uid="{FCF5CF7E-0BE0-4869-BE3B-F3ADA0722E6F}"/>
    <cellStyle name="Note 2 2 4 3" xfId="5315" xr:uid="{00000000-0005-0000-0000-0000DD200000}"/>
    <cellStyle name="Note 2 2 4 3 2" xfId="13765" xr:uid="{37E59CBC-AAB0-4381-B4C0-A802F27D00FF}"/>
    <cellStyle name="Note 2 2 4 4" xfId="9547" xr:uid="{0DF46540-AABE-41A4-80F0-B00A7BEED49E}"/>
    <cellStyle name="Note 2 2 5" xfId="1421" xr:uid="{00000000-0005-0000-0000-0000DE200000}"/>
    <cellStyle name="Note 2 2 5 2" xfId="3651" xr:uid="{00000000-0005-0000-0000-0000DF200000}"/>
    <cellStyle name="Note 2 2 5 2 2" xfId="7873" xr:uid="{00000000-0005-0000-0000-0000E0200000}"/>
    <cellStyle name="Note 2 2 5 2 2 2" xfId="16323" xr:uid="{72113969-FA71-47B4-8843-363418AEE8EB}"/>
    <cellStyle name="Note 2 2 5 2 3" xfId="12105" xr:uid="{6B60BD19-9B37-4496-A9A3-C59A82D7D220}"/>
    <cellStyle name="Note 2 2 5 3" xfId="5728" xr:uid="{00000000-0005-0000-0000-0000E1200000}"/>
    <cellStyle name="Note 2 2 5 3 2" xfId="14178" xr:uid="{BBB1CAEA-0634-42C6-8600-BEF59D57DF47}"/>
    <cellStyle name="Note 2 2 5 4" xfId="9960" xr:uid="{70F2D037-C04D-4173-9010-EBD5EBD8C089}"/>
    <cellStyle name="Note 2 2 6" xfId="1835" xr:uid="{00000000-0005-0000-0000-0000E2200000}"/>
    <cellStyle name="Note 2 2 6 2" xfId="4064" xr:uid="{00000000-0005-0000-0000-0000E3200000}"/>
    <cellStyle name="Note 2 2 6 2 2" xfId="8286" xr:uid="{00000000-0005-0000-0000-0000E4200000}"/>
    <cellStyle name="Note 2 2 6 2 2 2" xfId="16736" xr:uid="{125882D2-7B76-464E-84BB-DC6AB284C4C7}"/>
    <cellStyle name="Note 2 2 6 2 3" xfId="12518" xr:uid="{EDE089D0-54F2-45A1-805F-75677FE7A240}"/>
    <cellStyle name="Note 2 2 6 3" xfId="6141" xr:uid="{00000000-0005-0000-0000-0000E5200000}"/>
    <cellStyle name="Note 2 2 6 3 2" xfId="14591" xr:uid="{044E1B1B-F95F-40E9-916D-1492F1118FB8}"/>
    <cellStyle name="Note 2 2 6 4" xfId="10373" xr:uid="{27139239-2267-49B3-A437-9B8D9932C337}"/>
    <cellStyle name="Note 2 2 7" xfId="2248" xr:uid="{00000000-0005-0000-0000-0000E6200000}"/>
    <cellStyle name="Note 2 2 7 2" xfId="4477" xr:uid="{00000000-0005-0000-0000-0000E7200000}"/>
    <cellStyle name="Note 2 2 7 2 2" xfId="8699" xr:uid="{00000000-0005-0000-0000-0000E8200000}"/>
    <cellStyle name="Note 2 2 7 2 2 2" xfId="17149" xr:uid="{2F0F6E8B-0D57-4622-AF0B-B6D71013F2F1}"/>
    <cellStyle name="Note 2 2 7 2 3" xfId="12931" xr:uid="{3CBC544C-11F4-4E0F-AD35-3131D4CC05C4}"/>
    <cellStyle name="Note 2 2 7 3" xfId="6554" xr:uid="{00000000-0005-0000-0000-0000E9200000}"/>
    <cellStyle name="Note 2 2 7 3 2" xfId="15004" xr:uid="{E6121006-B27F-4D4B-B3FD-E91E89FAC67D}"/>
    <cellStyle name="Note 2 2 7 4" xfId="10786" xr:uid="{0189F83C-3504-471C-80EB-38D52833E68D}"/>
    <cellStyle name="Note 2 2 8" xfId="2684" xr:uid="{00000000-0005-0000-0000-0000EA200000}"/>
    <cellStyle name="Note 2 2 8 2" xfId="6967" xr:uid="{00000000-0005-0000-0000-0000EB200000}"/>
    <cellStyle name="Note 2 2 8 2 2" xfId="15417" xr:uid="{CF9F5823-E483-445E-92B9-59DC2AE77D4B}"/>
    <cellStyle name="Note 2 2 8 3" xfId="11199" xr:uid="{C419A86D-998C-47A3-881D-1897DFBBC391}"/>
    <cellStyle name="Note 2 2 9" xfId="2743" xr:uid="{00000000-0005-0000-0000-0000EC200000}"/>
    <cellStyle name="Note 2 3" xfId="549" xr:uid="{00000000-0005-0000-0000-0000ED200000}"/>
    <cellStyle name="Note 2 3 10" xfId="4906" xr:uid="{00000000-0005-0000-0000-0000EE200000}"/>
    <cellStyle name="Note 2 3 10 2" xfId="13356" xr:uid="{6234C3AB-1CE8-41C5-A606-59D680C1810C}"/>
    <cellStyle name="Note 2 3 11" xfId="9138" xr:uid="{BE53FB2A-CF5E-4286-9F05-48BF51E4A842}"/>
    <cellStyle name="Note 2 3 2" xfId="550" xr:uid="{00000000-0005-0000-0000-0000EF200000}"/>
    <cellStyle name="Note 2 3 2 10" xfId="9139" xr:uid="{0F49BC84-3B9F-4085-8578-0BF6AC961467}"/>
    <cellStyle name="Note 2 3 2 2" xfId="1011" xr:uid="{00000000-0005-0000-0000-0000F0200000}"/>
    <cellStyle name="Note 2 3 2 2 2" xfId="3243" xr:uid="{00000000-0005-0000-0000-0000F1200000}"/>
    <cellStyle name="Note 2 3 2 2 2 2" xfId="7465" xr:uid="{00000000-0005-0000-0000-0000F2200000}"/>
    <cellStyle name="Note 2 3 2 2 2 2 2" xfId="15915" xr:uid="{9AE3FD40-31FC-49F5-91A9-4D3BD1CEEC8B}"/>
    <cellStyle name="Note 2 3 2 2 2 3" xfId="11697" xr:uid="{EAB134CF-C993-4B79-8AB2-9CDD8C282C62}"/>
    <cellStyle name="Note 2 3 2 2 3" xfId="5320" xr:uid="{00000000-0005-0000-0000-0000F3200000}"/>
    <cellStyle name="Note 2 3 2 2 3 2" xfId="13770" xr:uid="{B37372CA-DB63-4A1A-BD90-D15399355ACC}"/>
    <cellStyle name="Note 2 3 2 2 4" xfId="9552" xr:uid="{7CA634AB-4C25-4D50-8D88-EFAF7FDAB98B}"/>
    <cellStyle name="Note 2 3 2 3" xfId="1426" xr:uid="{00000000-0005-0000-0000-0000F4200000}"/>
    <cellStyle name="Note 2 3 2 3 2" xfId="3656" xr:uid="{00000000-0005-0000-0000-0000F5200000}"/>
    <cellStyle name="Note 2 3 2 3 2 2" xfId="7878" xr:uid="{00000000-0005-0000-0000-0000F6200000}"/>
    <cellStyle name="Note 2 3 2 3 2 2 2" xfId="16328" xr:uid="{D4771C05-DBFB-4070-A5C3-A21ED9AC54B8}"/>
    <cellStyle name="Note 2 3 2 3 2 3" xfId="12110" xr:uid="{806F7BE2-E6DA-424C-B745-F235FC96B506}"/>
    <cellStyle name="Note 2 3 2 3 3" xfId="5733" xr:uid="{00000000-0005-0000-0000-0000F7200000}"/>
    <cellStyle name="Note 2 3 2 3 3 2" xfId="14183" xr:uid="{1AA8AD77-33CC-4838-9E8C-3687E1C03970}"/>
    <cellStyle name="Note 2 3 2 3 4" xfId="9965" xr:uid="{31259DAA-82D8-4790-9C98-B0F721F36C52}"/>
    <cellStyle name="Note 2 3 2 4" xfId="1840" xr:uid="{00000000-0005-0000-0000-0000F8200000}"/>
    <cellStyle name="Note 2 3 2 4 2" xfId="4069" xr:uid="{00000000-0005-0000-0000-0000F9200000}"/>
    <cellStyle name="Note 2 3 2 4 2 2" xfId="8291" xr:uid="{00000000-0005-0000-0000-0000FA200000}"/>
    <cellStyle name="Note 2 3 2 4 2 2 2" xfId="16741" xr:uid="{E3F4702D-BEE6-4651-A4E5-E36E40188A2A}"/>
    <cellStyle name="Note 2 3 2 4 2 3" xfId="12523" xr:uid="{80E37EB4-2E2F-41F7-8DA6-37B8AA98FF83}"/>
    <cellStyle name="Note 2 3 2 4 3" xfId="6146" xr:uid="{00000000-0005-0000-0000-0000FB200000}"/>
    <cellStyle name="Note 2 3 2 4 3 2" xfId="14596" xr:uid="{E11B6FDA-0B57-42E7-8CD0-715A6C31363E}"/>
    <cellStyle name="Note 2 3 2 4 4" xfId="10378" xr:uid="{5BAC4986-3D2F-4C02-B77D-17E685C8A5DB}"/>
    <cellStyle name="Note 2 3 2 5" xfId="2253" xr:uid="{00000000-0005-0000-0000-0000FC200000}"/>
    <cellStyle name="Note 2 3 2 5 2" xfId="4482" xr:uid="{00000000-0005-0000-0000-0000FD200000}"/>
    <cellStyle name="Note 2 3 2 5 2 2" xfId="8704" xr:uid="{00000000-0005-0000-0000-0000FE200000}"/>
    <cellStyle name="Note 2 3 2 5 2 2 2" xfId="17154" xr:uid="{25E3975B-7823-4268-9AC6-FF8A92895C3E}"/>
    <cellStyle name="Note 2 3 2 5 2 3" xfId="12936" xr:uid="{934294C8-ADBA-4717-8D1E-55AB049C4A3E}"/>
    <cellStyle name="Note 2 3 2 5 3" xfId="6559" xr:uid="{00000000-0005-0000-0000-0000FF200000}"/>
    <cellStyle name="Note 2 3 2 5 3 2" xfId="15009" xr:uid="{74D9680A-703C-4442-8EA3-DB82AA67C7AD}"/>
    <cellStyle name="Note 2 3 2 5 4" xfId="10791" xr:uid="{EFB1CFF6-C45C-425F-BD5A-083FACBAEA0B}"/>
    <cellStyle name="Note 2 3 2 6" xfId="2689" xr:uid="{00000000-0005-0000-0000-000000210000}"/>
    <cellStyle name="Note 2 3 2 6 2" xfId="6972" xr:uid="{00000000-0005-0000-0000-000001210000}"/>
    <cellStyle name="Note 2 3 2 6 2 2" xfId="15422" xr:uid="{4D08C749-8366-483E-95F5-486677411E15}"/>
    <cellStyle name="Note 2 3 2 6 3" xfId="11204" xr:uid="{4401075D-B93C-4FB1-BBB3-86669F051011}"/>
    <cellStyle name="Note 2 3 2 7" xfId="2748" xr:uid="{00000000-0005-0000-0000-000002210000}"/>
    <cellStyle name="Note 2 3 2 8" xfId="2829" xr:uid="{00000000-0005-0000-0000-000003210000}"/>
    <cellStyle name="Note 2 3 2 8 2" xfId="7052" xr:uid="{00000000-0005-0000-0000-000004210000}"/>
    <cellStyle name="Note 2 3 2 8 2 2" xfId="15502" xr:uid="{906B3DA9-4613-43BA-B3D5-734C7E6DDBA6}"/>
    <cellStyle name="Note 2 3 2 8 3" xfId="11284" xr:uid="{630C01A5-6798-45A8-9AD2-D14EF589D546}"/>
    <cellStyle name="Note 2 3 2 9" xfId="4907" xr:uid="{00000000-0005-0000-0000-000005210000}"/>
    <cellStyle name="Note 2 3 2 9 2" xfId="13357" xr:uid="{B3A060C5-2ED6-4DF6-9945-CB82BD269173}"/>
    <cellStyle name="Note 2 3 3" xfId="1010" xr:uid="{00000000-0005-0000-0000-000006210000}"/>
    <cellStyle name="Note 2 3 3 2" xfId="3242" xr:uid="{00000000-0005-0000-0000-000007210000}"/>
    <cellStyle name="Note 2 3 3 2 2" xfId="7464" xr:uid="{00000000-0005-0000-0000-000008210000}"/>
    <cellStyle name="Note 2 3 3 2 2 2" xfId="15914" xr:uid="{52408350-A881-4FFE-83E6-29EA01B8EB36}"/>
    <cellStyle name="Note 2 3 3 2 3" xfId="11696" xr:uid="{5D8350EE-5693-4EC8-B39C-7C15A5EAEA68}"/>
    <cellStyle name="Note 2 3 3 3" xfId="5319" xr:uid="{00000000-0005-0000-0000-000009210000}"/>
    <cellStyle name="Note 2 3 3 3 2" xfId="13769" xr:uid="{F681D229-7EA2-447E-B14B-04461A737B53}"/>
    <cellStyle name="Note 2 3 3 4" xfId="9551" xr:uid="{DBDC8483-A6AE-4C66-B9E0-2761139C9CA1}"/>
    <cellStyle name="Note 2 3 4" xfId="1425" xr:uid="{00000000-0005-0000-0000-00000A210000}"/>
    <cellStyle name="Note 2 3 4 2" xfId="3655" xr:uid="{00000000-0005-0000-0000-00000B210000}"/>
    <cellStyle name="Note 2 3 4 2 2" xfId="7877" xr:uid="{00000000-0005-0000-0000-00000C210000}"/>
    <cellStyle name="Note 2 3 4 2 2 2" xfId="16327" xr:uid="{7A03C0F3-5F4A-4037-AD41-5F08865F7E1E}"/>
    <cellStyle name="Note 2 3 4 2 3" xfId="12109" xr:uid="{89945913-C0B9-4036-BCBB-A762E5A39192}"/>
    <cellStyle name="Note 2 3 4 3" xfId="5732" xr:uid="{00000000-0005-0000-0000-00000D210000}"/>
    <cellStyle name="Note 2 3 4 3 2" xfId="14182" xr:uid="{94FF7FB8-FE65-41B0-8339-91DDEEBB06D1}"/>
    <cellStyle name="Note 2 3 4 4" xfId="9964" xr:uid="{48334862-3566-4975-8A9E-70E63207B241}"/>
    <cellStyle name="Note 2 3 5" xfId="1839" xr:uid="{00000000-0005-0000-0000-00000E210000}"/>
    <cellStyle name="Note 2 3 5 2" xfId="4068" xr:uid="{00000000-0005-0000-0000-00000F210000}"/>
    <cellStyle name="Note 2 3 5 2 2" xfId="8290" xr:uid="{00000000-0005-0000-0000-000010210000}"/>
    <cellStyle name="Note 2 3 5 2 2 2" xfId="16740" xr:uid="{47A3D126-3AF0-4215-91DD-C821084B73DC}"/>
    <cellStyle name="Note 2 3 5 2 3" xfId="12522" xr:uid="{0B15F214-42C3-47C7-B3D3-4FFEF4FCA81A}"/>
    <cellStyle name="Note 2 3 5 3" xfId="6145" xr:uid="{00000000-0005-0000-0000-000011210000}"/>
    <cellStyle name="Note 2 3 5 3 2" xfId="14595" xr:uid="{C409F10D-7116-4F48-9EC0-274A570206C2}"/>
    <cellStyle name="Note 2 3 5 4" xfId="10377" xr:uid="{58EEAF0B-53CC-4A1A-926D-969269B9034D}"/>
    <cellStyle name="Note 2 3 6" xfId="2252" xr:uid="{00000000-0005-0000-0000-000012210000}"/>
    <cellStyle name="Note 2 3 6 2" xfId="4481" xr:uid="{00000000-0005-0000-0000-000013210000}"/>
    <cellStyle name="Note 2 3 6 2 2" xfId="8703" xr:uid="{00000000-0005-0000-0000-000014210000}"/>
    <cellStyle name="Note 2 3 6 2 2 2" xfId="17153" xr:uid="{A4E76197-FDD0-4EA1-8C24-6AF2D3B6BCE3}"/>
    <cellStyle name="Note 2 3 6 2 3" xfId="12935" xr:uid="{F310AF0C-CFC4-4A7A-96EB-A4ECF98DD20C}"/>
    <cellStyle name="Note 2 3 6 3" xfId="6558" xr:uid="{00000000-0005-0000-0000-000015210000}"/>
    <cellStyle name="Note 2 3 6 3 2" xfId="15008" xr:uid="{D1731A3C-C6B8-457D-BFF3-8CAAE6DA3579}"/>
    <cellStyle name="Note 2 3 6 4" xfId="10790" xr:uid="{F34B9E9E-0AC9-4119-B778-7C139868BC19}"/>
    <cellStyle name="Note 2 3 7" xfId="2688" xr:uid="{00000000-0005-0000-0000-000016210000}"/>
    <cellStyle name="Note 2 3 7 2" xfId="6971" xr:uid="{00000000-0005-0000-0000-000017210000}"/>
    <cellStyle name="Note 2 3 7 2 2" xfId="15421" xr:uid="{E86F1495-20CC-4A62-AAB5-0D793A7F9198}"/>
    <cellStyle name="Note 2 3 7 3" xfId="11203" xr:uid="{917035CD-2E2F-4989-8F83-7358DC1BCB9B}"/>
    <cellStyle name="Note 2 3 8" xfId="2747" xr:uid="{00000000-0005-0000-0000-000018210000}"/>
    <cellStyle name="Note 2 3 9" xfId="2828" xr:uid="{00000000-0005-0000-0000-000019210000}"/>
    <cellStyle name="Note 2 3 9 2" xfId="7051" xr:uid="{00000000-0005-0000-0000-00001A210000}"/>
    <cellStyle name="Note 2 3 9 2 2" xfId="15501" xr:uid="{5B307B5B-FA32-4E12-8284-2AEACF8FB8A1}"/>
    <cellStyle name="Note 2 3 9 3" xfId="11283" xr:uid="{6196AE09-14B9-4E36-85E2-E2627BFF2892}"/>
    <cellStyle name="Note 2 4" xfId="551" xr:uid="{00000000-0005-0000-0000-00001B210000}"/>
    <cellStyle name="Note 2 4 10" xfId="9140" xr:uid="{4E610BBD-B76D-4F00-BD83-2B8CE0840A4B}"/>
    <cellStyle name="Note 2 4 2" xfId="1012" xr:uid="{00000000-0005-0000-0000-00001C210000}"/>
    <cellStyle name="Note 2 4 2 2" xfId="3244" xr:uid="{00000000-0005-0000-0000-00001D210000}"/>
    <cellStyle name="Note 2 4 2 2 2" xfId="7466" xr:uid="{00000000-0005-0000-0000-00001E210000}"/>
    <cellStyle name="Note 2 4 2 2 2 2" xfId="15916" xr:uid="{CB0FC885-75A9-4A62-8AA4-80F52F529580}"/>
    <cellStyle name="Note 2 4 2 2 3" xfId="11698" xr:uid="{8DF8858E-DBA0-4F0D-B6E4-D1E1F40629C9}"/>
    <cellStyle name="Note 2 4 2 3" xfId="5321" xr:uid="{00000000-0005-0000-0000-00001F210000}"/>
    <cellStyle name="Note 2 4 2 3 2" xfId="13771" xr:uid="{645F1BA0-3D95-483D-AD71-46DE08AEA3C5}"/>
    <cellStyle name="Note 2 4 2 4" xfId="9553" xr:uid="{C6BA3F71-77E1-49D9-86C2-1844099714FE}"/>
    <cellStyle name="Note 2 4 3" xfId="1427" xr:uid="{00000000-0005-0000-0000-000020210000}"/>
    <cellStyle name="Note 2 4 3 2" xfId="3657" xr:uid="{00000000-0005-0000-0000-000021210000}"/>
    <cellStyle name="Note 2 4 3 2 2" xfId="7879" xr:uid="{00000000-0005-0000-0000-000022210000}"/>
    <cellStyle name="Note 2 4 3 2 2 2" xfId="16329" xr:uid="{22EEDF35-AB37-4C68-872D-8D0554465BA4}"/>
    <cellStyle name="Note 2 4 3 2 3" xfId="12111" xr:uid="{F84100FB-070A-42E6-9254-DFE6CDC19888}"/>
    <cellStyle name="Note 2 4 3 3" xfId="5734" xr:uid="{00000000-0005-0000-0000-000023210000}"/>
    <cellStyle name="Note 2 4 3 3 2" xfId="14184" xr:uid="{4BFA9692-2BFA-4F5B-A483-8730CC0A1B9B}"/>
    <cellStyle name="Note 2 4 3 4" xfId="9966" xr:uid="{6DB2F6B6-8828-497B-A44A-0CA9C0B75E4E}"/>
    <cellStyle name="Note 2 4 4" xfId="1841" xr:uid="{00000000-0005-0000-0000-000024210000}"/>
    <cellStyle name="Note 2 4 4 2" xfId="4070" xr:uid="{00000000-0005-0000-0000-000025210000}"/>
    <cellStyle name="Note 2 4 4 2 2" xfId="8292" xr:uid="{00000000-0005-0000-0000-000026210000}"/>
    <cellStyle name="Note 2 4 4 2 2 2" xfId="16742" xr:uid="{3BCD28E7-549B-4A7D-880F-B3D97C4ECB72}"/>
    <cellStyle name="Note 2 4 4 2 3" xfId="12524" xr:uid="{D2911785-3B93-4030-8E3D-6E940D8161C9}"/>
    <cellStyle name="Note 2 4 4 3" xfId="6147" xr:uid="{00000000-0005-0000-0000-000027210000}"/>
    <cellStyle name="Note 2 4 4 3 2" xfId="14597" xr:uid="{A7B7D479-3A4D-4875-8E73-D0372A336AFA}"/>
    <cellStyle name="Note 2 4 4 4" xfId="10379" xr:uid="{7BE53E6F-78C0-4A98-B4FF-B695684ADE7C}"/>
    <cellStyle name="Note 2 4 5" xfId="2254" xr:uid="{00000000-0005-0000-0000-000028210000}"/>
    <cellStyle name="Note 2 4 5 2" xfId="4483" xr:uid="{00000000-0005-0000-0000-000029210000}"/>
    <cellStyle name="Note 2 4 5 2 2" xfId="8705" xr:uid="{00000000-0005-0000-0000-00002A210000}"/>
    <cellStyle name="Note 2 4 5 2 2 2" xfId="17155" xr:uid="{903168A1-76BE-4C53-B9E3-80EAB1FB36BF}"/>
    <cellStyle name="Note 2 4 5 2 3" xfId="12937" xr:uid="{8E66E850-F869-464D-BC6A-C446FBF5A138}"/>
    <cellStyle name="Note 2 4 5 3" xfId="6560" xr:uid="{00000000-0005-0000-0000-00002B210000}"/>
    <cellStyle name="Note 2 4 5 3 2" xfId="15010" xr:uid="{C13A6992-B00C-43DD-B1A0-8FA7133E09AB}"/>
    <cellStyle name="Note 2 4 5 4" xfId="10792" xr:uid="{C7223BDA-96B2-4BC8-9FA5-D1B8A530CB69}"/>
    <cellStyle name="Note 2 4 6" xfId="2690" xr:uid="{00000000-0005-0000-0000-00002C210000}"/>
    <cellStyle name="Note 2 4 6 2" xfId="6973" xr:uid="{00000000-0005-0000-0000-00002D210000}"/>
    <cellStyle name="Note 2 4 6 2 2" xfId="15423" xr:uid="{9EAE1A70-D436-457D-9F8C-43B863720006}"/>
    <cellStyle name="Note 2 4 6 3" xfId="11205" xr:uid="{5EC86CD9-DA32-48AA-9A56-A4B6BFCF9F26}"/>
    <cellStyle name="Note 2 4 7" xfId="2749" xr:uid="{00000000-0005-0000-0000-00002E210000}"/>
    <cellStyle name="Note 2 4 8" xfId="2830" xr:uid="{00000000-0005-0000-0000-00002F210000}"/>
    <cellStyle name="Note 2 4 8 2" xfId="7053" xr:uid="{00000000-0005-0000-0000-000030210000}"/>
    <cellStyle name="Note 2 4 8 2 2" xfId="15503" xr:uid="{E4614E04-5637-4A8D-AB7C-2F432F9F1641}"/>
    <cellStyle name="Note 2 4 8 3" xfId="11285" xr:uid="{836839C5-3F27-483A-9B77-475EA93475EE}"/>
    <cellStyle name="Note 2 4 9" xfId="4908" xr:uid="{00000000-0005-0000-0000-000031210000}"/>
    <cellStyle name="Note 2 4 9 2" xfId="13358" xr:uid="{FE5F1700-1E23-4051-B1BB-6902AFF883AE}"/>
    <cellStyle name="Note 2 5" xfId="552" xr:uid="{00000000-0005-0000-0000-000032210000}"/>
    <cellStyle name="Note 2 5 10" xfId="9141" xr:uid="{D5C38112-9BA3-48D8-856C-7DE0E4825ED9}"/>
    <cellStyle name="Note 2 5 2" xfId="1013" xr:uid="{00000000-0005-0000-0000-000033210000}"/>
    <cellStyle name="Note 2 5 2 2" xfId="3245" xr:uid="{00000000-0005-0000-0000-000034210000}"/>
    <cellStyle name="Note 2 5 2 2 2" xfId="7467" xr:uid="{00000000-0005-0000-0000-000035210000}"/>
    <cellStyle name="Note 2 5 2 2 2 2" xfId="15917" xr:uid="{97EEC9D1-6950-4D79-A13C-D60C89EF1217}"/>
    <cellStyle name="Note 2 5 2 2 3" xfId="11699" xr:uid="{5B7D8C80-0FA8-4CD9-80DC-B846AFC7052C}"/>
    <cellStyle name="Note 2 5 2 3" xfId="5322" xr:uid="{00000000-0005-0000-0000-000036210000}"/>
    <cellStyle name="Note 2 5 2 3 2" xfId="13772" xr:uid="{0C545B07-E873-4CCB-9A95-CC3F8889D28F}"/>
    <cellStyle name="Note 2 5 2 4" xfId="9554" xr:uid="{49EF39C4-2FDB-44BB-BDF6-EA23CA755A62}"/>
    <cellStyle name="Note 2 5 3" xfId="1428" xr:uid="{00000000-0005-0000-0000-000037210000}"/>
    <cellStyle name="Note 2 5 3 2" xfId="3658" xr:uid="{00000000-0005-0000-0000-000038210000}"/>
    <cellStyle name="Note 2 5 3 2 2" xfId="7880" xr:uid="{00000000-0005-0000-0000-000039210000}"/>
    <cellStyle name="Note 2 5 3 2 2 2" xfId="16330" xr:uid="{0E51173F-AF16-4107-B046-8C81F8F25A7F}"/>
    <cellStyle name="Note 2 5 3 2 3" xfId="12112" xr:uid="{D5C8AFC0-241F-49FD-B698-13534B05A712}"/>
    <cellStyle name="Note 2 5 3 3" xfId="5735" xr:uid="{00000000-0005-0000-0000-00003A210000}"/>
    <cellStyle name="Note 2 5 3 3 2" xfId="14185" xr:uid="{11169A55-5ADD-4AD4-8F77-6E907F5C67CA}"/>
    <cellStyle name="Note 2 5 3 4" xfId="9967" xr:uid="{89AA96BE-43CA-4B9F-BFD7-1E830550A217}"/>
    <cellStyle name="Note 2 5 4" xfId="1842" xr:uid="{00000000-0005-0000-0000-00003B210000}"/>
    <cellStyle name="Note 2 5 4 2" xfId="4071" xr:uid="{00000000-0005-0000-0000-00003C210000}"/>
    <cellStyle name="Note 2 5 4 2 2" xfId="8293" xr:uid="{00000000-0005-0000-0000-00003D210000}"/>
    <cellStyle name="Note 2 5 4 2 2 2" xfId="16743" xr:uid="{886AFA42-84A7-4133-8A74-B7734673ED9A}"/>
    <cellStyle name="Note 2 5 4 2 3" xfId="12525" xr:uid="{349EB8EC-4EFB-4DD3-81E6-4ABFF92ED94A}"/>
    <cellStyle name="Note 2 5 4 3" xfId="6148" xr:uid="{00000000-0005-0000-0000-00003E210000}"/>
    <cellStyle name="Note 2 5 4 3 2" xfId="14598" xr:uid="{BAFF4E76-5BD4-44DC-8B01-C3F4C785DF57}"/>
    <cellStyle name="Note 2 5 4 4" xfId="10380" xr:uid="{845A6226-ED09-472E-9751-970C5CCCE601}"/>
    <cellStyle name="Note 2 5 5" xfId="2255" xr:uid="{00000000-0005-0000-0000-00003F210000}"/>
    <cellStyle name="Note 2 5 5 2" xfId="4484" xr:uid="{00000000-0005-0000-0000-000040210000}"/>
    <cellStyle name="Note 2 5 5 2 2" xfId="8706" xr:uid="{00000000-0005-0000-0000-000041210000}"/>
    <cellStyle name="Note 2 5 5 2 2 2" xfId="17156" xr:uid="{D61E4A6A-2599-44D5-9142-7D4DBD6C5E3D}"/>
    <cellStyle name="Note 2 5 5 2 3" xfId="12938" xr:uid="{3BD9780A-A0C7-42CC-945C-0E47D8CC299B}"/>
    <cellStyle name="Note 2 5 5 3" xfId="6561" xr:uid="{00000000-0005-0000-0000-000042210000}"/>
    <cellStyle name="Note 2 5 5 3 2" xfId="15011" xr:uid="{8FF53E5E-61C6-4DA3-A362-33C2B42A0569}"/>
    <cellStyle name="Note 2 5 5 4" xfId="10793" xr:uid="{93C97AAC-F560-4ABE-B6D0-DE72D0EEBCD3}"/>
    <cellStyle name="Note 2 5 6" xfId="2691" xr:uid="{00000000-0005-0000-0000-000043210000}"/>
    <cellStyle name="Note 2 5 6 2" xfId="6974" xr:uid="{00000000-0005-0000-0000-000044210000}"/>
    <cellStyle name="Note 2 5 6 2 2" xfId="15424" xr:uid="{581ACFA6-87E6-42A6-B464-CD06488B8389}"/>
    <cellStyle name="Note 2 5 6 3" xfId="11206" xr:uid="{F2FE863A-6E6C-4EA1-817D-25864165C60C}"/>
    <cellStyle name="Note 2 5 7" xfId="2750" xr:uid="{00000000-0005-0000-0000-000045210000}"/>
    <cellStyle name="Note 2 5 8" xfId="2831" xr:uid="{00000000-0005-0000-0000-000046210000}"/>
    <cellStyle name="Note 2 5 8 2" xfId="7054" xr:uid="{00000000-0005-0000-0000-000047210000}"/>
    <cellStyle name="Note 2 5 8 2 2" xfId="15504" xr:uid="{3A1D6BFE-A3A4-42A7-8741-9540A425E855}"/>
    <cellStyle name="Note 2 5 8 3" xfId="11286" xr:uid="{6B4B5DEA-57F5-40F8-8902-ED6C1A2BD20F}"/>
    <cellStyle name="Note 2 5 9" xfId="4909" xr:uid="{00000000-0005-0000-0000-000048210000}"/>
    <cellStyle name="Note 2 5 9 2" xfId="13359" xr:uid="{C47F0077-5872-4754-AF5B-D5ABEEC70A00}"/>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0 2 2" xfId="15505" xr:uid="{ADD4A920-A1C8-43BA-8037-53D869D65633}"/>
    <cellStyle name="Note 3 2 10 3" xfId="11287" xr:uid="{4E9BDCFA-D63F-469E-A3F1-B1865AAD4BE7}"/>
    <cellStyle name="Note 3 2 11" xfId="4910" xr:uid="{00000000-0005-0000-0000-00004D210000}"/>
    <cellStyle name="Note 3 2 11 2" xfId="13360" xr:uid="{82ED8507-E59D-4AAD-9C55-1B0C71834806}"/>
    <cellStyle name="Note 3 2 12" xfId="9142" xr:uid="{6ED3E0A6-92AA-4706-B211-E84CBDB88828}"/>
    <cellStyle name="Note 3 2 2" xfId="555" xr:uid="{00000000-0005-0000-0000-00004E210000}"/>
    <cellStyle name="Note 3 2 2 10" xfId="4911" xr:uid="{00000000-0005-0000-0000-00004F210000}"/>
    <cellStyle name="Note 3 2 2 10 2" xfId="13361" xr:uid="{06BB3A77-E01F-407E-8158-7E45CC252CE6}"/>
    <cellStyle name="Note 3 2 2 11" xfId="9143" xr:uid="{997F447D-33AE-44F0-BCD4-51A087E1F6E4}"/>
    <cellStyle name="Note 3 2 2 2" xfId="556" xr:uid="{00000000-0005-0000-0000-000050210000}"/>
    <cellStyle name="Note 3 2 2 2 10" xfId="9144" xr:uid="{94F75A2C-5102-4E1F-8C61-444EA91C61FB}"/>
    <cellStyle name="Note 3 2 2 2 2" xfId="1016" xr:uid="{00000000-0005-0000-0000-000051210000}"/>
    <cellStyle name="Note 3 2 2 2 2 2" xfId="3248" xr:uid="{00000000-0005-0000-0000-000052210000}"/>
    <cellStyle name="Note 3 2 2 2 2 2 2" xfId="7470" xr:uid="{00000000-0005-0000-0000-000053210000}"/>
    <cellStyle name="Note 3 2 2 2 2 2 2 2" xfId="15920" xr:uid="{95324E12-FE17-4C01-8439-1D715A129A01}"/>
    <cellStyle name="Note 3 2 2 2 2 2 3" xfId="11702" xr:uid="{5C75A5F8-F453-4A49-A7E0-E0668794F8E3}"/>
    <cellStyle name="Note 3 2 2 2 2 3" xfId="5325" xr:uid="{00000000-0005-0000-0000-000054210000}"/>
    <cellStyle name="Note 3 2 2 2 2 3 2" xfId="13775" xr:uid="{81EA9AB8-8F7A-4485-9D6B-5C28BC967000}"/>
    <cellStyle name="Note 3 2 2 2 2 4" xfId="9557" xr:uid="{B2757B20-ED19-4EB8-A1AC-469473CC1C0E}"/>
    <cellStyle name="Note 3 2 2 2 3" xfId="1431" xr:uid="{00000000-0005-0000-0000-000055210000}"/>
    <cellStyle name="Note 3 2 2 2 3 2" xfId="3661" xr:uid="{00000000-0005-0000-0000-000056210000}"/>
    <cellStyle name="Note 3 2 2 2 3 2 2" xfId="7883" xr:uid="{00000000-0005-0000-0000-000057210000}"/>
    <cellStyle name="Note 3 2 2 2 3 2 2 2" xfId="16333" xr:uid="{63619A90-9E62-4EBC-A514-0325235BA619}"/>
    <cellStyle name="Note 3 2 2 2 3 2 3" xfId="12115" xr:uid="{025A2737-F981-464F-9DAC-43BFCC303728}"/>
    <cellStyle name="Note 3 2 2 2 3 3" xfId="5738" xr:uid="{00000000-0005-0000-0000-000058210000}"/>
    <cellStyle name="Note 3 2 2 2 3 3 2" xfId="14188" xr:uid="{36C604CB-2270-4B7D-B72F-4ECC06123B72}"/>
    <cellStyle name="Note 3 2 2 2 3 4" xfId="9970" xr:uid="{33C3C53A-3B23-42ED-823C-8D3CF04FF64E}"/>
    <cellStyle name="Note 3 2 2 2 4" xfId="1845" xr:uid="{00000000-0005-0000-0000-000059210000}"/>
    <cellStyle name="Note 3 2 2 2 4 2" xfId="4074" xr:uid="{00000000-0005-0000-0000-00005A210000}"/>
    <cellStyle name="Note 3 2 2 2 4 2 2" xfId="8296" xr:uid="{00000000-0005-0000-0000-00005B210000}"/>
    <cellStyle name="Note 3 2 2 2 4 2 2 2" xfId="16746" xr:uid="{4F55838F-A9E9-4937-9B58-B1F9A650F301}"/>
    <cellStyle name="Note 3 2 2 2 4 2 3" xfId="12528" xr:uid="{96702F24-0A8E-4CA3-A284-3028467EBE1C}"/>
    <cellStyle name="Note 3 2 2 2 4 3" xfId="6151" xr:uid="{00000000-0005-0000-0000-00005C210000}"/>
    <cellStyle name="Note 3 2 2 2 4 3 2" xfId="14601" xr:uid="{5776C901-6860-401F-9FA9-6758C27340C6}"/>
    <cellStyle name="Note 3 2 2 2 4 4" xfId="10383" xr:uid="{9397502F-1635-4FF4-A100-08F61BF274A4}"/>
    <cellStyle name="Note 3 2 2 2 5" xfId="2258" xr:uid="{00000000-0005-0000-0000-00005D210000}"/>
    <cellStyle name="Note 3 2 2 2 5 2" xfId="4487" xr:uid="{00000000-0005-0000-0000-00005E210000}"/>
    <cellStyle name="Note 3 2 2 2 5 2 2" xfId="8709" xr:uid="{00000000-0005-0000-0000-00005F210000}"/>
    <cellStyle name="Note 3 2 2 2 5 2 2 2" xfId="17159" xr:uid="{AE5C5B5E-2374-4B21-A66C-98DFCD0D675A}"/>
    <cellStyle name="Note 3 2 2 2 5 2 3" xfId="12941" xr:uid="{37F6A607-F91B-4A5B-9B9E-57FBC72FE68D}"/>
    <cellStyle name="Note 3 2 2 2 5 3" xfId="6564" xr:uid="{00000000-0005-0000-0000-000060210000}"/>
    <cellStyle name="Note 3 2 2 2 5 3 2" xfId="15014" xr:uid="{770BCB7D-0316-4E85-8585-878164630337}"/>
    <cellStyle name="Note 3 2 2 2 5 4" xfId="10796" xr:uid="{743EB69B-554A-4FC1-B5C9-FA52BBE32B09}"/>
    <cellStyle name="Note 3 2 2 2 6" xfId="2694" xr:uid="{00000000-0005-0000-0000-000061210000}"/>
    <cellStyle name="Note 3 2 2 2 6 2" xfId="6977" xr:uid="{00000000-0005-0000-0000-000062210000}"/>
    <cellStyle name="Note 3 2 2 2 6 2 2" xfId="15427" xr:uid="{E5F693C8-F797-45EC-A525-F5357A9C4DCF}"/>
    <cellStyle name="Note 3 2 2 2 6 3" xfId="11209" xr:uid="{AFAAB071-E6EA-4DB3-A8C9-E70A350ECE1B}"/>
    <cellStyle name="Note 3 2 2 2 7" xfId="2753" xr:uid="{00000000-0005-0000-0000-000063210000}"/>
    <cellStyle name="Note 3 2 2 2 8" xfId="2834" xr:uid="{00000000-0005-0000-0000-000064210000}"/>
    <cellStyle name="Note 3 2 2 2 8 2" xfId="7057" xr:uid="{00000000-0005-0000-0000-000065210000}"/>
    <cellStyle name="Note 3 2 2 2 8 2 2" xfId="15507" xr:uid="{079029EE-1EE4-4944-907D-7EDD68F1E943}"/>
    <cellStyle name="Note 3 2 2 2 8 3" xfId="11289" xr:uid="{42F226C2-6A8B-41C1-9256-DE73DAC57BD6}"/>
    <cellStyle name="Note 3 2 2 2 9" xfId="4912" xr:uid="{00000000-0005-0000-0000-000066210000}"/>
    <cellStyle name="Note 3 2 2 2 9 2" xfId="13362" xr:uid="{F216C988-4252-4706-92E1-E169CD377EB5}"/>
    <cellStyle name="Note 3 2 2 3" xfId="1015" xr:uid="{00000000-0005-0000-0000-000067210000}"/>
    <cellStyle name="Note 3 2 2 3 2" xfId="3247" xr:uid="{00000000-0005-0000-0000-000068210000}"/>
    <cellStyle name="Note 3 2 2 3 2 2" xfId="7469" xr:uid="{00000000-0005-0000-0000-000069210000}"/>
    <cellStyle name="Note 3 2 2 3 2 2 2" xfId="15919" xr:uid="{8982642C-286C-4214-8A91-8EB8B88230EB}"/>
    <cellStyle name="Note 3 2 2 3 2 3" xfId="11701" xr:uid="{12FA8302-FF99-41C0-ADAB-4DA8C8BA1B05}"/>
    <cellStyle name="Note 3 2 2 3 3" xfId="5324" xr:uid="{00000000-0005-0000-0000-00006A210000}"/>
    <cellStyle name="Note 3 2 2 3 3 2" xfId="13774" xr:uid="{D37A604D-C875-4F0D-8877-85AB3DF2EB98}"/>
    <cellStyle name="Note 3 2 2 3 4" xfId="9556" xr:uid="{180B4F6D-0CC1-4558-B748-DC2C9B9095FE}"/>
    <cellStyle name="Note 3 2 2 4" xfId="1430" xr:uid="{00000000-0005-0000-0000-00006B210000}"/>
    <cellStyle name="Note 3 2 2 4 2" xfId="3660" xr:uid="{00000000-0005-0000-0000-00006C210000}"/>
    <cellStyle name="Note 3 2 2 4 2 2" xfId="7882" xr:uid="{00000000-0005-0000-0000-00006D210000}"/>
    <cellStyle name="Note 3 2 2 4 2 2 2" xfId="16332" xr:uid="{3D3241FE-C2F2-423B-A925-B0DAB7BDDDA6}"/>
    <cellStyle name="Note 3 2 2 4 2 3" xfId="12114" xr:uid="{63B8D365-DF76-458F-853A-0DB48977AF60}"/>
    <cellStyle name="Note 3 2 2 4 3" xfId="5737" xr:uid="{00000000-0005-0000-0000-00006E210000}"/>
    <cellStyle name="Note 3 2 2 4 3 2" xfId="14187" xr:uid="{ECA0C666-B8AA-47C8-8965-82277B51A545}"/>
    <cellStyle name="Note 3 2 2 4 4" xfId="9969" xr:uid="{0A0C7EEF-6F81-4250-9DA1-F513909126FC}"/>
    <cellStyle name="Note 3 2 2 5" xfId="1844" xr:uid="{00000000-0005-0000-0000-00006F210000}"/>
    <cellStyle name="Note 3 2 2 5 2" xfId="4073" xr:uid="{00000000-0005-0000-0000-000070210000}"/>
    <cellStyle name="Note 3 2 2 5 2 2" xfId="8295" xr:uid="{00000000-0005-0000-0000-000071210000}"/>
    <cellStyle name="Note 3 2 2 5 2 2 2" xfId="16745" xr:uid="{C5E55575-2F24-45BF-81DE-666A3E06EB04}"/>
    <cellStyle name="Note 3 2 2 5 2 3" xfId="12527" xr:uid="{1737988C-6F16-4E44-AB9C-23840828CD60}"/>
    <cellStyle name="Note 3 2 2 5 3" xfId="6150" xr:uid="{00000000-0005-0000-0000-000072210000}"/>
    <cellStyle name="Note 3 2 2 5 3 2" xfId="14600" xr:uid="{2FDDA1FB-D1BA-4730-B236-FCF0526EFE39}"/>
    <cellStyle name="Note 3 2 2 5 4" xfId="10382" xr:uid="{650F9D85-810D-4585-94EC-305FB3B8F67E}"/>
    <cellStyle name="Note 3 2 2 6" xfId="2257" xr:uid="{00000000-0005-0000-0000-000073210000}"/>
    <cellStyle name="Note 3 2 2 6 2" xfId="4486" xr:uid="{00000000-0005-0000-0000-000074210000}"/>
    <cellStyle name="Note 3 2 2 6 2 2" xfId="8708" xr:uid="{00000000-0005-0000-0000-000075210000}"/>
    <cellStyle name="Note 3 2 2 6 2 2 2" xfId="17158" xr:uid="{44FB2463-66FD-4EC3-852E-5E803225159E}"/>
    <cellStyle name="Note 3 2 2 6 2 3" xfId="12940" xr:uid="{691655AF-EB14-4A62-8BCC-8997C65077F5}"/>
    <cellStyle name="Note 3 2 2 6 3" xfId="6563" xr:uid="{00000000-0005-0000-0000-000076210000}"/>
    <cellStyle name="Note 3 2 2 6 3 2" xfId="15013" xr:uid="{3A6A6CFA-B7CD-4354-93FC-FD2AC1B78DC6}"/>
    <cellStyle name="Note 3 2 2 6 4" xfId="10795" xr:uid="{DA4DEA35-6BEF-4D69-8CE6-D02E61EFA807}"/>
    <cellStyle name="Note 3 2 2 7" xfId="2693" xr:uid="{00000000-0005-0000-0000-000077210000}"/>
    <cellStyle name="Note 3 2 2 7 2" xfId="6976" xr:uid="{00000000-0005-0000-0000-000078210000}"/>
    <cellStyle name="Note 3 2 2 7 2 2" xfId="15426" xr:uid="{5A32E0C5-37F6-450A-A35C-D4D34483864C}"/>
    <cellStyle name="Note 3 2 2 7 3" xfId="11208" xr:uid="{3FEE574F-6EB1-41BF-8CCA-0157AB84FAB2}"/>
    <cellStyle name="Note 3 2 2 8" xfId="2752" xr:uid="{00000000-0005-0000-0000-000079210000}"/>
    <cellStyle name="Note 3 2 2 9" xfId="2833" xr:uid="{00000000-0005-0000-0000-00007A210000}"/>
    <cellStyle name="Note 3 2 2 9 2" xfId="7056" xr:uid="{00000000-0005-0000-0000-00007B210000}"/>
    <cellStyle name="Note 3 2 2 9 2 2" xfId="15506" xr:uid="{35FC8933-ACEC-41AB-A326-6D7BCE7A10EB}"/>
    <cellStyle name="Note 3 2 2 9 3" xfId="11288" xr:uid="{9B36B642-7831-46F4-95E8-CCBC300C2A73}"/>
    <cellStyle name="Note 3 2 3" xfId="557" xr:uid="{00000000-0005-0000-0000-00007C210000}"/>
    <cellStyle name="Note 3 2 3 10" xfId="9145" xr:uid="{CDA44E82-8663-4562-BCFD-AC2D4A33AB31}"/>
    <cellStyle name="Note 3 2 3 2" xfId="1017" xr:uid="{00000000-0005-0000-0000-00007D210000}"/>
    <cellStyle name="Note 3 2 3 2 2" xfId="3249" xr:uid="{00000000-0005-0000-0000-00007E210000}"/>
    <cellStyle name="Note 3 2 3 2 2 2" xfId="7471" xr:uid="{00000000-0005-0000-0000-00007F210000}"/>
    <cellStyle name="Note 3 2 3 2 2 2 2" xfId="15921" xr:uid="{893F657F-232B-4263-A551-E376C4588B8C}"/>
    <cellStyle name="Note 3 2 3 2 2 3" xfId="11703" xr:uid="{93D8638F-B661-40A0-A0D6-89E08C299185}"/>
    <cellStyle name="Note 3 2 3 2 3" xfId="5326" xr:uid="{00000000-0005-0000-0000-000080210000}"/>
    <cellStyle name="Note 3 2 3 2 3 2" xfId="13776" xr:uid="{C2AA1F4A-E777-4E75-B908-17C858D02BE1}"/>
    <cellStyle name="Note 3 2 3 2 4" xfId="9558" xr:uid="{184041BA-98BD-4F28-B6B0-F5762DE75B9F}"/>
    <cellStyle name="Note 3 2 3 3" xfId="1432" xr:uid="{00000000-0005-0000-0000-000081210000}"/>
    <cellStyle name="Note 3 2 3 3 2" xfId="3662" xr:uid="{00000000-0005-0000-0000-000082210000}"/>
    <cellStyle name="Note 3 2 3 3 2 2" xfId="7884" xr:uid="{00000000-0005-0000-0000-000083210000}"/>
    <cellStyle name="Note 3 2 3 3 2 2 2" xfId="16334" xr:uid="{D6E5FD56-9CAB-4688-A5AF-A6B37351A5EA}"/>
    <cellStyle name="Note 3 2 3 3 2 3" xfId="12116" xr:uid="{ADE6175D-66BC-459A-AC1D-8CBD47377292}"/>
    <cellStyle name="Note 3 2 3 3 3" xfId="5739" xr:uid="{00000000-0005-0000-0000-000084210000}"/>
    <cellStyle name="Note 3 2 3 3 3 2" xfId="14189" xr:uid="{10E1F23D-E701-408D-8774-09740F5A52D6}"/>
    <cellStyle name="Note 3 2 3 3 4" xfId="9971" xr:uid="{B601E744-2F74-4F34-82F2-63F83B114EB4}"/>
    <cellStyle name="Note 3 2 3 4" xfId="1846" xr:uid="{00000000-0005-0000-0000-000085210000}"/>
    <cellStyle name="Note 3 2 3 4 2" xfId="4075" xr:uid="{00000000-0005-0000-0000-000086210000}"/>
    <cellStyle name="Note 3 2 3 4 2 2" xfId="8297" xr:uid="{00000000-0005-0000-0000-000087210000}"/>
    <cellStyle name="Note 3 2 3 4 2 2 2" xfId="16747" xr:uid="{C625E244-944C-49B3-B6DB-22331C527D75}"/>
    <cellStyle name="Note 3 2 3 4 2 3" xfId="12529" xr:uid="{7C8440A0-3885-456D-9D6E-9330E4D23434}"/>
    <cellStyle name="Note 3 2 3 4 3" xfId="6152" xr:uid="{00000000-0005-0000-0000-000088210000}"/>
    <cellStyle name="Note 3 2 3 4 3 2" xfId="14602" xr:uid="{047BFC9E-796B-45F9-B188-7D8D7A91766A}"/>
    <cellStyle name="Note 3 2 3 4 4" xfId="10384" xr:uid="{C2B8429F-1DF0-4BAF-B8A3-24643E697612}"/>
    <cellStyle name="Note 3 2 3 5" xfId="2259" xr:uid="{00000000-0005-0000-0000-000089210000}"/>
    <cellStyle name="Note 3 2 3 5 2" xfId="4488" xr:uid="{00000000-0005-0000-0000-00008A210000}"/>
    <cellStyle name="Note 3 2 3 5 2 2" xfId="8710" xr:uid="{00000000-0005-0000-0000-00008B210000}"/>
    <cellStyle name="Note 3 2 3 5 2 2 2" xfId="17160" xr:uid="{C9FC1D40-41F7-4089-AEF2-E126A397ED14}"/>
    <cellStyle name="Note 3 2 3 5 2 3" xfId="12942" xr:uid="{9B2CE57D-907C-400D-90FF-0B0AC9633540}"/>
    <cellStyle name="Note 3 2 3 5 3" xfId="6565" xr:uid="{00000000-0005-0000-0000-00008C210000}"/>
    <cellStyle name="Note 3 2 3 5 3 2" xfId="15015" xr:uid="{88AD593B-4567-4524-B268-B1F0501BE0BD}"/>
    <cellStyle name="Note 3 2 3 5 4" xfId="10797" xr:uid="{0EA526E9-F451-4C13-8988-E408CC51AAC0}"/>
    <cellStyle name="Note 3 2 3 6" xfId="2695" xr:uid="{00000000-0005-0000-0000-00008D210000}"/>
    <cellStyle name="Note 3 2 3 6 2" xfId="6978" xr:uid="{00000000-0005-0000-0000-00008E210000}"/>
    <cellStyle name="Note 3 2 3 6 2 2" xfId="15428" xr:uid="{190DFB6A-FA52-497D-B711-4C0F3D7A6712}"/>
    <cellStyle name="Note 3 2 3 6 3" xfId="11210" xr:uid="{7D7C0327-F291-45F0-A35D-E268BA96CAD6}"/>
    <cellStyle name="Note 3 2 3 7" xfId="2754" xr:uid="{00000000-0005-0000-0000-00008F210000}"/>
    <cellStyle name="Note 3 2 3 8" xfId="2835" xr:uid="{00000000-0005-0000-0000-000090210000}"/>
    <cellStyle name="Note 3 2 3 8 2" xfId="7058" xr:uid="{00000000-0005-0000-0000-000091210000}"/>
    <cellStyle name="Note 3 2 3 8 2 2" xfId="15508" xr:uid="{7EA74786-9B53-400F-BC8E-E149A85E9EAC}"/>
    <cellStyle name="Note 3 2 3 8 3" xfId="11290" xr:uid="{7148B9EA-C020-4862-91A1-76ABE7BAFD35}"/>
    <cellStyle name="Note 3 2 3 9" xfId="4913" xr:uid="{00000000-0005-0000-0000-000092210000}"/>
    <cellStyle name="Note 3 2 3 9 2" xfId="13363" xr:uid="{6FF5B132-3248-4FA8-A5AA-667A7A78BEC5}"/>
    <cellStyle name="Note 3 2 4" xfId="1014" xr:uid="{00000000-0005-0000-0000-000093210000}"/>
    <cellStyle name="Note 3 2 4 2" xfId="3246" xr:uid="{00000000-0005-0000-0000-000094210000}"/>
    <cellStyle name="Note 3 2 4 2 2" xfId="7468" xr:uid="{00000000-0005-0000-0000-000095210000}"/>
    <cellStyle name="Note 3 2 4 2 2 2" xfId="15918" xr:uid="{3EA4B100-4D6F-45BB-B291-F9CDBE82EEF6}"/>
    <cellStyle name="Note 3 2 4 2 3" xfId="11700" xr:uid="{26CDA366-D396-456F-8A8C-0EC7FDF35469}"/>
    <cellStyle name="Note 3 2 4 3" xfId="5323" xr:uid="{00000000-0005-0000-0000-000096210000}"/>
    <cellStyle name="Note 3 2 4 3 2" xfId="13773" xr:uid="{43C5070C-17B1-4EB6-92E0-041362D11FD1}"/>
    <cellStyle name="Note 3 2 4 4" xfId="9555" xr:uid="{11D54DA5-3CEA-4C3C-8D96-ED93FF826E12}"/>
    <cellStyle name="Note 3 2 5" xfId="1429" xr:uid="{00000000-0005-0000-0000-000097210000}"/>
    <cellStyle name="Note 3 2 5 2" xfId="3659" xr:uid="{00000000-0005-0000-0000-000098210000}"/>
    <cellStyle name="Note 3 2 5 2 2" xfId="7881" xr:uid="{00000000-0005-0000-0000-000099210000}"/>
    <cellStyle name="Note 3 2 5 2 2 2" xfId="16331" xr:uid="{9D0830AD-9D31-48B4-9DEC-33042AAA1E4D}"/>
    <cellStyle name="Note 3 2 5 2 3" xfId="12113" xr:uid="{D5E7E353-6483-472F-9F79-7194F812F450}"/>
    <cellStyle name="Note 3 2 5 3" xfId="5736" xr:uid="{00000000-0005-0000-0000-00009A210000}"/>
    <cellStyle name="Note 3 2 5 3 2" xfId="14186" xr:uid="{D96C0E75-327B-4B4A-9CD4-2BF3A781F660}"/>
    <cellStyle name="Note 3 2 5 4" xfId="9968" xr:uid="{DCCBA833-A865-43F2-83EE-D72330287B0F}"/>
    <cellStyle name="Note 3 2 6" xfId="1843" xr:uid="{00000000-0005-0000-0000-00009B210000}"/>
    <cellStyle name="Note 3 2 6 2" xfId="4072" xr:uid="{00000000-0005-0000-0000-00009C210000}"/>
    <cellStyle name="Note 3 2 6 2 2" xfId="8294" xr:uid="{00000000-0005-0000-0000-00009D210000}"/>
    <cellStyle name="Note 3 2 6 2 2 2" xfId="16744" xr:uid="{C60935BA-4592-4965-B816-E66229E35ECF}"/>
    <cellStyle name="Note 3 2 6 2 3" xfId="12526" xr:uid="{0D303903-5E34-4E2E-BE5D-4739E79E54FD}"/>
    <cellStyle name="Note 3 2 6 3" xfId="6149" xr:uid="{00000000-0005-0000-0000-00009E210000}"/>
    <cellStyle name="Note 3 2 6 3 2" xfId="14599" xr:uid="{C3AC2963-80EF-4BD4-B043-23E89229DEE8}"/>
    <cellStyle name="Note 3 2 6 4" xfId="10381" xr:uid="{C2440039-2DF6-4A52-91C3-1A2439B396C1}"/>
    <cellStyle name="Note 3 2 7" xfId="2256" xr:uid="{00000000-0005-0000-0000-00009F210000}"/>
    <cellStyle name="Note 3 2 7 2" xfId="4485" xr:uid="{00000000-0005-0000-0000-0000A0210000}"/>
    <cellStyle name="Note 3 2 7 2 2" xfId="8707" xr:uid="{00000000-0005-0000-0000-0000A1210000}"/>
    <cellStyle name="Note 3 2 7 2 2 2" xfId="17157" xr:uid="{359187A5-C042-437F-9900-BC79478F9603}"/>
    <cellStyle name="Note 3 2 7 2 3" xfId="12939" xr:uid="{AF84E09A-82DB-4D16-BE5B-A85A44D35CAD}"/>
    <cellStyle name="Note 3 2 7 3" xfId="6562" xr:uid="{00000000-0005-0000-0000-0000A2210000}"/>
    <cellStyle name="Note 3 2 7 3 2" xfId="15012" xr:uid="{A54E48C3-5CBE-45E9-8186-6483EA0F7337}"/>
    <cellStyle name="Note 3 2 7 4" xfId="10794" xr:uid="{AC367D10-8239-4A26-A58D-372DEA895B94}"/>
    <cellStyle name="Note 3 2 8" xfId="2692" xr:uid="{00000000-0005-0000-0000-0000A3210000}"/>
    <cellStyle name="Note 3 2 8 2" xfId="6975" xr:uid="{00000000-0005-0000-0000-0000A4210000}"/>
    <cellStyle name="Note 3 2 8 2 2" xfId="15425" xr:uid="{B96BBAEF-3B20-4A37-A3A8-90B2BA726438}"/>
    <cellStyle name="Note 3 2 8 3" xfId="11207" xr:uid="{96761FB6-590C-4AEB-B09C-A456DB6C8FDE}"/>
    <cellStyle name="Note 3 2 9" xfId="2751" xr:uid="{00000000-0005-0000-0000-0000A5210000}"/>
    <cellStyle name="Note 3 3" xfId="558" xr:uid="{00000000-0005-0000-0000-0000A6210000}"/>
    <cellStyle name="Note 3 3 10" xfId="4914" xr:uid="{00000000-0005-0000-0000-0000A7210000}"/>
    <cellStyle name="Note 3 3 10 2" xfId="13364" xr:uid="{45E9267A-1603-4F20-B257-4D1166D35756}"/>
    <cellStyle name="Note 3 3 11" xfId="9146" xr:uid="{F6357FAC-290A-4608-BAB2-5772016C3113}"/>
    <cellStyle name="Note 3 3 2" xfId="559" xr:uid="{00000000-0005-0000-0000-0000A8210000}"/>
    <cellStyle name="Note 3 3 2 10" xfId="9147" xr:uid="{31BFA33C-60BE-4F8A-A590-4C9D0B719642}"/>
    <cellStyle name="Note 3 3 2 2" xfId="1019" xr:uid="{00000000-0005-0000-0000-0000A9210000}"/>
    <cellStyle name="Note 3 3 2 2 2" xfId="3251" xr:uid="{00000000-0005-0000-0000-0000AA210000}"/>
    <cellStyle name="Note 3 3 2 2 2 2" xfId="7473" xr:uid="{00000000-0005-0000-0000-0000AB210000}"/>
    <cellStyle name="Note 3 3 2 2 2 2 2" xfId="15923" xr:uid="{A1ACD66A-7769-4B0A-93F8-72EF9A56E816}"/>
    <cellStyle name="Note 3 3 2 2 2 3" xfId="11705" xr:uid="{BDA4C662-D515-4A15-A57B-94FBF813B62C}"/>
    <cellStyle name="Note 3 3 2 2 3" xfId="5328" xr:uid="{00000000-0005-0000-0000-0000AC210000}"/>
    <cellStyle name="Note 3 3 2 2 3 2" xfId="13778" xr:uid="{B8C606F9-C2E6-44A5-8017-9A41A154C34E}"/>
    <cellStyle name="Note 3 3 2 2 4" xfId="9560" xr:uid="{31B0A8C8-72DE-4247-81CA-C4DBDAC4A192}"/>
    <cellStyle name="Note 3 3 2 3" xfId="1434" xr:uid="{00000000-0005-0000-0000-0000AD210000}"/>
    <cellStyle name="Note 3 3 2 3 2" xfId="3664" xr:uid="{00000000-0005-0000-0000-0000AE210000}"/>
    <cellStyle name="Note 3 3 2 3 2 2" xfId="7886" xr:uid="{00000000-0005-0000-0000-0000AF210000}"/>
    <cellStyle name="Note 3 3 2 3 2 2 2" xfId="16336" xr:uid="{38058290-A523-44CC-8424-927BF98FA57E}"/>
    <cellStyle name="Note 3 3 2 3 2 3" xfId="12118" xr:uid="{7E56C914-7A89-4B46-974B-ACA84280C31F}"/>
    <cellStyle name="Note 3 3 2 3 3" xfId="5741" xr:uid="{00000000-0005-0000-0000-0000B0210000}"/>
    <cellStyle name="Note 3 3 2 3 3 2" xfId="14191" xr:uid="{E100CCFA-6723-4F63-9F6D-F9491081B518}"/>
    <cellStyle name="Note 3 3 2 3 4" xfId="9973" xr:uid="{4570C767-FE58-48C2-A282-35002C62CBE1}"/>
    <cellStyle name="Note 3 3 2 4" xfId="1848" xr:uid="{00000000-0005-0000-0000-0000B1210000}"/>
    <cellStyle name="Note 3 3 2 4 2" xfId="4077" xr:uid="{00000000-0005-0000-0000-0000B2210000}"/>
    <cellStyle name="Note 3 3 2 4 2 2" xfId="8299" xr:uid="{00000000-0005-0000-0000-0000B3210000}"/>
    <cellStyle name="Note 3 3 2 4 2 2 2" xfId="16749" xr:uid="{48024E74-2641-4DB5-84D8-41DDE2B0766E}"/>
    <cellStyle name="Note 3 3 2 4 2 3" xfId="12531" xr:uid="{6A0BE9D3-4461-4EE3-9B85-FF9A624EFFD9}"/>
    <cellStyle name="Note 3 3 2 4 3" xfId="6154" xr:uid="{00000000-0005-0000-0000-0000B4210000}"/>
    <cellStyle name="Note 3 3 2 4 3 2" xfId="14604" xr:uid="{EAF68695-E2DF-428D-97FE-AC7BE3C02A26}"/>
    <cellStyle name="Note 3 3 2 4 4" xfId="10386" xr:uid="{D6681FD9-BB16-4CD5-8586-677E82572968}"/>
    <cellStyle name="Note 3 3 2 5" xfId="2261" xr:uid="{00000000-0005-0000-0000-0000B5210000}"/>
    <cellStyle name="Note 3 3 2 5 2" xfId="4490" xr:uid="{00000000-0005-0000-0000-0000B6210000}"/>
    <cellStyle name="Note 3 3 2 5 2 2" xfId="8712" xr:uid="{00000000-0005-0000-0000-0000B7210000}"/>
    <cellStyle name="Note 3 3 2 5 2 2 2" xfId="17162" xr:uid="{11147E01-1438-4365-8CD9-A59CE2844746}"/>
    <cellStyle name="Note 3 3 2 5 2 3" xfId="12944" xr:uid="{02994709-3188-4D6D-94B7-7A48761208F6}"/>
    <cellStyle name="Note 3 3 2 5 3" xfId="6567" xr:uid="{00000000-0005-0000-0000-0000B8210000}"/>
    <cellStyle name="Note 3 3 2 5 3 2" xfId="15017" xr:uid="{49511A0E-2B22-4C13-9D0A-FC8462AC32A9}"/>
    <cellStyle name="Note 3 3 2 5 4" xfId="10799" xr:uid="{5B628460-BF99-4C36-831B-4A81E3DF30D6}"/>
    <cellStyle name="Note 3 3 2 6" xfId="2697" xr:uid="{00000000-0005-0000-0000-0000B9210000}"/>
    <cellStyle name="Note 3 3 2 6 2" xfId="6980" xr:uid="{00000000-0005-0000-0000-0000BA210000}"/>
    <cellStyle name="Note 3 3 2 6 2 2" xfId="15430" xr:uid="{40B67A14-2D4D-4FF5-BA61-FA1194FBDC95}"/>
    <cellStyle name="Note 3 3 2 6 3" xfId="11212" xr:uid="{EF194A6C-0D79-41CC-8002-4938B9FD3C01}"/>
    <cellStyle name="Note 3 3 2 7" xfId="2756" xr:uid="{00000000-0005-0000-0000-0000BB210000}"/>
    <cellStyle name="Note 3 3 2 8" xfId="2837" xr:uid="{00000000-0005-0000-0000-0000BC210000}"/>
    <cellStyle name="Note 3 3 2 8 2" xfId="7060" xr:uid="{00000000-0005-0000-0000-0000BD210000}"/>
    <cellStyle name="Note 3 3 2 8 2 2" xfId="15510" xr:uid="{63C6E77C-EB28-4886-AE4B-8221AAA4092D}"/>
    <cellStyle name="Note 3 3 2 8 3" xfId="11292" xr:uid="{B65D6475-CA61-403F-8A08-A3F63BF7A8F0}"/>
    <cellStyle name="Note 3 3 2 9" xfId="4915" xr:uid="{00000000-0005-0000-0000-0000BE210000}"/>
    <cellStyle name="Note 3 3 2 9 2" xfId="13365" xr:uid="{61F3AA4A-C61F-46E5-9B40-482B6CDC9B59}"/>
    <cellStyle name="Note 3 3 3" xfId="1018" xr:uid="{00000000-0005-0000-0000-0000BF210000}"/>
    <cellStyle name="Note 3 3 3 2" xfId="3250" xr:uid="{00000000-0005-0000-0000-0000C0210000}"/>
    <cellStyle name="Note 3 3 3 2 2" xfId="7472" xr:uid="{00000000-0005-0000-0000-0000C1210000}"/>
    <cellStyle name="Note 3 3 3 2 2 2" xfId="15922" xr:uid="{96DE8F61-3F47-4264-94AB-9E105C83018D}"/>
    <cellStyle name="Note 3 3 3 2 3" xfId="11704" xr:uid="{78FD322C-0825-4537-B03D-F022F528598C}"/>
    <cellStyle name="Note 3 3 3 3" xfId="5327" xr:uid="{00000000-0005-0000-0000-0000C2210000}"/>
    <cellStyle name="Note 3 3 3 3 2" xfId="13777" xr:uid="{3D4DC022-3642-4F69-BE45-A8970C44D7A6}"/>
    <cellStyle name="Note 3 3 3 4" xfId="9559" xr:uid="{24317C56-23E4-491E-8622-C84698822B23}"/>
    <cellStyle name="Note 3 3 4" xfId="1433" xr:uid="{00000000-0005-0000-0000-0000C3210000}"/>
    <cellStyle name="Note 3 3 4 2" xfId="3663" xr:uid="{00000000-0005-0000-0000-0000C4210000}"/>
    <cellStyle name="Note 3 3 4 2 2" xfId="7885" xr:uid="{00000000-0005-0000-0000-0000C5210000}"/>
    <cellStyle name="Note 3 3 4 2 2 2" xfId="16335" xr:uid="{9678060C-C968-44A3-B0EF-FFBAF2BB0BDF}"/>
    <cellStyle name="Note 3 3 4 2 3" xfId="12117" xr:uid="{5827CD7C-6CDE-4A38-8FB4-242A8CA32AA6}"/>
    <cellStyle name="Note 3 3 4 3" xfId="5740" xr:uid="{00000000-0005-0000-0000-0000C6210000}"/>
    <cellStyle name="Note 3 3 4 3 2" xfId="14190" xr:uid="{41899B7F-765F-4E53-9DC1-3265A5F3B536}"/>
    <cellStyle name="Note 3 3 4 4" xfId="9972" xr:uid="{EBE1C45F-60EA-480D-A7F0-3890837FBE8C}"/>
    <cellStyle name="Note 3 3 5" xfId="1847" xr:uid="{00000000-0005-0000-0000-0000C7210000}"/>
    <cellStyle name="Note 3 3 5 2" xfId="4076" xr:uid="{00000000-0005-0000-0000-0000C8210000}"/>
    <cellStyle name="Note 3 3 5 2 2" xfId="8298" xr:uid="{00000000-0005-0000-0000-0000C9210000}"/>
    <cellStyle name="Note 3 3 5 2 2 2" xfId="16748" xr:uid="{2486E6E9-2A32-49F8-8710-F3907680EB23}"/>
    <cellStyle name="Note 3 3 5 2 3" xfId="12530" xr:uid="{02151D9A-4966-4EE5-8526-2D5A1EC4C13F}"/>
    <cellStyle name="Note 3 3 5 3" xfId="6153" xr:uid="{00000000-0005-0000-0000-0000CA210000}"/>
    <cellStyle name="Note 3 3 5 3 2" xfId="14603" xr:uid="{6BD1BD55-DF03-47CC-A116-7A545481E2C4}"/>
    <cellStyle name="Note 3 3 5 4" xfId="10385" xr:uid="{49787871-49FB-4AC6-A963-AFC22B2A6640}"/>
    <cellStyle name="Note 3 3 6" xfId="2260" xr:uid="{00000000-0005-0000-0000-0000CB210000}"/>
    <cellStyle name="Note 3 3 6 2" xfId="4489" xr:uid="{00000000-0005-0000-0000-0000CC210000}"/>
    <cellStyle name="Note 3 3 6 2 2" xfId="8711" xr:uid="{00000000-0005-0000-0000-0000CD210000}"/>
    <cellStyle name="Note 3 3 6 2 2 2" xfId="17161" xr:uid="{732C2D98-898C-48DC-B190-6067226F0D20}"/>
    <cellStyle name="Note 3 3 6 2 3" xfId="12943" xr:uid="{6BBB35B2-5955-4992-8DD7-8391114FA92C}"/>
    <cellStyle name="Note 3 3 6 3" xfId="6566" xr:uid="{00000000-0005-0000-0000-0000CE210000}"/>
    <cellStyle name="Note 3 3 6 3 2" xfId="15016" xr:uid="{698AFF48-5960-4154-83D3-37B8D9C01280}"/>
    <cellStyle name="Note 3 3 6 4" xfId="10798" xr:uid="{C7ADED33-C470-40ED-A884-AAADC4971A5A}"/>
    <cellStyle name="Note 3 3 7" xfId="2696" xr:uid="{00000000-0005-0000-0000-0000CF210000}"/>
    <cellStyle name="Note 3 3 7 2" xfId="6979" xr:uid="{00000000-0005-0000-0000-0000D0210000}"/>
    <cellStyle name="Note 3 3 7 2 2" xfId="15429" xr:uid="{8A227FDA-F2FF-444B-A8A4-2EF134A1ACB3}"/>
    <cellStyle name="Note 3 3 7 3" xfId="11211" xr:uid="{BD648C9C-560F-4388-B20F-9AC4AD7657A3}"/>
    <cellStyle name="Note 3 3 8" xfId="2755" xr:uid="{00000000-0005-0000-0000-0000D1210000}"/>
    <cellStyle name="Note 3 3 9" xfId="2836" xr:uid="{00000000-0005-0000-0000-0000D2210000}"/>
    <cellStyle name="Note 3 3 9 2" xfId="7059" xr:uid="{00000000-0005-0000-0000-0000D3210000}"/>
    <cellStyle name="Note 3 3 9 2 2" xfId="15509" xr:uid="{DC79FF89-9C57-4344-AC75-B0D2C06B174D}"/>
    <cellStyle name="Note 3 3 9 3" xfId="11291" xr:uid="{406DF54E-2DF0-416F-8BC0-3D4668918680}"/>
    <cellStyle name="Note 3 4" xfId="560" xr:uid="{00000000-0005-0000-0000-0000D4210000}"/>
    <cellStyle name="Note 3 4 10" xfId="9148" xr:uid="{0C386C25-E84C-4E13-92BC-358451F24F2D}"/>
    <cellStyle name="Note 3 4 2" xfId="1020" xr:uid="{00000000-0005-0000-0000-0000D5210000}"/>
    <cellStyle name="Note 3 4 2 2" xfId="3252" xr:uid="{00000000-0005-0000-0000-0000D6210000}"/>
    <cellStyle name="Note 3 4 2 2 2" xfId="7474" xr:uid="{00000000-0005-0000-0000-0000D7210000}"/>
    <cellStyle name="Note 3 4 2 2 2 2" xfId="15924" xr:uid="{E77B8E19-22B3-49C0-BA85-F41F43C2EC8E}"/>
    <cellStyle name="Note 3 4 2 2 3" xfId="11706" xr:uid="{463F2BFC-5CC7-410E-9C0D-8344D18B0747}"/>
    <cellStyle name="Note 3 4 2 3" xfId="5329" xr:uid="{00000000-0005-0000-0000-0000D8210000}"/>
    <cellStyle name="Note 3 4 2 3 2" xfId="13779" xr:uid="{7C31B75D-FF5C-430A-9FF6-65F34DCE4962}"/>
    <cellStyle name="Note 3 4 2 4" xfId="9561" xr:uid="{FD7E4FE0-3D39-498B-89C7-6FEA9F154776}"/>
    <cellStyle name="Note 3 4 3" xfId="1435" xr:uid="{00000000-0005-0000-0000-0000D9210000}"/>
    <cellStyle name="Note 3 4 3 2" xfId="3665" xr:uid="{00000000-0005-0000-0000-0000DA210000}"/>
    <cellStyle name="Note 3 4 3 2 2" xfId="7887" xr:uid="{00000000-0005-0000-0000-0000DB210000}"/>
    <cellStyle name="Note 3 4 3 2 2 2" xfId="16337" xr:uid="{E4605B59-AF6F-41BF-97D9-9A6401199489}"/>
    <cellStyle name="Note 3 4 3 2 3" xfId="12119" xr:uid="{CC868944-A4D1-4813-9A42-4E60E563A131}"/>
    <cellStyle name="Note 3 4 3 3" xfId="5742" xr:uid="{00000000-0005-0000-0000-0000DC210000}"/>
    <cellStyle name="Note 3 4 3 3 2" xfId="14192" xr:uid="{602F3851-CC5D-48B2-81E4-8145262D71BB}"/>
    <cellStyle name="Note 3 4 3 4" xfId="9974" xr:uid="{48467426-A8B9-47DB-B49D-DA02161587BA}"/>
    <cellStyle name="Note 3 4 4" xfId="1849" xr:uid="{00000000-0005-0000-0000-0000DD210000}"/>
    <cellStyle name="Note 3 4 4 2" xfId="4078" xr:uid="{00000000-0005-0000-0000-0000DE210000}"/>
    <cellStyle name="Note 3 4 4 2 2" xfId="8300" xr:uid="{00000000-0005-0000-0000-0000DF210000}"/>
    <cellStyle name="Note 3 4 4 2 2 2" xfId="16750" xr:uid="{1391A6F6-3989-456D-9EFE-D6A3F0BF7A45}"/>
    <cellStyle name="Note 3 4 4 2 3" xfId="12532" xr:uid="{A8540642-60F0-45E7-B25B-D70345CD2D80}"/>
    <cellStyle name="Note 3 4 4 3" xfId="6155" xr:uid="{00000000-0005-0000-0000-0000E0210000}"/>
    <cellStyle name="Note 3 4 4 3 2" xfId="14605" xr:uid="{CEDB5A78-AB62-4622-9B27-53B868064D31}"/>
    <cellStyle name="Note 3 4 4 4" xfId="10387" xr:uid="{6F7C5494-7283-49A9-B33B-98FF2232585F}"/>
    <cellStyle name="Note 3 4 5" xfId="2262" xr:uid="{00000000-0005-0000-0000-0000E1210000}"/>
    <cellStyle name="Note 3 4 5 2" xfId="4491" xr:uid="{00000000-0005-0000-0000-0000E2210000}"/>
    <cellStyle name="Note 3 4 5 2 2" xfId="8713" xr:uid="{00000000-0005-0000-0000-0000E3210000}"/>
    <cellStyle name="Note 3 4 5 2 2 2" xfId="17163" xr:uid="{E18FD23F-3B3B-41EE-B581-D73727AE5C14}"/>
    <cellStyle name="Note 3 4 5 2 3" xfId="12945" xr:uid="{02F6C7D0-0F18-42E5-99FA-E086B790A586}"/>
    <cellStyle name="Note 3 4 5 3" xfId="6568" xr:uid="{00000000-0005-0000-0000-0000E4210000}"/>
    <cellStyle name="Note 3 4 5 3 2" xfId="15018" xr:uid="{B2FA6223-494C-4519-BEEB-0FF8897EA4E6}"/>
    <cellStyle name="Note 3 4 5 4" xfId="10800" xr:uid="{A12F68DD-B7D4-4DDC-9689-C5032E3FB549}"/>
    <cellStyle name="Note 3 4 6" xfId="2698" xr:uid="{00000000-0005-0000-0000-0000E5210000}"/>
    <cellStyle name="Note 3 4 6 2" xfId="6981" xr:uid="{00000000-0005-0000-0000-0000E6210000}"/>
    <cellStyle name="Note 3 4 6 2 2" xfId="15431" xr:uid="{4E12AEB2-A329-4D38-89E5-7A5505E8BBBC}"/>
    <cellStyle name="Note 3 4 6 3" xfId="11213" xr:uid="{ECC59DF4-2825-493E-A79B-599916B1431A}"/>
    <cellStyle name="Note 3 4 7" xfId="2757" xr:uid="{00000000-0005-0000-0000-0000E7210000}"/>
    <cellStyle name="Note 3 4 8" xfId="2838" xr:uid="{00000000-0005-0000-0000-0000E8210000}"/>
    <cellStyle name="Note 3 4 8 2" xfId="7061" xr:uid="{00000000-0005-0000-0000-0000E9210000}"/>
    <cellStyle name="Note 3 4 8 2 2" xfId="15511" xr:uid="{D64E8B9B-BF38-4F50-9675-835F09F3C31E}"/>
    <cellStyle name="Note 3 4 8 3" xfId="11293" xr:uid="{3EBDA4A2-EBC5-49DD-87F6-BABC4DC6A9A4}"/>
    <cellStyle name="Note 3 4 9" xfId="4916" xr:uid="{00000000-0005-0000-0000-0000EA210000}"/>
    <cellStyle name="Note 3 4 9 2" xfId="13366" xr:uid="{4F21595B-C3D6-4C09-A174-8FA07DACAB09}"/>
    <cellStyle name="Note 3 5" xfId="561" xr:uid="{00000000-0005-0000-0000-0000EB210000}"/>
    <cellStyle name="Note 3 5 10" xfId="9149" xr:uid="{F34A3A79-E850-46CC-8A9E-0C2C9D0A324E}"/>
    <cellStyle name="Note 3 5 2" xfId="1021" xr:uid="{00000000-0005-0000-0000-0000EC210000}"/>
    <cellStyle name="Note 3 5 2 2" xfId="3253" xr:uid="{00000000-0005-0000-0000-0000ED210000}"/>
    <cellStyle name="Note 3 5 2 2 2" xfId="7475" xr:uid="{00000000-0005-0000-0000-0000EE210000}"/>
    <cellStyle name="Note 3 5 2 2 2 2" xfId="15925" xr:uid="{82B3DC09-9C4B-40DD-B205-085316C47607}"/>
    <cellStyle name="Note 3 5 2 2 3" xfId="11707" xr:uid="{5754FE2A-4983-4924-A1D5-D01493879586}"/>
    <cellStyle name="Note 3 5 2 3" xfId="5330" xr:uid="{00000000-0005-0000-0000-0000EF210000}"/>
    <cellStyle name="Note 3 5 2 3 2" xfId="13780" xr:uid="{794CFCA9-6550-4738-8F3C-115BFEE34D28}"/>
    <cellStyle name="Note 3 5 2 4" xfId="9562" xr:uid="{67B1D05A-6192-421E-9865-A7D928C28071}"/>
    <cellStyle name="Note 3 5 3" xfId="1436" xr:uid="{00000000-0005-0000-0000-0000F0210000}"/>
    <cellStyle name="Note 3 5 3 2" xfId="3666" xr:uid="{00000000-0005-0000-0000-0000F1210000}"/>
    <cellStyle name="Note 3 5 3 2 2" xfId="7888" xr:uid="{00000000-0005-0000-0000-0000F2210000}"/>
    <cellStyle name="Note 3 5 3 2 2 2" xfId="16338" xr:uid="{AA7BACDB-628E-4430-989E-C1A4A811E2FB}"/>
    <cellStyle name="Note 3 5 3 2 3" xfId="12120" xr:uid="{1DBB6CB9-9B0F-495A-B894-15D3747567B3}"/>
    <cellStyle name="Note 3 5 3 3" xfId="5743" xr:uid="{00000000-0005-0000-0000-0000F3210000}"/>
    <cellStyle name="Note 3 5 3 3 2" xfId="14193" xr:uid="{9C9FC5CA-2223-420A-85DC-EC610F5DDC6D}"/>
    <cellStyle name="Note 3 5 3 4" xfId="9975" xr:uid="{17E5F75B-947C-4507-983A-45B7E90646B5}"/>
    <cellStyle name="Note 3 5 4" xfId="1850" xr:uid="{00000000-0005-0000-0000-0000F4210000}"/>
    <cellStyle name="Note 3 5 4 2" xfId="4079" xr:uid="{00000000-0005-0000-0000-0000F5210000}"/>
    <cellStyle name="Note 3 5 4 2 2" xfId="8301" xr:uid="{00000000-0005-0000-0000-0000F6210000}"/>
    <cellStyle name="Note 3 5 4 2 2 2" xfId="16751" xr:uid="{59B42BDF-FFCF-47DE-B776-B03DD22CE61D}"/>
    <cellStyle name="Note 3 5 4 2 3" xfId="12533" xr:uid="{B9E006CB-324F-432F-B575-10552F0F86C7}"/>
    <cellStyle name="Note 3 5 4 3" xfId="6156" xr:uid="{00000000-0005-0000-0000-0000F7210000}"/>
    <cellStyle name="Note 3 5 4 3 2" xfId="14606" xr:uid="{C991F115-8608-4BD9-A6F7-53DAFD01DDA0}"/>
    <cellStyle name="Note 3 5 4 4" xfId="10388" xr:uid="{25F5E4EC-CDAF-44FC-9F0F-69AD6D4E8430}"/>
    <cellStyle name="Note 3 5 5" xfId="2263" xr:uid="{00000000-0005-0000-0000-0000F8210000}"/>
    <cellStyle name="Note 3 5 5 2" xfId="4492" xr:uid="{00000000-0005-0000-0000-0000F9210000}"/>
    <cellStyle name="Note 3 5 5 2 2" xfId="8714" xr:uid="{00000000-0005-0000-0000-0000FA210000}"/>
    <cellStyle name="Note 3 5 5 2 2 2" xfId="17164" xr:uid="{2109A843-0C51-479F-9F48-B7824E130121}"/>
    <cellStyle name="Note 3 5 5 2 3" xfId="12946" xr:uid="{87D94BA1-94BD-40A0-86D5-B6FD819F4A95}"/>
    <cellStyle name="Note 3 5 5 3" xfId="6569" xr:uid="{00000000-0005-0000-0000-0000FB210000}"/>
    <cellStyle name="Note 3 5 5 3 2" xfId="15019" xr:uid="{A3F81F46-24BD-4C7F-9B26-ECB0B0BEBA4B}"/>
    <cellStyle name="Note 3 5 5 4" xfId="10801" xr:uid="{5A592FE1-E9DB-44FA-AB72-596F7E51443E}"/>
    <cellStyle name="Note 3 5 6" xfId="2699" xr:uid="{00000000-0005-0000-0000-0000FC210000}"/>
    <cellStyle name="Note 3 5 6 2" xfId="6982" xr:uid="{00000000-0005-0000-0000-0000FD210000}"/>
    <cellStyle name="Note 3 5 6 2 2" xfId="15432" xr:uid="{0B54910B-9B99-4F8C-BD47-F8884F6F36A9}"/>
    <cellStyle name="Note 3 5 6 3" xfId="11214" xr:uid="{44956CED-DFED-43FE-8BEC-A5E37F6FB7EE}"/>
    <cellStyle name="Note 3 5 7" xfId="2758" xr:uid="{00000000-0005-0000-0000-0000FE210000}"/>
    <cellStyle name="Note 3 5 8" xfId="2839" xr:uid="{00000000-0005-0000-0000-0000FF210000}"/>
    <cellStyle name="Note 3 5 8 2" xfId="7062" xr:uid="{00000000-0005-0000-0000-000000220000}"/>
    <cellStyle name="Note 3 5 8 2 2" xfId="15512" xr:uid="{14AFF6DA-3462-426A-A0B0-3A3678707EAD}"/>
    <cellStyle name="Note 3 5 8 3" xfId="11294" xr:uid="{DACD9270-72B9-46D2-8827-BF79AEA634C8}"/>
    <cellStyle name="Note 3 5 9" xfId="4917" xr:uid="{00000000-0005-0000-0000-000001220000}"/>
    <cellStyle name="Note 3 5 9 2" xfId="13367" xr:uid="{CC7EA06B-773E-4E74-B3FE-B3185C25D58B}"/>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3 2" xfId="12950" xr:uid="{DEAC22A7-8B92-4E62-9A78-05688709028A}"/>
    <cellStyle name="Percent 4" xfId="4502" xr:uid="{00000000-0005-0000-0000-000007220000}"/>
    <cellStyle name="Percent 4 2" xfId="8717" xr:uid="{00000000-0005-0000-0000-000008220000}"/>
    <cellStyle name="Percent 4 2 2" xfId="17167" xr:uid="{864202FE-C6DD-4C37-857D-A615B9F7F042}"/>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Percent 4 3 2 2 3" xfId="17176" xr:uid="{D1DEB066-544A-48A6-B216-BBE134AD3760}"/>
    <cellStyle name="Percent 4 3 2 3" xfId="17173" xr:uid="{7FEDF020-ED6E-435B-951A-44AD595E8CE4}"/>
    <cellStyle name="Percent 4 3 3" xfId="17170" xr:uid="{68A7A858-C896-4859-BE2E-85FFDE93FAB9}"/>
    <cellStyle name="Percent 4 4" xfId="12953" xr:uid="{D6B51D43-4C39-42E5-9084-D185FDFB03FD}"/>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3">
    <dxf>
      <font>
        <b val="0"/>
        <i val="0"/>
        <strike val="0"/>
        <condense val="0"/>
        <extend val="0"/>
        <outline val="0"/>
        <shadow val="0"/>
        <u val="none"/>
        <vertAlign val="baseline"/>
        <sz val="11"/>
        <color theme="1"/>
        <name val="Arial"/>
        <family val="2"/>
        <scheme val="none"/>
      </font>
      <numFmt numFmtId="13" formatCode="0%"/>
      <protection locked="1" hidden="0"/>
    </dxf>
    <dxf>
      <font>
        <condense val="0"/>
        <extend val="0"/>
        <color indexed="10"/>
      </font>
    </dxf>
    <dxf>
      <fill>
        <patternFill>
          <bgColor rgb="FFFF0000"/>
        </patternFill>
      </fill>
    </dxf>
    <dxf>
      <fill>
        <patternFill>
          <bgColor rgb="FFFF0000"/>
        </patternFill>
      </fill>
    </dxf>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61</xdr:row>
      <xdr:rowOff>0</xdr:rowOff>
    </xdr:from>
    <xdr:to>
      <xdr:col>0</xdr:col>
      <xdr:colOff>533400</xdr:colOff>
      <xdr:row>69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61</xdr:row>
      <xdr:rowOff>0</xdr:rowOff>
    </xdr:from>
    <xdr:to>
      <xdr:col>0</xdr:col>
      <xdr:colOff>527685</xdr:colOff>
      <xdr:row>69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61</xdr:row>
      <xdr:rowOff>0</xdr:rowOff>
    </xdr:from>
    <xdr:to>
      <xdr:col>8</xdr:col>
      <xdr:colOff>11430</xdr:colOff>
      <xdr:row>69</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14</xdr:row>
      <xdr:rowOff>0</xdr:rowOff>
    </xdr:from>
    <xdr:to>
      <xdr:col>4</xdr:col>
      <xdr:colOff>148590</xdr:colOff>
      <xdr:row>15</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20</xdr:row>
      <xdr:rowOff>0</xdr:rowOff>
    </xdr:from>
    <xdr:to>
      <xdr:col>8</xdr:col>
      <xdr:colOff>348615</xdr:colOff>
      <xdr:row>53</xdr:row>
      <xdr:rowOff>81222</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9525</xdr:colOff>
          <xdr:row>77</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79375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02" totalsRowShown="0" headerRowDxfId="122">
  <autoFilter ref="BD2:BF102" xr:uid="{20D12FE9-D671-46AE-8E74-697FC9E00D36}"/>
  <tableColumns count="3">
    <tableColumn id="1" xr3:uid="{6D57456F-8765-4265-AAB0-1C6229D75231}" name="Key"/>
    <tableColumn id="2" xr3:uid="{364B4D43-EEAF-424D-B3F3-B1165A9E3181}" name="Value" dataDxfId="121"/>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6B3E8F7-B28C-4B26-AA8C-01D2EF23D436}" name="Table2" displayName="Table2" ref="BM8:BM13" totalsRowShown="0" headerRowDxfId="120" dataDxfId="119" headerRowCellStyle="Normal 16 3" dataCellStyle="Normal 16 3">
  <autoFilter ref="BM8:BM13" xr:uid="{EC5E3245-E94C-4732-9264-A1FF7840F5A2}"/>
  <tableColumns count="1">
    <tableColumn id="1" xr3:uid="{E87F798D-9094-4F6E-94EB-ABEE95220A01}" name="Construction Type" dataDxfId="118"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44" totalsRowShown="0" headerRowDxfId="117" dataDxfId="116" headerRowCellStyle="Normal 15" dataCellStyle="Normal 15">
  <autoFilter ref="L19:U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5" dataCellStyle="Normal 15">
      <calculatedColumnFormula>IFERROR(MIN(4,MATCH(Application!B718,UnitSizes,0)-1),"")</calculatedColumnFormula>
    </tableColumn>
    <tableColumn id="3" xr3:uid="{3C170205-C158-4CBB-8CF5-9AF725351349}" name="Quantity" dataDxfId="114" dataCellStyle="Normal 15">
      <calculatedColumnFormula>Application!G718</calculatedColumnFormula>
    </tableColumn>
    <tableColumn id="6" xr3:uid="{7C05B4DE-3AC1-47F3-9C25-D16553367CFA}" name="iAMI" dataDxfId="113" dataCellStyle="Percent">
      <calculatedColumnFormula>Application!AC718</calculatedColumnFormula>
    </tableColumn>
    <tableColumn id="7" xr3:uid="{2B6706B4-1A54-4104-A649-2FE0A4FF8E92}" name="AMI" dataDxfId="0" dataCellStyle="Percent">
      <calculatedColumnFormula>IF(Cdlac[[#This Row],[Quantity]]&gt;0,IF(Cdlac[[#This Row],[Federal]],30%,IF(AND(OR(NOT($G$38),$G$38=""),$G$43),40%,Cdlac[[#This Row],[iAMI]])),"")</calculatedColumnFormula>
    </tableColumn>
    <tableColumn id="8" xr3:uid="{A8EB42BE-4789-45EE-A11C-67C20CB0D91B}" name="Restricted Rent" dataDxfId="112" dataCellStyle="Normal 15">
      <calculatedColumnFormula array="1">IF(Cdlac[[#This Row],[Quantity]]&gt;0,INDEX(TcacRents,$P$18,Cdlac[[#This Row],[Bedrooms]]+1)*Cdlac[[#This Row],[AMI]],"")</calculatedColumnFormula>
    </tableColumn>
    <tableColumn id="1" xr3:uid="{DB79DEA5-8C58-4800-B67F-14CBEB0E0B62}" name="Preservation Rent" dataDxfId="111" dataCellStyle="Normal 15"/>
    <tableColumn id="9" xr3:uid="{E7AC364D-B07B-4A38-B74E-DAE64921E290}" name="Fair Market Rent" dataDxfId="110" dataCellStyle="Normal 15">
      <calculatedColumnFormula array="1">IF(Cdlac[[#This Row],[Quantity]]&gt;0,INDEX(HudFmrs,$P$18,Cdlac[[#This Row],[Bedrooms]]+1),"")</calculatedColumnFormula>
    </tableColumn>
    <tableColumn id="10" xr3:uid="{630C504C-0251-4207-88FB-451973BE380A}" name="Delta" dataDxfId="109"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08" dataCellStyle="Normal 15">
      <calculatedColumnFormula>IF(Cdlac[[#This Row],[Quantity]]&gt;0,AND(Application!AK718&lt;&gt;"N/A",Application!AK718&lt;&gt;"")*Cdlac[[#This Row],[Quantity]],"")</calculatedColumnFormula>
    </tableColumn>
    <tableColumn id="4" xr3:uid="{5D52F6BE-992B-4621-8785-ED1E8B62A78F}" name="Federal" dataDxfId="107"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5/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3.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6.vml"/><Relationship Id="rId1" Type="http://schemas.openxmlformats.org/officeDocument/2006/relationships/printerSettings" Target="../printerSettings/printerSettings12.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workbookViewId="0">
      <selection sqref="A1:AL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258" t="s">
        <v>550</v>
      </c>
      <c r="B1" s="1258"/>
      <c r="C1" s="1258"/>
      <c r="D1" s="1258"/>
      <c r="E1" s="1258"/>
      <c r="F1" s="1258"/>
      <c r="G1" s="1258"/>
      <c r="H1" s="1258"/>
      <c r="I1" s="1258"/>
      <c r="J1" s="1258"/>
      <c r="K1" s="1258"/>
      <c r="L1" s="1258"/>
      <c r="M1" s="1258"/>
      <c r="N1" s="1258"/>
      <c r="O1" s="1258"/>
      <c r="P1" s="1258"/>
      <c r="Q1" s="1258"/>
      <c r="R1" s="1258"/>
      <c r="S1" s="1258"/>
      <c r="T1" s="1258"/>
      <c r="U1" s="1258"/>
      <c r="V1" s="1258"/>
      <c r="W1" s="1258"/>
      <c r="X1" s="1258"/>
      <c r="Y1" s="1258"/>
      <c r="Z1" s="1258"/>
      <c r="AA1" s="1258"/>
      <c r="AB1" s="1258"/>
      <c r="AC1" s="1258"/>
      <c r="AD1" s="1258"/>
      <c r="AE1" s="1258"/>
      <c r="AF1" s="1258"/>
      <c r="AG1" s="1258"/>
      <c r="AH1" s="1258"/>
      <c r="AI1" s="1258"/>
      <c r="AJ1" s="1258"/>
      <c r="AK1" s="1258"/>
      <c r="AL1" s="1258"/>
    </row>
    <row r="2" spans="1:38" ht="13.5" thickBot="1">
      <c r="A2" s="1259"/>
      <c r="B2" s="1259"/>
      <c r="C2" s="1259"/>
      <c r="D2" s="1259"/>
      <c r="E2" s="1259"/>
      <c r="F2" s="1259"/>
      <c r="G2" s="1259"/>
      <c r="H2" s="1259"/>
      <c r="I2" s="1259"/>
      <c r="J2" s="1259"/>
      <c r="K2" s="1259"/>
      <c r="L2" s="1259"/>
      <c r="M2" s="1259"/>
      <c r="N2" s="1259"/>
      <c r="O2" s="1259"/>
      <c r="P2" s="1259"/>
      <c r="Q2" s="1259"/>
      <c r="R2" s="1259"/>
      <c r="S2" s="1259"/>
      <c r="T2" s="1259"/>
      <c r="U2" s="1259"/>
      <c r="V2" s="1259"/>
      <c r="W2" s="1259"/>
      <c r="X2" s="1259"/>
      <c r="Y2" s="1259"/>
      <c r="Z2" s="1259"/>
      <c r="AA2" s="1259"/>
      <c r="AB2" s="1259"/>
      <c r="AC2" s="1259"/>
      <c r="AD2" s="1259"/>
      <c r="AE2" s="1259"/>
      <c r="AF2" s="1259"/>
      <c r="AG2" s="1259"/>
      <c r="AH2" s="1259"/>
      <c r="AI2" s="1259"/>
      <c r="AJ2" s="1259"/>
      <c r="AK2" s="1259"/>
      <c r="AL2" s="1259"/>
    </row>
    <row r="3" spans="1:38" ht="13.5" thickTop="1"/>
    <row r="4" spans="1:38" s="5" customFormat="1">
      <c r="B4" s="11" t="s">
        <v>556</v>
      </c>
      <c r="C4" s="11" t="s">
        <v>508</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206</v>
      </c>
      <c r="D6" s="2" t="s">
        <v>329</v>
      </c>
      <c r="F6" s="4"/>
      <c r="G6" s="4"/>
      <c r="H6" s="4"/>
      <c r="I6" s="4"/>
      <c r="J6" s="4"/>
      <c r="K6" s="4"/>
      <c r="L6" s="4"/>
      <c r="M6" s="4"/>
      <c r="N6" s="4"/>
      <c r="O6" s="4"/>
      <c r="P6" s="4"/>
      <c r="Q6" s="4"/>
      <c r="R6" s="4"/>
      <c r="S6" s="4"/>
      <c r="T6" s="4"/>
      <c r="U6" s="4"/>
      <c r="V6" s="4"/>
      <c r="W6" s="4"/>
      <c r="X6" s="4"/>
      <c r="Y6" s="4"/>
      <c r="Z6" s="4"/>
      <c r="AA6" s="4"/>
      <c r="AB6" s="4"/>
    </row>
    <row r="7" spans="1:38" ht="13.15" customHeight="1">
      <c r="A7" s="205"/>
      <c r="B7" s="205"/>
      <c r="C7" s="206"/>
      <c r="D7" s="1260" t="s">
        <v>2035</v>
      </c>
      <c r="E7" s="1260"/>
      <c r="F7" s="1260"/>
      <c r="G7" s="1260"/>
      <c r="H7" s="1260"/>
      <c r="I7" s="1260"/>
      <c r="J7" s="1260"/>
      <c r="K7" s="1260"/>
      <c r="L7" s="1260"/>
      <c r="M7" s="1260"/>
      <c r="N7" s="1260"/>
      <c r="O7" s="1260"/>
      <c r="P7" s="1260"/>
      <c r="Q7" s="1260"/>
      <c r="R7" s="1260"/>
      <c r="S7" s="1260"/>
      <c r="T7" s="1260"/>
      <c r="U7" s="1260"/>
      <c r="V7" s="1260"/>
      <c r="W7" s="1260"/>
      <c r="X7" s="1260"/>
      <c r="Y7" s="1260"/>
      <c r="Z7" s="1260"/>
      <c r="AA7" s="1260"/>
      <c r="AB7" s="1260"/>
      <c r="AC7" s="1260"/>
      <c r="AD7" s="1260"/>
      <c r="AE7" s="1260"/>
      <c r="AF7" s="1260"/>
      <c r="AG7" s="1260"/>
      <c r="AH7" s="1260"/>
      <c r="AI7" s="1260"/>
      <c r="AJ7" s="1260"/>
      <c r="AK7" s="1260"/>
      <c r="AL7" s="456"/>
    </row>
    <row r="8" spans="1:38">
      <c r="A8" s="205"/>
      <c r="B8" s="205"/>
      <c r="C8" s="206"/>
      <c r="D8" s="1260"/>
      <c r="E8" s="1260"/>
      <c r="F8" s="1260"/>
      <c r="G8" s="1260"/>
      <c r="H8" s="1260"/>
      <c r="I8" s="1260"/>
      <c r="J8" s="1260"/>
      <c r="K8" s="1260"/>
      <c r="L8" s="1260"/>
      <c r="M8" s="1260"/>
      <c r="N8" s="1260"/>
      <c r="O8" s="1260"/>
      <c r="P8" s="1260"/>
      <c r="Q8" s="1260"/>
      <c r="R8" s="1260"/>
      <c r="S8" s="1260"/>
      <c r="T8" s="1260"/>
      <c r="U8" s="1260"/>
      <c r="V8" s="1260"/>
      <c r="W8" s="1260"/>
      <c r="X8" s="1260"/>
      <c r="Y8" s="1260"/>
      <c r="Z8" s="1260"/>
      <c r="AA8" s="1260"/>
      <c r="AB8" s="1260"/>
      <c r="AC8" s="1260"/>
      <c r="AD8" s="1260"/>
      <c r="AE8" s="1260"/>
      <c r="AF8" s="1260"/>
      <c r="AG8" s="1260"/>
      <c r="AH8" s="1260"/>
      <c r="AI8" s="1260"/>
      <c r="AJ8" s="1260"/>
      <c r="AK8" s="1260"/>
      <c r="AL8" s="456"/>
    </row>
    <row r="9" spans="1:38">
      <c r="A9" s="205"/>
      <c r="B9" s="205"/>
      <c r="C9" s="206"/>
      <c r="D9" s="1260"/>
      <c r="E9" s="1260"/>
      <c r="F9" s="1260"/>
      <c r="G9" s="1260"/>
      <c r="H9" s="1260"/>
      <c r="I9" s="1260"/>
      <c r="J9" s="1260"/>
      <c r="K9" s="1260"/>
      <c r="L9" s="1260"/>
      <c r="M9" s="1260"/>
      <c r="N9" s="1260"/>
      <c r="O9" s="1260"/>
      <c r="P9" s="1260"/>
      <c r="Q9" s="1260"/>
      <c r="R9" s="1260"/>
      <c r="S9" s="1260"/>
      <c r="T9" s="1260"/>
      <c r="U9" s="1260"/>
      <c r="V9" s="1260"/>
      <c r="W9" s="1260"/>
      <c r="X9" s="1260"/>
      <c r="Y9" s="1260"/>
      <c r="Z9" s="1260"/>
      <c r="AA9" s="1260"/>
      <c r="AB9" s="1260"/>
      <c r="AC9" s="1260"/>
      <c r="AD9" s="1260"/>
      <c r="AE9" s="1260"/>
      <c r="AF9" s="1260"/>
      <c r="AG9" s="1260"/>
      <c r="AH9" s="1260"/>
      <c r="AI9" s="1260"/>
      <c r="AJ9" s="1260"/>
      <c r="AK9" s="1260"/>
      <c r="AL9" s="456"/>
    </row>
    <row r="10" spans="1:38">
      <c r="A10" s="205"/>
      <c r="B10" s="205"/>
      <c r="C10" s="206"/>
      <c r="D10" s="456"/>
      <c r="E10" s="456"/>
      <c r="F10" s="456"/>
      <c r="G10" s="456"/>
      <c r="H10" s="456"/>
      <c r="I10" s="456"/>
      <c r="J10" s="456"/>
      <c r="K10" s="456"/>
      <c r="L10" s="456"/>
      <c r="M10" s="456"/>
      <c r="N10" s="456"/>
      <c r="O10" s="456"/>
      <c r="P10" s="456"/>
      <c r="Q10" s="456"/>
      <c r="R10" s="456"/>
      <c r="S10" s="456"/>
      <c r="T10" s="456"/>
      <c r="U10" s="456"/>
      <c r="V10" s="456"/>
      <c r="W10" s="456"/>
      <c r="X10" s="456"/>
      <c r="Y10" s="456"/>
      <c r="Z10" s="456"/>
      <c r="AA10" s="456"/>
      <c r="AB10" s="456"/>
      <c r="AC10" s="456"/>
      <c r="AD10" s="456"/>
      <c r="AE10" s="456"/>
      <c r="AF10" s="456"/>
      <c r="AG10" s="456"/>
      <c r="AH10" s="456"/>
      <c r="AI10" s="456"/>
      <c r="AJ10" s="456"/>
      <c r="AK10" s="456"/>
      <c r="AL10" s="456"/>
    </row>
    <row r="11" spans="1:38" ht="12.95" customHeight="1">
      <c r="A11" s="205"/>
      <c r="B11" s="205"/>
      <c r="C11" s="206"/>
      <c r="D11" s="1260" t="s">
        <v>2036</v>
      </c>
      <c r="E11" s="1260"/>
      <c r="F11" s="1260"/>
      <c r="G11" s="1260"/>
      <c r="H11" s="1260"/>
      <c r="I11" s="1260"/>
      <c r="J11" s="1260"/>
      <c r="K11" s="1260"/>
      <c r="L11" s="1260"/>
      <c r="M11" s="1260"/>
      <c r="N11" s="1260"/>
      <c r="O11" s="1260"/>
      <c r="P11" s="1260"/>
      <c r="Q11" s="1260"/>
      <c r="R11" s="1260"/>
      <c r="S11" s="1260"/>
      <c r="T11" s="1260"/>
      <c r="U11" s="1260"/>
      <c r="V11" s="1260"/>
      <c r="W11" s="1260"/>
      <c r="X11" s="1260"/>
      <c r="Y11" s="1260"/>
      <c r="Z11" s="1260"/>
      <c r="AA11" s="1260"/>
      <c r="AB11" s="1260"/>
      <c r="AC11" s="1260"/>
      <c r="AD11" s="1260"/>
      <c r="AE11" s="1260"/>
      <c r="AF11" s="1260"/>
      <c r="AG11" s="1260"/>
      <c r="AH11" s="1260"/>
      <c r="AI11" s="1260"/>
      <c r="AJ11" s="1260"/>
      <c r="AK11" s="1260"/>
      <c r="AL11" s="456"/>
    </row>
    <row r="12" spans="1:38">
      <c r="A12" s="205"/>
      <c r="B12" s="205"/>
      <c r="C12" s="206"/>
      <c r="D12" s="1260"/>
      <c r="E12" s="1260"/>
      <c r="F12" s="1260"/>
      <c r="G12" s="1260"/>
      <c r="H12" s="1260"/>
      <c r="I12" s="1260"/>
      <c r="J12" s="1260"/>
      <c r="K12" s="1260"/>
      <c r="L12" s="1260"/>
      <c r="M12" s="1260"/>
      <c r="N12" s="1260"/>
      <c r="O12" s="1260"/>
      <c r="P12" s="1260"/>
      <c r="Q12" s="1260"/>
      <c r="R12" s="1260"/>
      <c r="S12" s="1260"/>
      <c r="T12" s="1260"/>
      <c r="U12" s="1260"/>
      <c r="V12" s="1260"/>
      <c r="W12" s="1260"/>
      <c r="X12" s="1260"/>
      <c r="Y12" s="1260"/>
      <c r="Z12" s="1260"/>
      <c r="AA12" s="1260"/>
      <c r="AB12" s="1260"/>
      <c r="AC12" s="1260"/>
      <c r="AD12" s="1260"/>
      <c r="AE12" s="1260"/>
      <c r="AF12" s="1260"/>
      <c r="AG12" s="1260"/>
      <c r="AH12" s="1260"/>
      <c r="AI12" s="1260"/>
      <c r="AJ12" s="1260"/>
      <c r="AK12" s="1260"/>
      <c r="AL12" s="456"/>
    </row>
    <row r="13" spans="1:38">
      <c r="A13" s="205"/>
      <c r="B13" s="205"/>
      <c r="C13" s="206"/>
      <c r="D13" s="1260"/>
      <c r="E13" s="1260"/>
      <c r="F13" s="1260"/>
      <c r="G13" s="1260"/>
      <c r="H13" s="1260"/>
      <c r="I13" s="1260"/>
      <c r="J13" s="1260"/>
      <c r="K13" s="1260"/>
      <c r="L13" s="1260"/>
      <c r="M13" s="1260"/>
      <c r="N13" s="1260"/>
      <c r="O13" s="1260"/>
      <c r="P13" s="1260"/>
      <c r="Q13" s="1260"/>
      <c r="R13" s="1260"/>
      <c r="S13" s="1260"/>
      <c r="T13" s="1260"/>
      <c r="U13" s="1260"/>
      <c r="V13" s="1260"/>
      <c r="W13" s="1260"/>
      <c r="X13" s="1260"/>
      <c r="Y13" s="1260"/>
      <c r="Z13" s="1260"/>
      <c r="AA13" s="1260"/>
      <c r="AB13" s="1260"/>
      <c r="AC13" s="1260"/>
      <c r="AD13" s="1260"/>
      <c r="AE13" s="1260"/>
      <c r="AF13" s="1260"/>
      <c r="AG13" s="1260"/>
      <c r="AH13" s="1260"/>
      <c r="AI13" s="1260"/>
      <c r="AJ13" s="1260"/>
      <c r="AK13" s="1260"/>
      <c r="AL13" s="456"/>
    </row>
    <row r="14" spans="1:38">
      <c r="A14" s="205"/>
      <c r="B14" s="205"/>
      <c r="C14" s="206"/>
      <c r="D14" s="442"/>
      <c r="E14" s="442"/>
      <c r="F14" s="442"/>
      <c r="G14" s="442"/>
      <c r="H14" s="442"/>
      <c r="I14" s="442"/>
      <c r="J14" s="442"/>
      <c r="K14" s="442"/>
      <c r="L14" s="442"/>
      <c r="M14" s="442"/>
      <c r="N14" s="442"/>
      <c r="O14" s="442"/>
      <c r="P14" s="442"/>
      <c r="Q14" s="442"/>
      <c r="R14" s="442"/>
      <c r="S14" s="442"/>
      <c r="T14" s="442"/>
      <c r="U14" s="442"/>
      <c r="V14" s="442"/>
      <c r="W14" s="442"/>
      <c r="X14" s="442"/>
      <c r="Y14" s="442"/>
      <c r="Z14" s="442"/>
      <c r="AA14" s="442"/>
      <c r="AB14" s="442"/>
      <c r="AC14" s="442"/>
      <c r="AD14" s="442"/>
      <c r="AE14" s="442"/>
      <c r="AF14" s="442"/>
      <c r="AG14" s="442"/>
      <c r="AH14" s="442"/>
      <c r="AI14" s="442"/>
      <c r="AJ14" s="442"/>
      <c r="AK14" s="442"/>
      <c r="AL14" s="456"/>
    </row>
    <row r="15" spans="1:38" ht="13.15" customHeight="1">
      <c r="A15" s="205"/>
      <c r="B15" s="205"/>
      <c r="C15" s="206"/>
      <c r="D15" s="1260" t="s">
        <v>2607</v>
      </c>
      <c r="E15" s="1260"/>
      <c r="F15" s="1260"/>
      <c r="G15" s="1260"/>
      <c r="H15" s="1260"/>
      <c r="I15" s="1260"/>
      <c r="J15" s="1260"/>
      <c r="K15" s="1260"/>
      <c r="L15" s="1260"/>
      <c r="M15" s="1260"/>
      <c r="N15" s="1260"/>
      <c r="O15" s="1260"/>
      <c r="P15" s="1260"/>
      <c r="Q15" s="1260"/>
      <c r="R15" s="1260"/>
      <c r="S15" s="1260"/>
      <c r="T15" s="1260"/>
      <c r="U15" s="1260"/>
      <c r="V15" s="1260"/>
      <c r="W15" s="1260"/>
      <c r="X15" s="1260"/>
      <c r="Y15" s="1260"/>
      <c r="Z15" s="1260"/>
      <c r="AA15" s="1260"/>
      <c r="AB15" s="1260"/>
      <c r="AC15" s="1260"/>
      <c r="AD15" s="1260"/>
      <c r="AE15" s="1260"/>
      <c r="AF15" s="1260"/>
      <c r="AG15" s="1260"/>
      <c r="AH15" s="1260"/>
      <c r="AI15" s="1260"/>
      <c r="AJ15" s="1260"/>
      <c r="AK15" s="1260"/>
      <c r="AL15" s="456"/>
    </row>
    <row r="16" spans="1:38" ht="13.15" customHeight="1">
      <c r="A16" s="205"/>
      <c r="B16" s="205"/>
      <c r="C16" s="206"/>
      <c r="D16" s="1260"/>
      <c r="E16" s="1260"/>
      <c r="F16" s="1260"/>
      <c r="G16" s="1260"/>
      <c r="H16" s="1260"/>
      <c r="I16" s="1260"/>
      <c r="J16" s="1260"/>
      <c r="K16" s="1260"/>
      <c r="L16" s="1260"/>
      <c r="M16" s="1260"/>
      <c r="N16" s="1260"/>
      <c r="O16" s="1260"/>
      <c r="P16" s="1260"/>
      <c r="Q16" s="1260"/>
      <c r="R16" s="1260"/>
      <c r="S16" s="1260"/>
      <c r="T16" s="1260"/>
      <c r="U16" s="1260"/>
      <c r="V16" s="1260"/>
      <c r="W16" s="1260"/>
      <c r="X16" s="1260"/>
      <c r="Y16" s="1260"/>
      <c r="Z16" s="1260"/>
      <c r="AA16" s="1260"/>
      <c r="AB16" s="1260"/>
      <c r="AC16" s="1260"/>
      <c r="AD16" s="1260"/>
      <c r="AE16" s="1260"/>
      <c r="AF16" s="1260"/>
      <c r="AG16" s="1260"/>
      <c r="AH16" s="1260"/>
      <c r="AI16" s="1260"/>
      <c r="AJ16" s="1260"/>
      <c r="AK16" s="1260"/>
      <c r="AL16" s="456"/>
    </row>
    <row r="17" spans="1:38">
      <c r="A17" s="205"/>
      <c r="B17" s="205"/>
      <c r="C17" s="206"/>
      <c r="D17" s="1260"/>
      <c r="E17" s="1260"/>
      <c r="F17" s="1260"/>
      <c r="G17" s="1260"/>
      <c r="H17" s="1260"/>
      <c r="I17" s="1260"/>
      <c r="J17" s="1260"/>
      <c r="K17" s="1260"/>
      <c r="L17" s="1260"/>
      <c r="M17" s="1260"/>
      <c r="N17" s="1260"/>
      <c r="O17" s="1260"/>
      <c r="P17" s="1260"/>
      <c r="Q17" s="1260"/>
      <c r="R17" s="1260"/>
      <c r="S17" s="1260"/>
      <c r="T17" s="1260"/>
      <c r="U17" s="1260"/>
      <c r="V17" s="1260"/>
      <c r="W17" s="1260"/>
      <c r="X17" s="1260"/>
      <c r="Y17" s="1260"/>
      <c r="Z17" s="1260"/>
      <c r="AA17" s="1260"/>
      <c r="AB17" s="1260"/>
      <c r="AC17" s="1260"/>
      <c r="AD17" s="1260"/>
      <c r="AE17" s="1260"/>
      <c r="AF17" s="1260"/>
      <c r="AG17" s="1260"/>
      <c r="AH17" s="1260"/>
      <c r="AI17" s="1260"/>
      <c r="AJ17" s="1260"/>
      <c r="AK17" s="1260"/>
      <c r="AL17" s="456"/>
    </row>
    <row r="18" spans="1:38">
      <c r="A18" s="205"/>
      <c r="B18" s="205"/>
      <c r="C18" s="206"/>
      <c r="D18" s="520" t="s">
        <v>2606</v>
      </c>
      <c r="E18" s="442"/>
      <c r="G18" s="442"/>
      <c r="H18" s="442"/>
      <c r="I18" s="442"/>
      <c r="J18" s="1262" t="s">
        <v>2605</v>
      </c>
      <c r="K18" s="1262"/>
      <c r="L18" s="1262"/>
      <c r="M18" s="1262"/>
      <c r="N18" s="1262"/>
      <c r="O18" s="1262"/>
      <c r="P18" s="1262"/>
      <c r="Q18" s="1262"/>
      <c r="R18" s="1262"/>
      <c r="S18" s="1262"/>
      <c r="T18" s="1262"/>
      <c r="U18" s="1262"/>
      <c r="V18" s="1262"/>
      <c r="W18" s="1262"/>
      <c r="X18" s="1262"/>
      <c r="Y18" s="1262"/>
      <c r="Z18" s="1262"/>
      <c r="AA18" s="1262"/>
      <c r="AB18" s="1262"/>
      <c r="AC18" s="1262"/>
      <c r="AD18" s="1262"/>
      <c r="AE18" s="1262"/>
      <c r="AF18" s="1262"/>
      <c r="AG18" s="1262"/>
      <c r="AH18" s="1262"/>
      <c r="AI18" s="1262"/>
      <c r="AJ18" s="1262"/>
      <c r="AK18" s="1262"/>
      <c r="AL18" s="456"/>
    </row>
    <row r="19" spans="1:38">
      <c r="A19" s="205"/>
      <c r="B19" s="205"/>
      <c r="C19" s="206"/>
      <c r="D19" s="442"/>
      <c r="E19" s="442"/>
      <c r="F19" s="1257"/>
      <c r="G19" s="442"/>
      <c r="H19" s="442"/>
      <c r="I19" s="442"/>
      <c r="J19" s="442"/>
      <c r="K19" s="442"/>
      <c r="L19" s="442"/>
      <c r="M19" s="442"/>
      <c r="N19" s="442"/>
      <c r="O19" s="442"/>
      <c r="P19" s="442"/>
      <c r="Q19" s="442"/>
      <c r="R19" s="442"/>
      <c r="S19" s="442"/>
      <c r="T19" s="442"/>
      <c r="U19" s="442"/>
      <c r="V19" s="442"/>
      <c r="W19" s="442"/>
      <c r="X19" s="442"/>
      <c r="Y19" s="442"/>
      <c r="Z19" s="442"/>
      <c r="AA19" s="442"/>
      <c r="AB19" s="442"/>
      <c r="AC19" s="442"/>
      <c r="AD19" s="442"/>
      <c r="AE19" s="442"/>
      <c r="AF19" s="442"/>
      <c r="AG19" s="442"/>
      <c r="AH19" s="442"/>
      <c r="AI19" s="442"/>
      <c r="AJ19" s="442"/>
      <c r="AK19" s="442"/>
      <c r="AL19" s="456"/>
    </row>
    <row r="20" spans="1:38" ht="13.15" customHeight="1">
      <c r="A20" s="205"/>
      <c r="B20" s="205"/>
      <c r="C20" s="206"/>
      <c r="D20" s="1260" t="s">
        <v>2037</v>
      </c>
      <c r="E20" s="1260"/>
      <c r="F20" s="1260"/>
      <c r="G20" s="1260"/>
      <c r="H20" s="1260"/>
      <c r="I20" s="1260"/>
      <c r="J20" s="1260"/>
      <c r="K20" s="1260"/>
      <c r="L20" s="1260"/>
      <c r="M20" s="1260"/>
      <c r="N20" s="1260"/>
      <c r="O20" s="1260"/>
      <c r="P20" s="1260"/>
      <c r="Q20" s="1260"/>
      <c r="R20" s="1260"/>
      <c r="S20" s="1260"/>
      <c r="T20" s="1260"/>
      <c r="U20" s="1260"/>
      <c r="V20" s="1260"/>
      <c r="W20" s="1260"/>
      <c r="X20" s="1260"/>
      <c r="Y20" s="1260"/>
      <c r="Z20" s="1260"/>
      <c r="AA20" s="1260"/>
      <c r="AB20" s="1260"/>
      <c r="AC20" s="1260"/>
      <c r="AD20" s="1260"/>
      <c r="AE20" s="1260"/>
      <c r="AF20" s="1260"/>
      <c r="AG20" s="1260"/>
      <c r="AH20" s="1260"/>
      <c r="AI20" s="1260"/>
      <c r="AJ20" s="1260"/>
      <c r="AK20" s="1260"/>
      <c r="AL20" s="205"/>
    </row>
    <row r="21" spans="1:38">
      <c r="A21" s="205"/>
      <c r="B21" s="205"/>
      <c r="C21" s="206"/>
      <c r="D21" s="1260"/>
      <c r="E21" s="1260"/>
      <c r="F21" s="1260"/>
      <c r="G21" s="1260"/>
      <c r="H21" s="1260"/>
      <c r="I21" s="1260"/>
      <c r="J21" s="1260"/>
      <c r="K21" s="1260"/>
      <c r="L21" s="1260"/>
      <c r="M21" s="1260"/>
      <c r="N21" s="1260"/>
      <c r="O21" s="1260"/>
      <c r="P21" s="1260"/>
      <c r="Q21" s="1260"/>
      <c r="R21" s="1260"/>
      <c r="S21" s="1260"/>
      <c r="T21" s="1260"/>
      <c r="U21" s="1260"/>
      <c r="V21" s="1260"/>
      <c r="W21" s="1260"/>
      <c r="X21" s="1260"/>
      <c r="Y21" s="1260"/>
      <c r="Z21" s="1260"/>
      <c r="AA21" s="1260"/>
      <c r="AB21" s="1260"/>
      <c r="AC21" s="1260"/>
      <c r="AD21" s="1260"/>
      <c r="AE21" s="1260"/>
      <c r="AF21" s="1260"/>
      <c r="AG21" s="1260"/>
      <c r="AH21" s="1260"/>
      <c r="AI21" s="1260"/>
      <c r="AJ21" s="1260"/>
      <c r="AK21" s="1260"/>
      <c r="AL21" s="205"/>
    </row>
    <row r="22" spans="1:38">
      <c r="A22" s="205"/>
      <c r="B22" s="205"/>
      <c r="C22" s="206"/>
      <c r="D22" s="1260"/>
      <c r="E22" s="1260"/>
      <c r="F22" s="1260"/>
      <c r="G22" s="1260"/>
      <c r="H22" s="1260"/>
      <c r="I22" s="1260"/>
      <c r="J22" s="1260"/>
      <c r="K22" s="1260"/>
      <c r="L22" s="1260"/>
      <c r="M22" s="1260"/>
      <c r="N22" s="1260"/>
      <c r="O22" s="1260"/>
      <c r="P22" s="1260"/>
      <c r="Q22" s="1260"/>
      <c r="R22" s="1260"/>
      <c r="S22" s="1260"/>
      <c r="T22" s="1260"/>
      <c r="U22" s="1260"/>
      <c r="V22" s="1260"/>
      <c r="W22" s="1260"/>
      <c r="X22" s="1260"/>
      <c r="Y22" s="1260"/>
      <c r="Z22" s="1260"/>
      <c r="AA22" s="1260"/>
      <c r="AB22" s="1260"/>
      <c r="AC22" s="1260"/>
      <c r="AD22" s="1260"/>
      <c r="AE22" s="1260"/>
      <c r="AF22" s="1260"/>
      <c r="AG22" s="1260"/>
      <c r="AH22" s="1260"/>
      <c r="AI22" s="1260"/>
      <c r="AJ22" s="1260"/>
      <c r="AK22" s="1260"/>
      <c r="AL22" s="205"/>
    </row>
    <row r="23" spans="1:38" ht="13.15" customHeight="1">
      <c r="A23" s="205"/>
      <c r="B23" s="205"/>
      <c r="C23" s="206"/>
      <c r="D23" s="1260"/>
      <c r="E23" s="1260"/>
      <c r="F23" s="1260"/>
      <c r="G23" s="1260"/>
      <c r="H23" s="1260"/>
      <c r="I23" s="1260"/>
      <c r="J23" s="1260"/>
      <c r="K23" s="1260"/>
      <c r="L23" s="1260"/>
      <c r="M23" s="1260"/>
      <c r="N23" s="1260"/>
      <c r="O23" s="1260"/>
      <c r="P23" s="1260"/>
      <c r="Q23" s="1260"/>
      <c r="R23" s="1260"/>
      <c r="S23" s="1260"/>
      <c r="T23" s="1260"/>
      <c r="U23" s="1260"/>
      <c r="V23" s="1260"/>
      <c r="W23" s="1260"/>
      <c r="X23" s="1260"/>
      <c r="Y23" s="1260"/>
      <c r="Z23" s="1260"/>
      <c r="AA23" s="1260"/>
      <c r="AB23" s="1260"/>
      <c r="AC23" s="1260"/>
      <c r="AD23" s="1260"/>
      <c r="AE23" s="1260"/>
      <c r="AF23" s="1260"/>
      <c r="AG23" s="1260"/>
      <c r="AH23" s="1260"/>
      <c r="AI23" s="1260"/>
      <c r="AJ23" s="1260"/>
      <c r="AK23" s="1260"/>
      <c r="AL23" s="205"/>
    </row>
    <row r="24" spans="1:38">
      <c r="A24" s="205"/>
      <c r="B24" s="205"/>
      <c r="C24" s="206"/>
      <c r="D24" s="1260"/>
      <c r="E24" s="1260"/>
      <c r="F24" s="1260"/>
      <c r="G24" s="1260"/>
      <c r="H24" s="1260"/>
      <c r="I24" s="1260"/>
      <c r="J24" s="1260"/>
      <c r="K24" s="1260"/>
      <c r="L24" s="1260"/>
      <c r="M24" s="1260"/>
      <c r="N24" s="1260"/>
      <c r="O24" s="1260"/>
      <c r="P24" s="1260"/>
      <c r="Q24" s="1260"/>
      <c r="R24" s="1260"/>
      <c r="S24" s="1260"/>
      <c r="T24" s="1260"/>
      <c r="U24" s="1260"/>
      <c r="V24" s="1260"/>
      <c r="W24" s="1260"/>
      <c r="X24" s="1260"/>
      <c r="Y24" s="1260"/>
      <c r="Z24" s="1260"/>
      <c r="AA24" s="1260"/>
      <c r="AB24" s="1260"/>
      <c r="AC24" s="1260"/>
      <c r="AD24" s="1260"/>
      <c r="AE24" s="1260"/>
      <c r="AF24" s="1260"/>
      <c r="AG24" s="1260"/>
      <c r="AH24" s="1260"/>
      <c r="AI24" s="1260"/>
      <c r="AJ24" s="1260"/>
      <c r="AK24" s="1260"/>
      <c r="AL24" s="205"/>
    </row>
    <row r="25" spans="1:38">
      <c r="A25" s="205"/>
      <c r="B25" s="205"/>
      <c r="C25" s="206"/>
      <c r="D25" s="1260"/>
      <c r="E25" s="1260"/>
      <c r="F25" s="1260"/>
      <c r="G25" s="1260"/>
      <c r="H25" s="1260"/>
      <c r="I25" s="1260"/>
      <c r="J25" s="1260"/>
      <c r="K25" s="1260"/>
      <c r="L25" s="1260"/>
      <c r="M25" s="1260"/>
      <c r="N25" s="1260"/>
      <c r="O25" s="1260"/>
      <c r="P25" s="1260"/>
      <c r="Q25" s="1260"/>
      <c r="R25" s="1260"/>
      <c r="S25" s="1260"/>
      <c r="T25" s="1260"/>
      <c r="U25" s="1260"/>
      <c r="V25" s="1260"/>
      <c r="W25" s="1260"/>
      <c r="X25" s="1260"/>
      <c r="Y25" s="1260"/>
      <c r="Z25" s="1260"/>
      <c r="AA25" s="1260"/>
      <c r="AB25" s="1260"/>
      <c r="AC25" s="1260"/>
      <c r="AD25" s="1260"/>
      <c r="AE25" s="1260"/>
      <c r="AF25" s="1260"/>
      <c r="AG25" s="1260"/>
      <c r="AH25" s="1260"/>
      <c r="AI25" s="1260"/>
      <c r="AJ25" s="1260"/>
      <c r="AK25" s="1260"/>
      <c r="AL25" s="205"/>
    </row>
    <row r="26" spans="1:38">
      <c r="A26" s="205"/>
      <c r="B26" s="205"/>
      <c r="C26" s="206"/>
      <c r="D26" s="1260"/>
      <c r="E26" s="1260"/>
      <c r="F26" s="1260"/>
      <c r="G26" s="1260"/>
      <c r="H26" s="1260"/>
      <c r="I26" s="1260"/>
      <c r="J26" s="1260"/>
      <c r="K26" s="1260"/>
      <c r="L26" s="1260"/>
      <c r="M26" s="1260"/>
      <c r="N26" s="1260"/>
      <c r="O26" s="1260"/>
      <c r="P26" s="1260"/>
      <c r="Q26" s="1260"/>
      <c r="R26" s="1260"/>
      <c r="S26" s="1260"/>
      <c r="T26" s="1260"/>
      <c r="U26" s="1260"/>
      <c r="V26" s="1260"/>
      <c r="W26" s="1260"/>
      <c r="X26" s="1260"/>
      <c r="Y26" s="1260"/>
      <c r="Z26" s="1260"/>
      <c r="AA26" s="1260"/>
      <c r="AB26" s="1260"/>
      <c r="AC26" s="1260"/>
      <c r="AD26" s="1260"/>
      <c r="AE26" s="1260"/>
      <c r="AF26" s="1260"/>
      <c r="AG26" s="1260"/>
      <c r="AH26" s="1260"/>
      <c r="AI26" s="1260"/>
      <c r="AJ26" s="1260"/>
      <c r="AK26" s="1260"/>
      <c r="AL26" s="205"/>
    </row>
    <row r="27" spans="1:38">
      <c r="A27" s="205"/>
      <c r="B27" s="205"/>
      <c r="C27" s="206"/>
      <c r="D27" s="1260"/>
      <c r="E27" s="1260"/>
      <c r="F27" s="1260"/>
      <c r="G27" s="1260"/>
      <c r="H27" s="1260"/>
      <c r="I27" s="1260"/>
      <c r="J27" s="1260"/>
      <c r="K27" s="1260"/>
      <c r="L27" s="1260"/>
      <c r="M27" s="1260"/>
      <c r="N27" s="1260"/>
      <c r="O27" s="1260"/>
      <c r="P27" s="1260"/>
      <c r="Q27" s="1260"/>
      <c r="R27" s="1260"/>
      <c r="S27" s="1260"/>
      <c r="T27" s="1260"/>
      <c r="U27" s="1260"/>
      <c r="V27" s="1260"/>
      <c r="W27" s="1260"/>
      <c r="X27" s="1260"/>
      <c r="Y27" s="1260"/>
      <c r="Z27" s="1260"/>
      <c r="AA27" s="1260"/>
      <c r="AB27" s="1260"/>
      <c r="AC27" s="1260"/>
      <c r="AD27" s="1260"/>
      <c r="AE27" s="1260"/>
      <c r="AF27" s="1260"/>
      <c r="AG27" s="1260"/>
      <c r="AH27" s="1260"/>
      <c r="AI27" s="1260"/>
      <c r="AJ27" s="1260"/>
      <c r="AK27" s="1260"/>
      <c r="AL27" s="205"/>
    </row>
    <row r="28" spans="1:38">
      <c r="A28" s="205"/>
      <c r="B28" s="205"/>
      <c r="C28" s="206"/>
      <c r="D28" s="1260"/>
      <c r="E28" s="1260"/>
      <c r="F28" s="1260"/>
      <c r="G28" s="1260"/>
      <c r="H28" s="1260"/>
      <c r="I28" s="1260"/>
      <c r="J28" s="1260"/>
      <c r="K28" s="1260"/>
      <c r="L28" s="1260"/>
      <c r="M28" s="1260"/>
      <c r="N28" s="1260"/>
      <c r="O28" s="1260"/>
      <c r="P28" s="1260"/>
      <c r="Q28" s="1260"/>
      <c r="R28" s="1260"/>
      <c r="S28" s="1260"/>
      <c r="T28" s="1260"/>
      <c r="U28" s="1260"/>
      <c r="V28" s="1260"/>
      <c r="W28" s="1260"/>
      <c r="X28" s="1260"/>
      <c r="Y28" s="1260"/>
      <c r="Z28" s="1260"/>
      <c r="AA28" s="1260"/>
      <c r="AB28" s="1260"/>
      <c r="AC28" s="1260"/>
      <c r="AD28" s="1260"/>
      <c r="AE28" s="1260"/>
      <c r="AF28" s="1260"/>
      <c r="AG28" s="1260"/>
      <c r="AH28" s="1260"/>
      <c r="AI28" s="1260"/>
      <c r="AJ28" s="1260"/>
      <c r="AK28" s="1260"/>
      <c r="AL28" s="205"/>
    </row>
    <row r="29" spans="1:38">
      <c r="A29" s="205"/>
      <c r="B29" s="205"/>
      <c r="C29" s="206"/>
      <c r="D29" s="442"/>
      <c r="E29" s="442"/>
      <c r="F29" s="442"/>
      <c r="G29" s="442"/>
      <c r="H29" s="442"/>
      <c r="I29" s="442"/>
      <c r="J29" s="442"/>
      <c r="K29" s="442"/>
      <c r="L29" s="442"/>
      <c r="M29" s="442"/>
      <c r="N29" s="442"/>
      <c r="O29" s="442"/>
      <c r="P29" s="442"/>
      <c r="Q29" s="442"/>
      <c r="R29" s="442"/>
      <c r="S29" s="442"/>
      <c r="T29" s="442"/>
      <c r="U29" s="442"/>
      <c r="V29" s="442"/>
      <c r="W29" s="442"/>
      <c r="X29" s="442"/>
      <c r="Y29" s="442"/>
      <c r="Z29" s="442"/>
      <c r="AA29" s="442"/>
      <c r="AB29" s="442"/>
      <c r="AC29" s="442"/>
      <c r="AD29" s="442"/>
      <c r="AE29" s="442"/>
      <c r="AF29" s="442"/>
      <c r="AG29" s="442"/>
      <c r="AH29" s="442"/>
      <c r="AI29" s="442"/>
      <c r="AJ29" s="442"/>
      <c r="AK29" s="442"/>
      <c r="AL29" s="205"/>
    </row>
    <row r="30" spans="1:38" ht="13.15" customHeight="1">
      <c r="A30" s="205"/>
      <c r="B30" s="205"/>
      <c r="C30" s="206"/>
      <c r="D30" s="1260" t="s">
        <v>2038</v>
      </c>
      <c r="E30" s="1260"/>
      <c r="F30" s="1260"/>
      <c r="G30" s="1260"/>
      <c r="H30" s="1260"/>
      <c r="I30" s="1260"/>
      <c r="J30" s="1260"/>
      <c r="K30" s="1260"/>
      <c r="L30" s="1260"/>
      <c r="M30" s="1260"/>
      <c r="N30" s="1260"/>
      <c r="O30" s="1260"/>
      <c r="P30" s="1260"/>
      <c r="Q30" s="1260"/>
      <c r="R30" s="1260"/>
      <c r="S30" s="1260"/>
      <c r="T30" s="1260"/>
      <c r="U30" s="1260"/>
      <c r="V30" s="1260"/>
      <c r="W30" s="1260"/>
      <c r="X30" s="1260"/>
      <c r="Y30" s="1260"/>
      <c r="Z30" s="1260"/>
      <c r="AA30" s="1260"/>
      <c r="AB30" s="1260"/>
      <c r="AC30" s="1260"/>
      <c r="AD30" s="1260"/>
      <c r="AE30" s="1260"/>
      <c r="AF30" s="1260"/>
      <c r="AG30" s="1260"/>
      <c r="AH30" s="1260"/>
      <c r="AI30" s="1260"/>
      <c r="AJ30" s="1260"/>
      <c r="AK30" s="1260"/>
      <c r="AL30" s="205"/>
    </row>
    <row r="31" spans="1:38">
      <c r="A31" s="205"/>
      <c r="B31" s="205"/>
      <c r="C31" s="206"/>
      <c r="D31" s="456"/>
      <c r="E31" s="1268" t="s">
        <v>2520</v>
      </c>
      <c r="F31" s="1269"/>
      <c r="G31" s="1269"/>
      <c r="H31" s="1269"/>
      <c r="I31" s="1269"/>
      <c r="J31" s="1269"/>
      <c r="K31" s="1269"/>
      <c r="L31" s="1269"/>
      <c r="M31" s="1269"/>
      <c r="N31" s="1269"/>
      <c r="O31" s="1269"/>
      <c r="P31" s="1269"/>
      <c r="Q31" s="1269"/>
      <c r="R31" s="1269"/>
      <c r="S31" s="1269"/>
      <c r="T31" s="1269"/>
      <c r="U31" s="1269"/>
      <c r="V31" s="1269"/>
      <c r="W31" s="1269"/>
      <c r="X31" s="1269"/>
      <c r="Y31" s="1269"/>
      <c r="Z31" s="1269"/>
      <c r="AA31" s="1269"/>
      <c r="AB31" s="1269"/>
      <c r="AC31" s="1269"/>
      <c r="AD31" s="1269"/>
      <c r="AE31" s="1269"/>
      <c r="AF31" s="1269"/>
      <c r="AG31" s="1269"/>
      <c r="AH31" s="1269"/>
      <c r="AI31" s="1269"/>
      <c r="AJ31" s="1269"/>
      <c r="AK31" s="1269"/>
      <c r="AL31" s="205"/>
    </row>
    <row r="32" spans="1:38">
      <c r="A32" s="4"/>
      <c r="C32" s="2"/>
    </row>
    <row r="33" spans="1:38">
      <c r="A33" s="4"/>
      <c r="D33" s="1261" t="s">
        <v>2142</v>
      </c>
      <c r="E33" s="1261"/>
      <c r="F33" s="1261"/>
      <c r="G33" s="1261"/>
      <c r="H33" s="1261"/>
      <c r="I33" s="1261"/>
      <c r="J33" s="1261"/>
      <c r="K33" s="1261"/>
      <c r="L33" s="1261"/>
      <c r="M33" s="1261"/>
      <c r="N33" s="1261"/>
      <c r="O33" s="1261"/>
      <c r="P33" s="1261"/>
      <c r="Q33" s="1261"/>
      <c r="R33" s="1261"/>
      <c r="S33" s="1261"/>
      <c r="T33" s="1261"/>
      <c r="U33" s="1261"/>
      <c r="V33" s="1261"/>
      <c r="W33" s="1261"/>
      <c r="X33" s="1261"/>
      <c r="Y33" s="1261"/>
      <c r="Z33" s="1261"/>
      <c r="AA33" s="1261"/>
      <c r="AB33" s="1261"/>
      <c r="AC33" s="1261"/>
      <c r="AD33" s="1261"/>
      <c r="AE33" s="1261"/>
      <c r="AF33" s="1261"/>
      <c r="AG33" s="1261"/>
      <c r="AH33" s="1261"/>
      <c r="AI33" s="1261"/>
      <c r="AJ33" s="1261"/>
      <c r="AK33" s="1261"/>
    </row>
    <row r="34" spans="1:38">
      <c r="A34" s="4"/>
      <c r="D34" s="1261"/>
      <c r="E34" s="1261"/>
      <c r="F34" s="1261"/>
      <c r="G34" s="1261"/>
      <c r="H34" s="1261"/>
      <c r="I34" s="1261"/>
      <c r="J34" s="1261"/>
      <c r="K34" s="1261"/>
      <c r="L34" s="1261"/>
      <c r="M34" s="1261"/>
      <c r="N34" s="1261"/>
      <c r="O34" s="1261"/>
      <c r="P34" s="1261"/>
      <c r="Q34" s="1261"/>
      <c r="R34" s="1261"/>
      <c r="S34" s="1261"/>
      <c r="T34" s="1261"/>
      <c r="U34" s="1261"/>
      <c r="V34" s="1261"/>
      <c r="W34" s="1261"/>
      <c r="X34" s="1261"/>
      <c r="Y34" s="1261"/>
      <c r="Z34" s="1261"/>
      <c r="AA34" s="1261"/>
      <c r="AB34" s="1261"/>
      <c r="AC34" s="1261"/>
      <c r="AD34" s="1261"/>
      <c r="AE34" s="1261"/>
      <c r="AF34" s="1261"/>
      <c r="AG34" s="1261"/>
      <c r="AH34" s="1261"/>
      <c r="AI34" s="1261"/>
      <c r="AJ34" s="1261"/>
      <c r="AK34" s="1261"/>
    </row>
    <row r="35" spans="1:38">
      <c r="A35" s="4"/>
      <c r="D35" s="120"/>
      <c r="E35" s="1267" t="s">
        <v>2045</v>
      </c>
      <c r="F35" s="1267"/>
      <c r="G35" s="1267"/>
      <c r="H35" s="1267"/>
      <c r="I35" s="1267"/>
      <c r="J35" s="1267"/>
      <c r="K35" s="1267"/>
      <c r="L35" s="1267"/>
      <c r="M35" s="1267"/>
      <c r="N35" s="1267"/>
      <c r="O35" s="1267"/>
      <c r="P35" s="1267"/>
      <c r="Q35" s="1267"/>
      <c r="R35" s="1267"/>
      <c r="S35" s="1267"/>
      <c r="T35" s="1267"/>
      <c r="U35" s="1267"/>
      <c r="V35" s="1267"/>
      <c r="W35" s="1267"/>
      <c r="X35" s="1267"/>
      <c r="Y35" s="1267"/>
      <c r="Z35" s="1267"/>
      <c r="AA35" s="1267"/>
      <c r="AB35" s="1267"/>
      <c r="AC35" s="1267"/>
      <c r="AD35" s="1267"/>
      <c r="AE35" s="1267"/>
      <c r="AF35" s="1267"/>
      <c r="AG35" s="1267"/>
      <c r="AH35" s="1267"/>
      <c r="AI35" s="1267"/>
      <c r="AJ35" s="1267"/>
      <c r="AK35" s="1267"/>
    </row>
    <row r="36" spans="1:38">
      <c r="A36" s="4"/>
      <c r="D36" s="120"/>
      <c r="E36" s="1267" t="s">
        <v>2046</v>
      </c>
      <c r="F36" s="1267"/>
      <c r="G36" s="1267"/>
      <c r="H36" s="1267"/>
      <c r="I36" s="1267"/>
      <c r="J36" s="1267"/>
      <c r="K36" s="1267"/>
      <c r="L36" s="1267"/>
      <c r="M36" s="1267"/>
      <c r="N36" s="1267"/>
      <c r="O36" s="1267"/>
      <c r="P36" s="1267"/>
      <c r="Q36" s="1267"/>
      <c r="R36" s="1267"/>
      <c r="S36" s="1267"/>
      <c r="T36" s="1267"/>
      <c r="U36" s="1267"/>
      <c r="V36" s="1267"/>
      <c r="W36" s="1267"/>
      <c r="X36" s="1267"/>
      <c r="Y36" s="1267"/>
      <c r="Z36" s="1267"/>
      <c r="AA36" s="1267"/>
      <c r="AB36" s="1267"/>
      <c r="AC36" s="1267"/>
      <c r="AD36" s="1267"/>
      <c r="AE36" s="1267"/>
      <c r="AF36" s="1267"/>
      <c r="AG36" s="1267"/>
      <c r="AH36" s="1267"/>
      <c r="AI36" s="1267"/>
      <c r="AJ36" s="1267"/>
      <c r="AK36" s="1267"/>
    </row>
    <row r="37" spans="1:38">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c r="A38" s="4"/>
      <c r="C38" s="2" t="s">
        <v>340</v>
      </c>
      <c r="D38" s="2" t="s">
        <v>737</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738</v>
      </c>
      <c r="F39" s="4"/>
      <c r="G39" s="4"/>
      <c r="H39" s="4"/>
      <c r="I39" s="4"/>
      <c r="J39" s="4"/>
      <c r="K39" s="4"/>
      <c r="L39" s="4"/>
      <c r="M39" s="4"/>
      <c r="N39" s="4"/>
      <c r="O39" s="4"/>
      <c r="P39" s="4"/>
      <c r="Q39" s="4"/>
      <c r="R39" s="4"/>
      <c r="S39" s="4"/>
      <c r="T39" s="4"/>
      <c r="U39" s="4"/>
      <c r="V39" s="4"/>
      <c r="W39" s="4"/>
      <c r="X39" s="4"/>
      <c r="Y39" s="4"/>
      <c r="Z39" s="4"/>
      <c r="AA39" s="4"/>
      <c r="AB39" s="4"/>
    </row>
    <row r="40" spans="1:38" s="1260" customFormat="1" ht="13.15" customHeight="1">
      <c r="A40" s="4"/>
      <c r="B40"/>
      <c r="C40" s="2"/>
      <c r="D40" s="4"/>
      <c r="E40" s="4" t="s">
        <v>653</v>
      </c>
      <c r="F40" s="1260" t="s">
        <v>1163</v>
      </c>
    </row>
    <row r="41" spans="1:38" s="1260" customFormat="1" ht="13.15" customHeight="1">
      <c r="A41" s="4"/>
      <c r="B41"/>
      <c r="C41" s="2"/>
      <c r="D41" s="4"/>
      <c r="E41" s="4"/>
    </row>
    <row r="42" spans="1:38">
      <c r="A42" s="4"/>
      <c r="C42" s="2"/>
      <c r="D42" s="4"/>
      <c r="E42" s="4"/>
      <c r="F42" s="35" t="s">
        <v>687</v>
      </c>
      <c r="G42" s="4" t="s">
        <v>175</v>
      </c>
      <c r="H42" s="456"/>
      <c r="I42" s="456"/>
      <c r="J42" s="456"/>
      <c r="K42" s="456"/>
      <c r="L42" s="456"/>
      <c r="M42" s="456"/>
      <c r="N42" s="456"/>
      <c r="O42" s="456"/>
      <c r="P42" s="456"/>
      <c r="Q42" s="456"/>
      <c r="R42" s="456"/>
      <c r="S42" s="456"/>
      <c r="T42" s="456"/>
      <c r="U42" s="456"/>
      <c r="V42" s="456"/>
      <c r="W42" s="456"/>
      <c r="X42" s="456"/>
      <c r="Y42" s="456"/>
      <c r="Z42" s="456"/>
      <c r="AA42" s="456"/>
      <c r="AB42" s="456"/>
      <c r="AC42" s="456"/>
      <c r="AD42" s="456"/>
      <c r="AE42" s="456"/>
      <c r="AF42" s="456"/>
      <c r="AG42" s="456"/>
      <c r="AH42" s="456"/>
      <c r="AI42" s="456"/>
      <c r="AJ42" s="456"/>
      <c r="AK42" s="456"/>
    </row>
    <row r="43" spans="1:38" s="118" customFormat="1" ht="13.15" customHeight="1">
      <c r="A43" s="4"/>
      <c r="B43"/>
      <c r="C43" s="2"/>
      <c r="D43" s="4"/>
      <c r="E43" s="3" t="s">
        <v>347</v>
      </c>
      <c r="F43" s="1265" t="s">
        <v>1245</v>
      </c>
      <c r="G43" s="1265"/>
      <c r="H43" s="1265"/>
      <c r="I43" s="1265"/>
      <c r="J43" s="1265"/>
      <c r="K43" s="1265"/>
      <c r="L43" s="1265"/>
      <c r="M43" s="1265"/>
      <c r="N43" s="1265"/>
      <c r="O43" s="1265"/>
      <c r="P43" s="1265"/>
      <c r="Q43" s="1265"/>
      <c r="R43" s="1265"/>
      <c r="S43" s="1265"/>
      <c r="T43" s="1265"/>
      <c r="U43" s="1265"/>
      <c r="V43" s="1265"/>
      <c r="W43" s="1265"/>
      <c r="X43" s="1265"/>
      <c r="Y43" s="1265"/>
      <c r="Z43" s="1265"/>
      <c r="AA43" s="1265"/>
      <c r="AB43" s="1265"/>
      <c r="AC43" s="1265"/>
      <c r="AD43" s="1265"/>
      <c r="AE43" s="1265"/>
      <c r="AF43" s="1265"/>
      <c r="AG43" s="1265"/>
      <c r="AH43" s="1265"/>
      <c r="AI43" s="1265"/>
      <c r="AJ43" s="1265"/>
      <c r="AK43" s="1265"/>
      <c r="AL43" s="1265"/>
    </row>
    <row r="44" spans="1:38" s="118" customFormat="1">
      <c r="A44" s="4"/>
      <c r="B44"/>
      <c r="C44" s="2"/>
      <c r="D44" s="4"/>
      <c r="E44" s="4"/>
      <c r="F44" s="1265"/>
      <c r="G44" s="1265"/>
      <c r="H44" s="1265"/>
      <c r="I44" s="1265"/>
      <c r="J44" s="1265"/>
      <c r="K44" s="1265"/>
      <c r="L44" s="1265"/>
      <c r="M44" s="1265"/>
      <c r="N44" s="1265"/>
      <c r="O44" s="1265"/>
      <c r="P44" s="1265"/>
      <c r="Q44" s="1265"/>
      <c r="R44" s="1265"/>
      <c r="S44" s="1265"/>
      <c r="T44" s="1265"/>
      <c r="U44" s="1265"/>
      <c r="V44" s="1265"/>
      <c r="W44" s="1265"/>
      <c r="X44" s="1265"/>
      <c r="Y44" s="1265"/>
      <c r="Z44" s="1265"/>
      <c r="AA44" s="1265"/>
      <c r="AB44" s="1265"/>
      <c r="AC44" s="1265"/>
      <c r="AD44" s="1265"/>
      <c r="AE44" s="1265"/>
      <c r="AF44" s="1265"/>
      <c r="AG44" s="1265"/>
      <c r="AH44" s="1265"/>
      <c r="AI44" s="1265"/>
      <c r="AJ44" s="1265"/>
      <c r="AK44" s="1265"/>
      <c r="AL44" s="1265"/>
    </row>
    <row r="45" spans="1:38" s="118" customFormat="1" ht="13.15" customHeight="1">
      <c r="A45" s="4"/>
      <c r="B45"/>
      <c r="C45" s="2"/>
      <c r="D45" s="4"/>
      <c r="E45" s="4"/>
      <c r="F45" s="1265"/>
      <c r="G45" s="1265"/>
      <c r="H45" s="1265"/>
      <c r="I45" s="1265"/>
      <c r="J45" s="1265"/>
      <c r="K45" s="1265"/>
      <c r="L45" s="1265"/>
      <c r="M45" s="1265"/>
      <c r="N45" s="1265"/>
      <c r="O45" s="1265"/>
      <c r="P45" s="1265"/>
      <c r="Q45" s="1265"/>
      <c r="R45" s="1265"/>
      <c r="S45" s="1265"/>
      <c r="T45" s="1265"/>
      <c r="U45" s="1265"/>
      <c r="V45" s="1265"/>
      <c r="W45" s="1265"/>
      <c r="X45" s="1265"/>
      <c r="Y45" s="1265"/>
      <c r="Z45" s="1265"/>
      <c r="AA45" s="1265"/>
      <c r="AB45" s="1265"/>
      <c r="AC45" s="1265"/>
      <c r="AD45" s="1265"/>
      <c r="AE45" s="1265"/>
      <c r="AF45" s="1265"/>
      <c r="AG45" s="1265"/>
      <c r="AH45" s="1265"/>
      <c r="AI45" s="1265"/>
      <c r="AJ45" s="1265"/>
      <c r="AK45" s="1265"/>
      <c r="AL45" s="1265"/>
    </row>
    <row r="46" spans="1:38">
      <c r="A46" s="4"/>
      <c r="C46" s="2"/>
      <c r="D46" s="4"/>
      <c r="E46" s="4"/>
      <c r="F46" s="118" t="s">
        <v>687</v>
      </c>
      <c r="G46" s="3" t="s">
        <v>2039</v>
      </c>
      <c r="H46" s="478"/>
      <c r="I46" s="478"/>
      <c r="J46" s="478"/>
      <c r="K46" s="478"/>
      <c r="L46" s="478"/>
      <c r="M46" s="478"/>
      <c r="N46" s="478"/>
      <c r="O46" s="478"/>
      <c r="P46" s="478"/>
      <c r="Q46" s="478"/>
      <c r="R46" s="478"/>
      <c r="S46" s="478"/>
      <c r="T46" s="478"/>
      <c r="U46" s="478"/>
      <c r="V46" s="478"/>
      <c r="W46" s="478"/>
      <c r="X46" s="478"/>
      <c r="Y46" s="478"/>
      <c r="Z46" s="478"/>
      <c r="AA46" s="478"/>
      <c r="AB46" s="478"/>
      <c r="AC46" s="478"/>
      <c r="AD46" s="478"/>
      <c r="AE46" s="478"/>
      <c r="AF46" s="478"/>
      <c r="AG46" s="478"/>
      <c r="AH46" s="478"/>
      <c r="AI46" s="478"/>
      <c r="AJ46" s="478"/>
      <c r="AK46" s="478"/>
      <c r="AL46" s="478"/>
    </row>
    <row r="47" spans="1:38">
      <c r="A47" s="4"/>
      <c r="C47" s="2"/>
      <c r="D47" s="4"/>
      <c r="E47" s="4"/>
      <c r="F47" s="35" t="s">
        <v>509</v>
      </c>
      <c r="G47" s="4" t="s">
        <v>547</v>
      </c>
      <c r="I47" s="4"/>
      <c r="J47" s="4"/>
      <c r="K47" s="4"/>
      <c r="L47" s="4"/>
      <c r="O47" s="4"/>
      <c r="P47" s="4"/>
      <c r="Q47" s="4"/>
      <c r="R47" s="4"/>
      <c r="S47" s="4"/>
      <c r="T47" s="4"/>
      <c r="U47" s="4"/>
      <c r="V47" s="4"/>
      <c r="W47" s="4"/>
      <c r="X47" s="4"/>
      <c r="Y47" s="4"/>
      <c r="Z47" s="4"/>
      <c r="AA47" s="4"/>
      <c r="AB47" s="4"/>
    </row>
    <row r="48" spans="1:38">
      <c r="A48" s="4"/>
      <c r="C48" s="2"/>
      <c r="D48" s="4"/>
      <c r="E48" s="3" t="s">
        <v>348</v>
      </c>
      <c r="F48" s="1260" t="s">
        <v>2040</v>
      </c>
      <c r="G48" s="1260"/>
      <c r="H48" s="1260"/>
      <c r="I48" s="1260"/>
      <c r="J48" s="1260"/>
      <c r="K48" s="1260"/>
      <c r="L48" s="1260"/>
      <c r="M48" s="1260"/>
      <c r="N48" s="1260"/>
      <c r="O48" s="1260"/>
      <c r="P48" s="1260"/>
      <c r="Q48" s="1260"/>
      <c r="R48" s="1260"/>
      <c r="S48" s="1260"/>
      <c r="T48" s="1260"/>
      <c r="U48" s="1260"/>
      <c r="V48" s="1260"/>
      <c r="W48" s="1260"/>
      <c r="X48" s="1260"/>
      <c r="Y48" s="1260"/>
      <c r="Z48" s="1260"/>
      <c r="AA48" s="1260"/>
      <c r="AB48" s="1260"/>
      <c r="AC48" s="1260"/>
      <c r="AD48" s="1260"/>
      <c r="AE48" s="1260"/>
      <c r="AF48" s="1260"/>
      <c r="AG48" s="1260"/>
      <c r="AH48" s="1260"/>
      <c r="AI48" s="1260"/>
      <c r="AJ48" s="1260"/>
      <c r="AK48" s="1260"/>
    </row>
    <row r="49" spans="1:38">
      <c r="A49" s="4"/>
      <c r="C49" s="2"/>
      <c r="D49" s="4"/>
      <c r="E49" s="4"/>
      <c r="F49" s="1260"/>
      <c r="G49" s="1260"/>
      <c r="H49" s="1260"/>
      <c r="I49" s="1260"/>
      <c r="J49" s="1260"/>
      <c r="K49" s="1260"/>
      <c r="L49" s="1260"/>
      <c r="M49" s="1260"/>
      <c r="N49" s="1260"/>
      <c r="O49" s="1260"/>
      <c r="P49" s="1260"/>
      <c r="Q49" s="1260"/>
      <c r="R49" s="1260"/>
      <c r="S49" s="1260"/>
      <c r="T49" s="1260"/>
      <c r="U49" s="1260"/>
      <c r="V49" s="1260"/>
      <c r="W49" s="1260"/>
      <c r="X49" s="1260"/>
      <c r="Y49" s="1260"/>
      <c r="Z49" s="1260"/>
      <c r="AA49" s="1260"/>
      <c r="AB49" s="1260"/>
      <c r="AC49" s="1260"/>
      <c r="AD49" s="1260"/>
      <c r="AE49" s="1260"/>
      <c r="AF49" s="1260"/>
      <c r="AG49" s="1260"/>
      <c r="AH49" s="1260"/>
      <c r="AI49" s="1260"/>
      <c r="AJ49" s="1260"/>
      <c r="AK49" s="1260"/>
    </row>
    <row r="50" spans="1:38">
      <c r="A50" s="4"/>
      <c r="C50" s="2"/>
      <c r="D50" s="4"/>
      <c r="F50" s="1260"/>
      <c r="G50" s="1260"/>
      <c r="H50" s="1260"/>
      <c r="I50" s="1260"/>
      <c r="J50" s="1260"/>
      <c r="K50" s="1260"/>
      <c r="L50" s="1260"/>
      <c r="M50" s="1260"/>
      <c r="N50" s="1260"/>
      <c r="O50" s="1260"/>
      <c r="P50" s="1260"/>
      <c r="Q50" s="1260"/>
      <c r="R50" s="1260"/>
      <c r="S50" s="1260"/>
      <c r="T50" s="1260"/>
      <c r="U50" s="1260"/>
      <c r="V50" s="1260"/>
      <c r="W50" s="1260"/>
      <c r="X50" s="1260"/>
      <c r="Y50" s="1260"/>
      <c r="Z50" s="1260"/>
      <c r="AA50" s="1260"/>
      <c r="AB50" s="1260"/>
      <c r="AC50" s="1260"/>
      <c r="AD50" s="1260"/>
      <c r="AE50" s="1260"/>
      <c r="AF50" s="1260"/>
      <c r="AG50" s="1260"/>
      <c r="AH50" s="1260"/>
      <c r="AI50" s="1260"/>
      <c r="AJ50" s="1260"/>
      <c r="AK50" s="1260"/>
    </row>
    <row r="51" spans="1:38">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c r="A52" s="4"/>
      <c r="C52" s="2"/>
      <c r="D52" s="4" t="s">
        <v>113</v>
      </c>
      <c r="E52" s="4" t="s">
        <v>651</v>
      </c>
      <c r="F52" s="4"/>
      <c r="G52" s="4"/>
      <c r="H52" s="4"/>
      <c r="I52" s="4"/>
      <c r="J52" s="171"/>
      <c r="K52" s="171"/>
      <c r="L52" s="171"/>
      <c r="M52" s="171"/>
      <c r="N52" s="171"/>
      <c r="O52" s="120"/>
      <c r="P52" s="120"/>
      <c r="Q52" s="120"/>
      <c r="R52" s="120"/>
      <c r="S52" s="120"/>
      <c r="T52" s="120"/>
      <c r="U52" s="4"/>
      <c r="V52" s="4"/>
      <c r="W52" s="4"/>
      <c r="X52" s="4"/>
      <c r="Y52" s="4"/>
      <c r="Z52" s="4"/>
      <c r="AA52" s="4"/>
      <c r="AB52" s="4"/>
    </row>
    <row r="53" spans="1:38">
      <c r="A53" s="4"/>
      <c r="C53" s="2"/>
      <c r="D53" s="2"/>
      <c r="E53" s="4" t="s">
        <v>653</v>
      </c>
      <c r="F53" s="3" t="s">
        <v>1191</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15" customHeight="1">
      <c r="A54" s="205"/>
      <c r="B54" s="205"/>
      <c r="C54" s="206"/>
      <c r="D54" s="206"/>
      <c r="E54" s="205"/>
      <c r="F54" s="207" t="s">
        <v>687</v>
      </c>
      <c r="G54" s="1263" t="s">
        <v>1190</v>
      </c>
      <c r="H54" s="1263"/>
      <c r="I54" s="1263"/>
      <c r="J54" s="1263"/>
      <c r="K54" s="1263"/>
      <c r="L54" s="1263"/>
      <c r="M54" s="1263"/>
      <c r="N54" s="1263"/>
      <c r="O54" s="1263"/>
      <c r="P54" s="1263"/>
      <c r="Q54" s="1263"/>
      <c r="R54" s="1263"/>
      <c r="S54" s="1263"/>
      <c r="T54" s="1263"/>
      <c r="U54" s="1263"/>
      <c r="V54" s="1263"/>
      <c r="W54" s="1263"/>
      <c r="X54" s="1263"/>
      <c r="Y54" s="1263"/>
      <c r="Z54" s="1263"/>
      <c r="AA54" s="1263"/>
      <c r="AB54" s="1263"/>
      <c r="AC54" s="1263"/>
      <c r="AD54" s="1263"/>
      <c r="AE54" s="1263"/>
      <c r="AF54" s="1263"/>
      <c r="AG54" s="1263"/>
      <c r="AH54" s="1263"/>
      <c r="AI54" s="1263"/>
      <c r="AJ54" s="1263"/>
      <c r="AK54" s="1263"/>
      <c r="AL54" s="205"/>
    </row>
    <row r="55" spans="1:38" ht="13.15" customHeight="1">
      <c r="A55" s="205"/>
      <c r="B55" s="205"/>
      <c r="C55" s="206"/>
      <c r="D55" s="206"/>
      <c r="E55" s="205"/>
      <c r="F55" s="207"/>
      <c r="G55" s="479" t="s">
        <v>1192</v>
      </c>
      <c r="H55" s="454"/>
      <c r="I55" s="454"/>
      <c r="J55" s="454"/>
      <c r="K55" s="454"/>
      <c r="L55" s="454"/>
      <c r="M55" s="454"/>
      <c r="N55" s="454"/>
      <c r="O55" s="454"/>
      <c r="P55" s="454"/>
      <c r="Q55" s="454"/>
      <c r="R55" s="454"/>
      <c r="S55" s="454"/>
      <c r="T55" s="454"/>
      <c r="U55" s="454"/>
      <c r="V55" s="454"/>
      <c r="W55" s="454"/>
      <c r="X55" s="454"/>
      <c r="Y55" s="454"/>
      <c r="Z55" s="454"/>
      <c r="AA55" s="454"/>
      <c r="AB55" s="454"/>
      <c r="AC55" s="454"/>
      <c r="AD55" s="454"/>
      <c r="AE55" s="454"/>
      <c r="AF55" s="454"/>
      <c r="AG55" s="454"/>
      <c r="AH55" s="454"/>
      <c r="AI55" s="454"/>
      <c r="AJ55" s="454"/>
      <c r="AK55" s="454"/>
      <c r="AL55" s="205"/>
    </row>
    <row r="56" spans="1:38">
      <c r="A56" s="205"/>
      <c r="B56" s="205"/>
      <c r="C56" s="206"/>
      <c r="D56" s="206"/>
      <c r="E56" s="205"/>
      <c r="F56" s="207"/>
      <c r="G56" s="1263" t="s">
        <v>575</v>
      </c>
      <c r="H56" s="1263"/>
      <c r="I56" s="1263"/>
      <c r="J56" s="453"/>
      <c r="K56" s="453"/>
      <c r="L56" s="453"/>
      <c r="M56" s="453"/>
      <c r="N56" s="453"/>
      <c r="O56" s="453"/>
      <c r="P56" s="453"/>
      <c r="Q56" s="453"/>
      <c r="R56" s="453"/>
      <c r="S56" s="453"/>
      <c r="T56" s="453"/>
      <c r="U56" s="453"/>
      <c r="V56" s="453"/>
      <c r="W56" s="453"/>
      <c r="X56" s="453"/>
      <c r="Y56" s="453"/>
      <c r="Z56" s="453"/>
      <c r="AA56" s="453"/>
      <c r="AB56" s="453"/>
      <c r="AC56" s="453"/>
      <c r="AD56" s="453"/>
      <c r="AE56" s="453"/>
      <c r="AF56" s="453"/>
      <c r="AG56" s="453"/>
      <c r="AH56" s="453"/>
      <c r="AI56" s="453"/>
      <c r="AJ56" s="453"/>
      <c r="AK56" s="453"/>
      <c r="AL56" s="205"/>
    </row>
    <row r="57" spans="1:38" ht="13.15" customHeight="1">
      <c r="A57" s="205"/>
      <c r="B57" s="206"/>
      <c r="C57" s="206"/>
      <c r="D57" s="206"/>
      <c r="E57" s="205"/>
      <c r="F57" s="207" t="s">
        <v>509</v>
      </c>
      <c r="G57" s="1263" t="s">
        <v>2041</v>
      </c>
      <c r="H57" s="1263"/>
      <c r="I57" s="1263"/>
      <c r="J57" s="1263"/>
      <c r="K57" s="1263"/>
      <c r="L57" s="1263"/>
      <c r="M57" s="1263"/>
      <c r="N57" s="1263"/>
      <c r="O57" s="1263"/>
      <c r="P57" s="1263"/>
      <c r="Q57" s="1263"/>
      <c r="R57" s="1263"/>
      <c r="S57" s="1263"/>
      <c r="T57" s="1263"/>
      <c r="U57" s="1263"/>
      <c r="V57" s="1263"/>
      <c r="W57" s="1263"/>
      <c r="X57" s="1263"/>
      <c r="Y57" s="1263"/>
      <c r="Z57" s="1263"/>
      <c r="AA57" s="1263"/>
      <c r="AB57" s="1263"/>
      <c r="AC57" s="1263"/>
      <c r="AD57" s="1263"/>
      <c r="AE57" s="1263"/>
      <c r="AF57" s="1263"/>
      <c r="AG57" s="1263"/>
      <c r="AH57" s="1263"/>
      <c r="AI57" s="1263"/>
      <c r="AJ57" s="1263"/>
      <c r="AK57" s="1263"/>
      <c r="AL57" s="1263"/>
    </row>
    <row r="58" spans="1:38">
      <c r="A58" s="205"/>
      <c r="B58" s="205"/>
      <c r="C58" s="206"/>
      <c r="D58" s="206"/>
      <c r="E58" s="205"/>
      <c r="F58" s="207"/>
      <c r="G58" s="1263"/>
      <c r="H58" s="1263"/>
      <c r="I58" s="1263"/>
      <c r="J58" s="1263"/>
      <c r="K58" s="1263"/>
      <c r="L58" s="1263"/>
      <c r="M58" s="1263"/>
      <c r="N58" s="1263"/>
      <c r="O58" s="1263"/>
      <c r="P58" s="1263"/>
      <c r="Q58" s="1263"/>
      <c r="R58" s="1263"/>
      <c r="S58" s="1263"/>
      <c r="T58" s="1263"/>
      <c r="U58" s="1263"/>
      <c r="V58" s="1263"/>
      <c r="W58" s="1263"/>
      <c r="X58" s="1263"/>
      <c r="Y58" s="1263"/>
      <c r="Z58" s="1263"/>
      <c r="AA58" s="1263"/>
      <c r="AB58" s="1263"/>
      <c r="AC58" s="1263"/>
      <c r="AD58" s="1263"/>
      <c r="AE58" s="1263"/>
      <c r="AF58" s="1263"/>
      <c r="AG58" s="1263"/>
      <c r="AH58" s="1263"/>
      <c r="AI58" s="1263"/>
      <c r="AJ58" s="1263"/>
      <c r="AK58" s="1263"/>
      <c r="AL58" s="1263"/>
    </row>
    <row r="59" spans="1:38">
      <c r="A59" s="205"/>
      <c r="B59" s="205"/>
      <c r="C59" s="206"/>
      <c r="D59" s="206"/>
      <c r="E59" s="205"/>
      <c r="F59" s="207"/>
      <c r="G59" s="480" t="s">
        <v>1278</v>
      </c>
      <c r="H59" s="453"/>
      <c r="I59" s="453"/>
      <c r="J59" s="453"/>
      <c r="K59" s="453"/>
      <c r="L59" s="453"/>
      <c r="M59" s="453"/>
      <c r="N59" s="453"/>
      <c r="O59" s="453"/>
      <c r="P59" s="453"/>
      <c r="Q59" s="453"/>
      <c r="R59" s="453"/>
      <c r="S59" s="453"/>
      <c r="T59" s="453"/>
      <c r="U59" s="453"/>
      <c r="V59" s="453"/>
      <c r="W59" s="453"/>
      <c r="X59" s="453"/>
      <c r="Y59" s="453"/>
      <c r="Z59" s="453"/>
      <c r="AA59" s="453"/>
      <c r="AB59" s="453"/>
      <c r="AC59" s="453"/>
      <c r="AD59" s="453"/>
      <c r="AE59" s="453"/>
      <c r="AF59" s="453"/>
      <c r="AG59" s="453"/>
      <c r="AH59" s="453"/>
      <c r="AI59" s="453"/>
      <c r="AJ59" s="453"/>
      <c r="AK59" s="453"/>
      <c r="AL59" s="205"/>
    </row>
    <row r="60" spans="1:38">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c r="A61" s="4"/>
      <c r="B61" s="4"/>
      <c r="C61" s="4"/>
      <c r="D61" s="4" t="s">
        <v>119</v>
      </c>
      <c r="E61" s="4" t="s">
        <v>174</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c r="A62" s="4"/>
      <c r="C62" s="2"/>
      <c r="E62" s="3" t="s">
        <v>1164</v>
      </c>
      <c r="G62" s="4"/>
      <c r="H62" s="4"/>
      <c r="I62" s="4"/>
      <c r="J62" s="4"/>
      <c r="K62" s="4"/>
      <c r="L62" s="4"/>
      <c r="M62" s="4"/>
      <c r="N62" s="4"/>
      <c r="O62" s="4"/>
      <c r="P62" s="4"/>
      <c r="Q62" s="4"/>
      <c r="R62" s="4"/>
      <c r="S62" s="4"/>
      <c r="T62" s="4"/>
      <c r="U62" s="4"/>
      <c r="V62" s="4"/>
      <c r="W62" s="4"/>
      <c r="X62" s="4"/>
      <c r="Y62" s="4"/>
      <c r="Z62" s="4"/>
      <c r="AA62" s="4"/>
      <c r="AB62" s="4"/>
    </row>
    <row r="63" spans="1:38">
      <c r="A63" s="4"/>
      <c r="C63" s="2"/>
      <c r="D63" s="4"/>
      <c r="E63" s="4" t="s">
        <v>653</v>
      </c>
      <c r="F63" s="4" t="s">
        <v>508</v>
      </c>
      <c r="G63" s="4"/>
      <c r="H63" s="4"/>
      <c r="I63" s="4"/>
      <c r="J63" s="4"/>
      <c r="K63" s="4"/>
      <c r="L63" s="4"/>
      <c r="M63" s="4"/>
      <c r="P63" s="4"/>
      <c r="Q63" s="4"/>
      <c r="R63" s="4"/>
      <c r="S63" s="4"/>
      <c r="T63" s="4"/>
      <c r="U63" s="4"/>
      <c r="V63" s="4"/>
      <c r="W63" s="4"/>
      <c r="X63" s="4"/>
      <c r="Y63" s="4"/>
      <c r="Z63" s="4"/>
      <c r="AA63" s="4"/>
      <c r="AB63" s="4"/>
    </row>
    <row r="64" spans="1:38">
      <c r="A64" s="4"/>
      <c r="C64" s="2"/>
      <c r="D64" s="4"/>
      <c r="E64" s="4"/>
      <c r="F64" t="s">
        <v>687</v>
      </c>
      <c r="G64" s="1260" t="s">
        <v>1165</v>
      </c>
      <c r="H64" s="1260"/>
      <c r="I64" s="1260"/>
      <c r="J64" s="1260"/>
      <c r="K64" s="1260"/>
      <c r="L64" s="1260"/>
      <c r="M64" s="1260"/>
      <c r="N64" s="1260"/>
      <c r="O64" s="1260"/>
      <c r="P64" s="1260"/>
      <c r="Q64" s="1260"/>
      <c r="R64" s="1260"/>
      <c r="S64" s="1260"/>
      <c r="T64" s="1260"/>
      <c r="U64" s="1260"/>
      <c r="V64" s="1260"/>
      <c r="W64" s="1260"/>
      <c r="X64" s="1260"/>
      <c r="Y64" s="1260"/>
      <c r="Z64" s="1260"/>
      <c r="AA64" s="1260"/>
      <c r="AB64" s="1260"/>
      <c r="AC64" s="1260"/>
      <c r="AD64" s="1260"/>
      <c r="AE64" s="1260"/>
      <c r="AF64" s="1260"/>
      <c r="AG64" s="1260"/>
      <c r="AH64" s="1260"/>
      <c r="AI64" s="1260"/>
      <c r="AJ64" s="1260"/>
      <c r="AK64" s="1260"/>
    </row>
    <row r="65" spans="1:37">
      <c r="A65" s="4"/>
      <c r="C65" s="2"/>
      <c r="D65" s="4"/>
      <c r="E65" s="4"/>
      <c r="G65" s="1260"/>
      <c r="H65" s="1260"/>
      <c r="I65" s="1260"/>
      <c r="J65" s="1260"/>
      <c r="K65" s="1260"/>
      <c r="L65" s="1260"/>
      <c r="M65" s="1260"/>
      <c r="N65" s="1260"/>
      <c r="O65" s="1260"/>
      <c r="P65" s="1260"/>
      <c r="Q65" s="1260"/>
      <c r="R65" s="1260"/>
      <c r="S65" s="1260"/>
      <c r="T65" s="1260"/>
      <c r="U65" s="1260"/>
      <c r="V65" s="1260"/>
      <c r="W65" s="1260"/>
      <c r="X65" s="1260"/>
      <c r="Y65" s="1260"/>
      <c r="Z65" s="1260"/>
      <c r="AA65" s="1260"/>
      <c r="AB65" s="1260"/>
      <c r="AC65" s="1260"/>
      <c r="AD65" s="1260"/>
      <c r="AE65" s="1260"/>
      <c r="AF65" s="1260"/>
      <c r="AG65" s="1260"/>
      <c r="AH65" s="1260"/>
      <c r="AI65" s="1260"/>
      <c r="AJ65" s="1260"/>
      <c r="AK65" s="1260"/>
    </row>
    <row r="66" spans="1:37">
      <c r="A66" s="4"/>
      <c r="C66" s="2"/>
      <c r="D66" s="4"/>
      <c r="E66" s="4"/>
      <c r="G66" s="1260"/>
      <c r="H66" s="1260"/>
      <c r="I66" s="1260"/>
      <c r="J66" s="1260"/>
      <c r="K66" s="1260"/>
      <c r="L66" s="1260"/>
      <c r="M66" s="1260"/>
      <c r="N66" s="1260"/>
      <c r="O66" s="1260"/>
      <c r="P66" s="1260"/>
      <c r="Q66" s="1260"/>
      <c r="R66" s="1260"/>
      <c r="S66" s="1260"/>
      <c r="T66" s="1260"/>
      <c r="U66" s="1260"/>
      <c r="V66" s="1260"/>
      <c r="W66" s="1260"/>
      <c r="X66" s="1260"/>
      <c r="Y66" s="1260"/>
      <c r="Z66" s="1260"/>
      <c r="AA66" s="1260"/>
      <c r="AB66" s="1260"/>
      <c r="AC66" s="1260"/>
      <c r="AD66" s="1260"/>
      <c r="AE66" s="1260"/>
      <c r="AF66" s="1260"/>
      <c r="AG66" s="1260"/>
      <c r="AH66" s="1260"/>
      <c r="AI66" s="1260"/>
      <c r="AJ66" s="1260"/>
      <c r="AK66" s="1260"/>
    </row>
    <row r="67" spans="1:37" ht="13.15" customHeight="1">
      <c r="A67" s="4"/>
      <c r="C67" s="2"/>
      <c r="D67" s="4"/>
      <c r="E67" s="4"/>
      <c r="F67" t="s">
        <v>509</v>
      </c>
      <c r="G67" s="1260" t="s">
        <v>1166</v>
      </c>
      <c r="H67" s="1260"/>
      <c r="I67" s="1260"/>
      <c r="J67" s="1260"/>
      <c r="K67" s="1260"/>
      <c r="L67" s="1260"/>
      <c r="M67" s="1260"/>
      <c r="N67" s="1260"/>
      <c r="O67" s="1260"/>
      <c r="P67" s="1260"/>
      <c r="Q67" s="1260"/>
      <c r="R67" s="1260"/>
      <c r="S67" s="1260"/>
      <c r="T67" s="1260"/>
      <c r="U67" s="1260"/>
      <c r="V67" s="1260"/>
      <c r="W67" s="1260"/>
      <c r="X67" s="1260"/>
      <c r="Y67" s="1260"/>
      <c r="Z67" s="1260"/>
      <c r="AA67" s="1260"/>
      <c r="AB67" s="1260"/>
      <c r="AC67" s="1260"/>
      <c r="AD67" s="1260"/>
      <c r="AE67" s="1260"/>
      <c r="AF67" s="1260"/>
      <c r="AG67" s="1260"/>
      <c r="AH67" s="1260"/>
      <c r="AI67" s="1260"/>
      <c r="AJ67" s="1260"/>
      <c r="AK67" s="1260"/>
    </row>
    <row r="68" spans="1:37">
      <c r="A68" s="4"/>
      <c r="C68" s="2"/>
      <c r="D68" s="4"/>
      <c r="E68" s="4"/>
      <c r="F68" s="27"/>
      <c r="G68" s="1260"/>
      <c r="H68" s="1260"/>
      <c r="I68" s="1260"/>
      <c r="J68" s="1260"/>
      <c r="K68" s="1260"/>
      <c r="L68" s="1260"/>
      <c r="M68" s="1260"/>
      <c r="N68" s="1260"/>
      <c r="O68" s="1260"/>
      <c r="P68" s="1260"/>
      <c r="Q68" s="1260"/>
      <c r="R68" s="1260"/>
      <c r="S68" s="1260"/>
      <c r="T68" s="1260"/>
      <c r="U68" s="1260"/>
      <c r="V68" s="1260"/>
      <c r="W68" s="1260"/>
      <c r="X68" s="1260"/>
      <c r="Y68" s="1260"/>
      <c r="Z68" s="1260"/>
      <c r="AA68" s="1260"/>
      <c r="AB68" s="1260"/>
      <c r="AC68" s="1260"/>
      <c r="AD68" s="1260"/>
      <c r="AE68" s="1260"/>
      <c r="AF68" s="1260"/>
      <c r="AG68" s="1260"/>
      <c r="AH68" s="1260"/>
      <c r="AI68" s="1260"/>
      <c r="AJ68" s="1260"/>
      <c r="AK68" s="1260"/>
    </row>
    <row r="69" spans="1:37">
      <c r="A69" s="4"/>
      <c r="C69" s="2"/>
      <c r="D69" s="4"/>
      <c r="E69" s="4" t="s">
        <v>347</v>
      </c>
      <c r="F69" s="4" t="s">
        <v>420</v>
      </c>
      <c r="G69" s="456"/>
      <c r="H69" s="456"/>
      <c r="I69" s="456"/>
      <c r="J69" s="456"/>
      <c r="K69" s="456"/>
      <c r="L69" s="456"/>
      <c r="M69" s="456"/>
      <c r="N69" s="456"/>
      <c r="O69" s="456"/>
      <c r="P69" s="456"/>
      <c r="Q69" s="456"/>
      <c r="R69" s="456"/>
      <c r="S69" s="456"/>
      <c r="T69" s="456"/>
      <c r="U69" s="456"/>
      <c r="V69" s="456"/>
      <c r="W69" s="456"/>
      <c r="X69" s="456"/>
      <c r="Y69" s="456"/>
      <c r="Z69" s="456"/>
      <c r="AA69" s="456"/>
      <c r="AB69" s="456"/>
      <c r="AC69" s="456"/>
      <c r="AD69" s="456"/>
      <c r="AE69" s="456"/>
      <c r="AF69" s="456"/>
      <c r="AG69" s="456"/>
      <c r="AH69" s="456"/>
      <c r="AI69" s="456"/>
      <c r="AJ69" s="456"/>
      <c r="AK69" s="456"/>
    </row>
    <row r="70" spans="1:37">
      <c r="A70" s="4"/>
      <c r="C70" s="2"/>
      <c r="D70" s="4"/>
      <c r="E70" s="4"/>
      <c r="F70" s="8" t="s">
        <v>687</v>
      </c>
      <c r="G70" s="1260" t="s">
        <v>1167</v>
      </c>
      <c r="H70" s="1260"/>
      <c r="I70" s="1260"/>
      <c r="J70" s="1260"/>
      <c r="K70" s="1260"/>
      <c r="L70" s="1260"/>
      <c r="M70" s="1260"/>
      <c r="N70" s="1260"/>
      <c r="O70" s="1260"/>
      <c r="P70" s="1260"/>
      <c r="Q70" s="1260"/>
      <c r="R70" s="1260"/>
      <c r="S70" s="1260"/>
      <c r="T70" s="1260"/>
      <c r="U70" s="1260"/>
      <c r="V70" s="1260"/>
      <c r="W70" s="1260"/>
      <c r="X70" s="1260"/>
      <c r="Y70" s="1260"/>
      <c r="Z70" s="1260"/>
      <c r="AA70" s="1260"/>
      <c r="AB70" s="1260"/>
      <c r="AC70" s="1260"/>
      <c r="AD70" s="1260"/>
      <c r="AE70" s="1260"/>
      <c r="AF70" s="1260"/>
      <c r="AG70" s="1260"/>
      <c r="AH70" s="1260"/>
      <c r="AI70" s="1260"/>
      <c r="AJ70" s="1260"/>
      <c r="AK70" s="1260"/>
    </row>
    <row r="71" spans="1:37">
      <c r="A71" s="4"/>
      <c r="C71" s="2"/>
      <c r="D71" s="4"/>
      <c r="E71" s="4"/>
      <c r="F71" s="8"/>
      <c r="G71" s="1260"/>
      <c r="H71" s="1260"/>
      <c r="I71" s="1260"/>
      <c r="J71" s="1260"/>
      <c r="K71" s="1260"/>
      <c r="L71" s="1260"/>
      <c r="M71" s="1260"/>
      <c r="N71" s="1260"/>
      <c r="O71" s="1260"/>
      <c r="P71" s="1260"/>
      <c r="Q71" s="1260"/>
      <c r="R71" s="1260"/>
      <c r="S71" s="1260"/>
      <c r="T71" s="1260"/>
      <c r="U71" s="1260"/>
      <c r="V71" s="1260"/>
      <c r="W71" s="1260"/>
      <c r="X71" s="1260"/>
      <c r="Y71" s="1260"/>
      <c r="Z71" s="1260"/>
      <c r="AA71" s="1260"/>
      <c r="AB71" s="1260"/>
      <c r="AC71" s="1260"/>
      <c r="AD71" s="1260"/>
      <c r="AE71" s="1260"/>
      <c r="AF71" s="1260"/>
      <c r="AG71" s="1260"/>
      <c r="AH71" s="1260"/>
      <c r="AI71" s="1260"/>
      <c r="AJ71" s="1260"/>
      <c r="AK71" s="1260"/>
    </row>
    <row r="72" spans="1:37">
      <c r="A72" s="4"/>
      <c r="C72" s="2"/>
      <c r="D72" s="4"/>
      <c r="E72" s="4"/>
      <c r="F72" s="8" t="s">
        <v>509</v>
      </c>
      <c r="G72" s="1260" t="s">
        <v>1168</v>
      </c>
      <c r="H72" s="1260"/>
      <c r="I72" s="1260"/>
      <c r="J72" s="1260"/>
      <c r="K72" s="1260"/>
      <c r="L72" s="1260"/>
      <c r="M72" s="1260"/>
      <c r="N72" s="1260"/>
      <c r="O72" s="1260"/>
      <c r="P72" s="1260"/>
      <c r="Q72" s="1260"/>
      <c r="R72" s="1260"/>
      <c r="S72" s="1260"/>
      <c r="T72" s="1260"/>
      <c r="U72" s="1260"/>
      <c r="V72" s="1260"/>
      <c r="W72" s="1260"/>
      <c r="X72" s="1260"/>
      <c r="Y72" s="1260"/>
      <c r="Z72" s="1260"/>
      <c r="AA72" s="1260"/>
      <c r="AB72" s="1260"/>
      <c r="AC72" s="1260"/>
      <c r="AD72" s="1260"/>
      <c r="AE72" s="1260"/>
      <c r="AF72" s="1260"/>
      <c r="AG72" s="1260"/>
      <c r="AH72" s="1260"/>
      <c r="AI72" s="1260"/>
      <c r="AJ72" s="1260"/>
      <c r="AK72" s="1260"/>
    </row>
    <row r="73" spans="1:37">
      <c r="A73" s="4"/>
      <c r="C73" s="2"/>
      <c r="D73" s="4"/>
      <c r="E73" s="4"/>
      <c r="F73" s="8"/>
      <c r="G73" s="1260"/>
      <c r="H73" s="1260"/>
      <c r="I73" s="1260"/>
      <c r="J73" s="1260"/>
      <c r="K73" s="1260"/>
      <c r="L73" s="1260"/>
      <c r="M73" s="1260"/>
      <c r="N73" s="1260"/>
      <c r="O73" s="1260"/>
      <c r="P73" s="1260"/>
      <c r="Q73" s="1260"/>
      <c r="R73" s="1260"/>
      <c r="S73" s="1260"/>
      <c r="T73" s="1260"/>
      <c r="U73" s="1260"/>
      <c r="V73" s="1260"/>
      <c r="W73" s="1260"/>
      <c r="X73" s="1260"/>
      <c r="Y73" s="1260"/>
      <c r="Z73" s="1260"/>
      <c r="AA73" s="1260"/>
      <c r="AB73" s="1260"/>
      <c r="AC73" s="1260"/>
      <c r="AD73" s="1260"/>
      <c r="AE73" s="1260"/>
      <c r="AF73" s="1260"/>
      <c r="AG73" s="1260"/>
      <c r="AH73" s="1260"/>
      <c r="AI73" s="1260"/>
      <c r="AJ73" s="1260"/>
      <c r="AK73" s="1260"/>
    </row>
    <row r="74" spans="1:37">
      <c r="A74" s="4"/>
      <c r="C74" s="2"/>
      <c r="D74" s="4"/>
      <c r="E74" s="4"/>
      <c r="F74" s="8"/>
      <c r="G74" s="120" t="s">
        <v>750</v>
      </c>
      <c r="H74" s="4"/>
      <c r="J74" s="120"/>
      <c r="K74" s="120"/>
      <c r="L74" s="120"/>
      <c r="P74" s="4"/>
      <c r="Q74" s="4"/>
      <c r="R74" s="4"/>
      <c r="S74" s="4"/>
      <c r="T74" s="4"/>
      <c r="U74" s="4"/>
      <c r="V74" s="4"/>
      <c r="W74" s="4"/>
      <c r="X74" s="4"/>
      <c r="Y74" s="4"/>
      <c r="Z74" s="4"/>
      <c r="AA74" s="4"/>
      <c r="AB74" s="4"/>
    </row>
    <row r="75" spans="1:37">
      <c r="A75" s="4"/>
      <c r="C75" s="2"/>
      <c r="D75" s="4"/>
      <c r="E75" s="4"/>
      <c r="F75" s="8"/>
      <c r="G75" s="120" t="s">
        <v>864</v>
      </c>
      <c r="J75" s="120"/>
      <c r="K75" s="120"/>
      <c r="L75" s="120"/>
      <c r="P75" s="4"/>
      <c r="Q75" s="4"/>
      <c r="R75" s="4"/>
      <c r="S75" s="4"/>
      <c r="T75" s="4"/>
      <c r="U75" s="4"/>
      <c r="V75" s="4"/>
      <c r="W75" s="4"/>
      <c r="X75" s="4"/>
      <c r="Y75" s="4"/>
      <c r="Z75" s="4"/>
      <c r="AA75" s="4"/>
      <c r="AB75" s="4"/>
    </row>
    <row r="76" spans="1:37">
      <c r="A76" s="4"/>
      <c r="C76" s="2"/>
      <c r="D76" s="4"/>
      <c r="E76" s="4"/>
      <c r="F76" s="8" t="s">
        <v>277</v>
      </c>
      <c r="G76" s="4" t="s">
        <v>1013</v>
      </c>
      <c r="H76" s="4"/>
      <c r="I76" s="4"/>
      <c r="K76" s="4"/>
      <c r="L76" s="4"/>
      <c r="M76" s="4"/>
      <c r="P76" s="4"/>
      <c r="Q76" s="4"/>
      <c r="R76" s="4"/>
      <c r="S76" s="4"/>
      <c r="T76" s="4"/>
      <c r="U76" s="4"/>
      <c r="V76" s="4"/>
      <c r="W76" s="4"/>
      <c r="X76" s="4"/>
      <c r="Y76" s="4"/>
      <c r="Z76" s="4"/>
      <c r="AA76" s="4"/>
      <c r="AB76" s="4"/>
    </row>
    <row r="77" spans="1:37">
      <c r="A77" s="4"/>
      <c r="C77" s="2"/>
      <c r="D77" s="4"/>
      <c r="E77" s="4"/>
      <c r="F77" s="4"/>
      <c r="G77" s="4" t="s">
        <v>507</v>
      </c>
      <c r="H77" s="4" t="s">
        <v>865</v>
      </c>
      <c r="K77" s="4"/>
      <c r="L77" s="4"/>
      <c r="M77" s="4"/>
      <c r="P77" s="4"/>
      <c r="Q77" s="4"/>
      <c r="R77" s="4"/>
      <c r="S77" s="4"/>
      <c r="T77" s="4"/>
      <c r="U77" s="4"/>
      <c r="V77" s="4"/>
      <c r="W77" s="4"/>
      <c r="X77" s="4"/>
      <c r="Y77" s="4"/>
      <c r="Z77" s="4"/>
      <c r="AA77" s="4"/>
      <c r="AB77" s="4"/>
    </row>
    <row r="78" spans="1:37">
      <c r="A78" s="4"/>
      <c r="C78" s="2"/>
      <c r="D78" s="4"/>
      <c r="E78" s="4"/>
      <c r="F78" s="4"/>
      <c r="G78" s="4" t="s">
        <v>757</v>
      </c>
      <c r="H78" s="4" t="s">
        <v>753</v>
      </c>
      <c r="K78" s="4"/>
      <c r="L78" s="4"/>
      <c r="M78" s="4"/>
      <c r="P78" s="4"/>
      <c r="Q78" s="4"/>
      <c r="R78" s="4"/>
      <c r="S78" s="4"/>
      <c r="T78" s="4"/>
      <c r="U78" s="4"/>
      <c r="V78" s="4"/>
      <c r="W78" s="4"/>
      <c r="X78" s="4"/>
      <c r="Y78" s="4"/>
      <c r="Z78" s="4"/>
      <c r="AA78" s="4"/>
      <c r="AB78" s="4"/>
    </row>
    <row r="79" spans="1:37">
      <c r="A79" s="4"/>
      <c r="C79" s="2"/>
      <c r="D79" s="4"/>
      <c r="E79" s="4" t="s">
        <v>348</v>
      </c>
      <c r="F79" s="4" t="s">
        <v>22</v>
      </c>
      <c r="G79" s="4"/>
      <c r="H79" s="4"/>
      <c r="I79" s="4"/>
      <c r="J79" s="4"/>
      <c r="K79" s="4"/>
      <c r="L79" s="4"/>
      <c r="M79" s="4"/>
      <c r="P79" s="4"/>
      <c r="Q79" s="4"/>
      <c r="R79" s="4"/>
      <c r="S79" s="4"/>
      <c r="T79" s="4"/>
      <c r="U79" s="4"/>
      <c r="V79" s="4"/>
      <c r="W79" s="4"/>
      <c r="X79" s="4"/>
      <c r="Y79" s="4"/>
      <c r="Z79" s="4"/>
      <c r="AA79" s="4"/>
      <c r="AB79" s="4"/>
    </row>
    <row r="80" spans="1:37">
      <c r="A80" s="4"/>
      <c r="C80" s="2"/>
      <c r="D80" s="4"/>
      <c r="E80" s="4"/>
      <c r="F80" s="8"/>
      <c r="G80" s="1260" t="s">
        <v>1169</v>
      </c>
      <c r="H80" s="1260"/>
      <c r="I80" s="1260"/>
      <c r="J80" s="1260"/>
      <c r="K80" s="1260"/>
      <c r="L80" s="1260"/>
      <c r="M80" s="1260"/>
      <c r="N80" s="1260"/>
      <c r="O80" s="1260"/>
      <c r="P80" s="1260"/>
      <c r="Q80" s="1260"/>
      <c r="R80" s="1260"/>
      <c r="S80" s="1260"/>
      <c r="T80" s="1260"/>
      <c r="U80" s="1260"/>
      <c r="V80" s="1260"/>
      <c r="W80" s="1260"/>
      <c r="X80" s="1260"/>
      <c r="Y80" s="1260"/>
      <c r="Z80" s="1260"/>
      <c r="AA80" s="1260"/>
      <c r="AB80" s="1260"/>
      <c r="AC80" s="1260"/>
      <c r="AD80" s="1260"/>
      <c r="AE80" s="1260"/>
      <c r="AF80" s="1260"/>
      <c r="AG80" s="1260"/>
      <c r="AH80" s="1260"/>
      <c r="AI80" s="1260"/>
      <c r="AJ80" s="1260"/>
      <c r="AK80" s="1260"/>
    </row>
    <row r="81" spans="1:37">
      <c r="A81" s="4"/>
      <c r="C81" s="2"/>
      <c r="D81" s="4"/>
      <c r="E81" s="4"/>
      <c r="F81" s="4"/>
      <c r="G81" s="1260"/>
      <c r="H81" s="1260"/>
      <c r="I81" s="1260"/>
      <c r="J81" s="1260"/>
      <c r="K81" s="1260"/>
      <c r="L81" s="1260"/>
      <c r="M81" s="1260"/>
      <c r="N81" s="1260"/>
      <c r="O81" s="1260"/>
      <c r="P81" s="1260"/>
      <c r="Q81" s="1260"/>
      <c r="R81" s="1260"/>
      <c r="S81" s="1260"/>
      <c r="T81" s="1260"/>
      <c r="U81" s="1260"/>
      <c r="V81" s="1260"/>
      <c r="W81" s="1260"/>
      <c r="X81" s="1260"/>
      <c r="Y81" s="1260"/>
      <c r="Z81" s="1260"/>
      <c r="AA81" s="1260"/>
      <c r="AB81" s="1260"/>
      <c r="AC81" s="1260"/>
      <c r="AD81" s="1260"/>
      <c r="AE81" s="1260"/>
      <c r="AF81" s="1260"/>
      <c r="AG81" s="1260"/>
      <c r="AH81" s="1260"/>
      <c r="AI81" s="1260"/>
      <c r="AJ81" s="1260"/>
      <c r="AK81" s="1260"/>
    </row>
    <row r="82" spans="1:37">
      <c r="A82" s="4"/>
      <c r="C82" s="2"/>
      <c r="D82" s="4"/>
      <c r="E82" s="4"/>
      <c r="F82" s="4"/>
      <c r="G82" s="1260"/>
      <c r="H82" s="1260"/>
      <c r="I82" s="1260"/>
      <c r="J82" s="1260"/>
      <c r="K82" s="1260"/>
      <c r="L82" s="1260"/>
      <c r="M82" s="1260"/>
      <c r="N82" s="1260"/>
      <c r="O82" s="1260"/>
      <c r="P82" s="1260"/>
      <c r="Q82" s="1260"/>
      <c r="R82" s="1260"/>
      <c r="S82" s="1260"/>
      <c r="T82" s="1260"/>
      <c r="U82" s="1260"/>
      <c r="V82" s="1260"/>
      <c r="W82" s="1260"/>
      <c r="X82" s="1260"/>
      <c r="Y82" s="1260"/>
      <c r="Z82" s="1260"/>
      <c r="AA82" s="1260"/>
      <c r="AB82" s="1260"/>
      <c r="AC82" s="1260"/>
      <c r="AD82" s="1260"/>
      <c r="AE82" s="1260"/>
      <c r="AF82" s="1260"/>
      <c r="AG82" s="1260"/>
      <c r="AH82" s="1260"/>
      <c r="AI82" s="1260"/>
      <c r="AJ82" s="1260"/>
      <c r="AK82" s="1260"/>
    </row>
    <row r="83" spans="1:37">
      <c r="A83" s="4"/>
      <c r="C83" s="2"/>
      <c r="D83" s="4"/>
      <c r="E83" s="4" t="s">
        <v>444</v>
      </c>
      <c r="F83" s="4" t="s">
        <v>616</v>
      </c>
      <c r="G83" s="4"/>
      <c r="H83" s="4"/>
      <c r="I83" s="4"/>
      <c r="J83" s="4"/>
      <c r="K83" s="4"/>
      <c r="L83" s="4"/>
      <c r="M83" s="4"/>
      <c r="P83" s="4"/>
      <c r="Q83" s="4"/>
      <c r="R83" s="4"/>
      <c r="S83" s="4"/>
      <c r="T83" s="4"/>
      <c r="U83" s="4"/>
      <c r="V83" s="4"/>
      <c r="W83" s="4"/>
      <c r="X83" s="4"/>
      <c r="Y83" s="4"/>
      <c r="Z83" s="4"/>
      <c r="AA83" s="4"/>
      <c r="AB83" s="4"/>
    </row>
    <row r="84" spans="1:37">
      <c r="A84" s="4"/>
      <c r="C84" s="2"/>
      <c r="D84" s="4"/>
      <c r="E84" s="4"/>
      <c r="F84" s="8"/>
      <c r="G84" s="1260" t="s">
        <v>1170</v>
      </c>
      <c r="H84" s="1260"/>
      <c r="I84" s="1260"/>
      <c r="J84" s="1260"/>
      <c r="K84" s="1260"/>
      <c r="L84" s="1260"/>
      <c r="M84" s="1260"/>
      <c r="N84" s="1260"/>
      <c r="O84" s="1260"/>
      <c r="P84" s="1260"/>
      <c r="Q84" s="1260"/>
      <c r="R84" s="1260"/>
      <c r="S84" s="1260"/>
      <c r="T84" s="1260"/>
      <c r="U84" s="1260"/>
      <c r="V84" s="1260"/>
      <c r="W84" s="1260"/>
      <c r="X84" s="1260"/>
      <c r="Y84" s="1260"/>
      <c r="Z84" s="1260"/>
      <c r="AA84" s="1260"/>
      <c r="AB84" s="1260"/>
      <c r="AC84" s="1260"/>
      <c r="AD84" s="1260"/>
      <c r="AE84" s="1260"/>
      <c r="AF84" s="1260"/>
      <c r="AG84" s="1260"/>
      <c r="AH84" s="1260"/>
      <c r="AI84" s="1260"/>
      <c r="AJ84" s="1260"/>
      <c r="AK84" s="1260"/>
    </row>
    <row r="85" spans="1:37">
      <c r="A85" s="4"/>
      <c r="C85" s="2"/>
      <c r="D85" s="4"/>
      <c r="E85" s="4"/>
      <c r="F85" s="4"/>
      <c r="G85" s="1260"/>
      <c r="H85" s="1260"/>
      <c r="I85" s="1260"/>
      <c r="J85" s="1260"/>
      <c r="K85" s="1260"/>
      <c r="L85" s="1260"/>
      <c r="M85" s="1260"/>
      <c r="N85" s="1260"/>
      <c r="O85" s="1260"/>
      <c r="P85" s="1260"/>
      <c r="Q85" s="1260"/>
      <c r="R85" s="1260"/>
      <c r="S85" s="1260"/>
      <c r="T85" s="1260"/>
      <c r="U85" s="1260"/>
      <c r="V85" s="1260"/>
      <c r="W85" s="1260"/>
      <c r="X85" s="1260"/>
      <c r="Y85" s="1260"/>
      <c r="Z85" s="1260"/>
      <c r="AA85" s="1260"/>
      <c r="AB85" s="1260"/>
      <c r="AC85" s="1260"/>
      <c r="AD85" s="1260"/>
      <c r="AE85" s="1260"/>
      <c r="AF85" s="1260"/>
      <c r="AG85" s="1260"/>
      <c r="AH85" s="1260"/>
      <c r="AI85" s="1260"/>
      <c r="AJ85" s="1260"/>
      <c r="AK85" s="1260"/>
    </row>
    <row r="86" spans="1:37">
      <c r="A86" s="4"/>
      <c r="C86" s="2"/>
      <c r="D86" s="4"/>
      <c r="E86" s="4"/>
      <c r="G86" s="1260"/>
      <c r="H86" s="1260"/>
      <c r="I86" s="1260"/>
      <c r="J86" s="1260"/>
      <c r="K86" s="1260"/>
      <c r="L86" s="1260"/>
      <c r="M86" s="1260"/>
      <c r="N86" s="1260"/>
      <c r="O86" s="1260"/>
      <c r="P86" s="1260"/>
      <c r="Q86" s="1260"/>
      <c r="R86" s="1260"/>
      <c r="S86" s="1260"/>
      <c r="T86" s="1260"/>
      <c r="U86" s="1260"/>
      <c r="V86" s="1260"/>
      <c r="W86" s="1260"/>
      <c r="X86" s="1260"/>
      <c r="Y86" s="1260"/>
      <c r="Z86" s="1260"/>
      <c r="AA86" s="1260"/>
      <c r="AB86" s="1260"/>
      <c r="AC86" s="1260"/>
      <c r="AD86" s="1260"/>
      <c r="AE86" s="1260"/>
      <c r="AF86" s="1260"/>
      <c r="AG86" s="1260"/>
      <c r="AH86" s="1260"/>
      <c r="AI86" s="1260"/>
      <c r="AJ86" s="1260"/>
      <c r="AK86" s="1260"/>
    </row>
    <row r="87" spans="1:37">
      <c r="A87" s="4"/>
      <c r="C87" s="2"/>
      <c r="D87" s="4"/>
      <c r="E87" s="4" t="s">
        <v>261</v>
      </c>
      <c r="F87" t="s">
        <v>866</v>
      </c>
      <c r="G87" s="4"/>
      <c r="L87" s="4"/>
      <c r="M87" s="4"/>
      <c r="P87" s="4"/>
      <c r="Q87" s="4"/>
      <c r="R87" s="4"/>
      <c r="S87" s="4"/>
      <c r="T87" s="4"/>
      <c r="U87" s="4"/>
      <c r="V87" s="4"/>
      <c r="W87" s="4"/>
      <c r="X87" s="4"/>
      <c r="Y87" s="4"/>
      <c r="Z87" s="4"/>
      <c r="AA87" s="4"/>
      <c r="AB87" s="4"/>
    </row>
    <row r="88" spans="1:37">
      <c r="A88" s="4"/>
      <c r="C88" s="2"/>
      <c r="D88" s="4"/>
      <c r="E88" s="4"/>
      <c r="G88" s="1270" t="s">
        <v>1171</v>
      </c>
      <c r="H88" s="1270"/>
      <c r="I88" s="1270"/>
      <c r="J88" s="1270"/>
      <c r="K88" s="1270"/>
      <c r="L88" s="1270"/>
      <c r="M88" s="1270"/>
      <c r="N88" s="1270"/>
      <c r="O88" s="1270"/>
      <c r="P88" s="1270"/>
      <c r="Q88" s="1270"/>
      <c r="R88" s="1270"/>
      <c r="S88" s="1270"/>
      <c r="T88" s="1270"/>
      <c r="U88" s="1270"/>
      <c r="V88" s="1270"/>
      <c r="W88" s="1270"/>
      <c r="X88" s="1270"/>
      <c r="Y88" s="1270"/>
      <c r="Z88" s="1270"/>
      <c r="AA88" s="1270"/>
      <c r="AB88" s="1270"/>
      <c r="AC88" s="1270"/>
      <c r="AD88" s="1270"/>
      <c r="AE88" s="1270"/>
      <c r="AF88" s="1270"/>
      <c r="AG88" s="1270"/>
      <c r="AH88" s="1270"/>
      <c r="AI88" s="1270"/>
      <c r="AJ88" s="1270"/>
      <c r="AK88" s="1270"/>
    </row>
    <row r="89" spans="1:37">
      <c r="A89" s="4"/>
      <c r="C89" s="2"/>
      <c r="D89" s="4"/>
      <c r="E89" s="4"/>
      <c r="G89" s="1270"/>
      <c r="H89" s="1270"/>
      <c r="I89" s="1270"/>
      <c r="J89" s="1270"/>
      <c r="K89" s="1270"/>
      <c r="L89" s="1270"/>
      <c r="M89" s="1270"/>
      <c r="N89" s="1270"/>
      <c r="O89" s="1270"/>
      <c r="P89" s="1270"/>
      <c r="Q89" s="1270"/>
      <c r="R89" s="1270"/>
      <c r="S89" s="1270"/>
      <c r="T89" s="1270"/>
      <c r="U89" s="1270"/>
      <c r="V89" s="1270"/>
      <c r="W89" s="1270"/>
      <c r="X89" s="1270"/>
      <c r="Y89" s="1270"/>
      <c r="Z89" s="1270"/>
      <c r="AA89" s="1270"/>
      <c r="AB89" s="1270"/>
      <c r="AC89" s="1270"/>
      <c r="AD89" s="1270"/>
      <c r="AE89" s="1270"/>
      <c r="AF89" s="1270"/>
      <c r="AG89" s="1270"/>
      <c r="AH89" s="1270"/>
      <c r="AI89" s="1270"/>
      <c r="AJ89" s="1270"/>
      <c r="AK89" s="1270"/>
    </row>
    <row r="90" spans="1:37">
      <c r="A90" s="4"/>
      <c r="C90" s="2"/>
      <c r="D90" s="4"/>
      <c r="E90" s="4"/>
      <c r="G90" s="1270"/>
      <c r="H90" s="1270"/>
      <c r="I90" s="1270"/>
      <c r="J90" s="1270"/>
      <c r="K90" s="1270"/>
      <c r="L90" s="1270"/>
      <c r="M90" s="1270"/>
      <c r="N90" s="1270"/>
      <c r="O90" s="1270"/>
      <c r="P90" s="1270"/>
      <c r="Q90" s="1270"/>
      <c r="R90" s="1270"/>
      <c r="S90" s="1270"/>
      <c r="T90" s="1270"/>
      <c r="U90" s="1270"/>
      <c r="V90" s="1270"/>
      <c r="W90" s="1270"/>
      <c r="X90" s="1270"/>
      <c r="Y90" s="1270"/>
      <c r="Z90" s="1270"/>
      <c r="AA90" s="1270"/>
      <c r="AB90" s="1270"/>
      <c r="AC90" s="1270"/>
      <c r="AD90" s="1270"/>
      <c r="AE90" s="1270"/>
      <c r="AF90" s="1270"/>
      <c r="AG90" s="1270"/>
      <c r="AH90" s="1270"/>
      <c r="AI90" s="1270"/>
      <c r="AJ90" s="1270"/>
      <c r="AK90" s="1270"/>
    </row>
    <row r="91" spans="1:37">
      <c r="A91" s="4"/>
      <c r="C91" s="2"/>
      <c r="D91" s="4"/>
      <c r="E91" s="4" t="s">
        <v>262</v>
      </c>
      <c r="F91" s="4" t="s">
        <v>516</v>
      </c>
      <c r="G91" s="4"/>
      <c r="H91" s="4"/>
      <c r="I91" s="4"/>
      <c r="J91" s="4"/>
      <c r="K91" s="4"/>
      <c r="L91" s="4"/>
      <c r="M91" s="4"/>
      <c r="P91" s="4"/>
      <c r="Q91" s="4"/>
      <c r="R91" s="4"/>
      <c r="S91" s="4"/>
      <c r="T91" s="4"/>
      <c r="U91" s="4"/>
      <c r="V91" s="4"/>
      <c r="W91" s="4"/>
      <c r="X91" s="4"/>
      <c r="Y91" s="4"/>
      <c r="Z91" s="4"/>
      <c r="AA91" s="4"/>
      <c r="AB91" s="4"/>
    </row>
    <row r="92" spans="1:37">
      <c r="A92" s="4"/>
      <c r="C92" s="2"/>
      <c r="D92" s="4"/>
      <c r="E92" s="4"/>
      <c r="F92" s="4"/>
      <c r="G92" s="1260" t="s">
        <v>1172</v>
      </c>
      <c r="H92" s="1260"/>
      <c r="I92" s="1260"/>
      <c r="J92" s="1260"/>
      <c r="K92" s="1260"/>
      <c r="L92" s="1260"/>
      <c r="M92" s="1260"/>
      <c r="N92" s="1260"/>
      <c r="O92" s="1260"/>
      <c r="P92" s="1260"/>
      <c r="Q92" s="1260"/>
      <c r="R92" s="1260"/>
      <c r="S92" s="1260"/>
      <c r="T92" s="1260"/>
      <c r="U92" s="1260"/>
      <c r="V92" s="1260"/>
      <c r="W92" s="1260"/>
      <c r="X92" s="1260"/>
      <c r="Y92" s="1260"/>
      <c r="Z92" s="1260"/>
      <c r="AA92" s="1260"/>
      <c r="AB92" s="1260"/>
      <c r="AC92" s="1260"/>
      <c r="AD92" s="1260"/>
      <c r="AE92" s="1260"/>
      <c r="AF92" s="1260"/>
      <c r="AG92" s="1260"/>
      <c r="AH92" s="1260"/>
      <c r="AI92" s="1260"/>
      <c r="AJ92" s="1260"/>
      <c r="AK92" s="1260"/>
    </row>
    <row r="93" spans="1:37">
      <c r="A93" s="4"/>
      <c r="C93" s="2"/>
      <c r="D93" s="4"/>
      <c r="E93" s="4"/>
      <c r="G93" s="1260"/>
      <c r="H93" s="1260"/>
      <c r="I93" s="1260"/>
      <c r="J93" s="1260"/>
      <c r="K93" s="1260"/>
      <c r="L93" s="1260"/>
      <c r="M93" s="1260"/>
      <c r="N93" s="1260"/>
      <c r="O93" s="1260"/>
      <c r="P93" s="1260"/>
      <c r="Q93" s="1260"/>
      <c r="R93" s="1260"/>
      <c r="S93" s="1260"/>
      <c r="T93" s="1260"/>
      <c r="U93" s="1260"/>
      <c r="V93" s="1260"/>
      <c r="W93" s="1260"/>
      <c r="X93" s="1260"/>
      <c r="Y93" s="1260"/>
      <c r="Z93" s="1260"/>
      <c r="AA93" s="1260"/>
      <c r="AB93" s="1260"/>
      <c r="AC93" s="1260"/>
      <c r="AD93" s="1260"/>
      <c r="AE93" s="1260"/>
      <c r="AF93" s="1260"/>
      <c r="AG93" s="1260"/>
      <c r="AH93" s="1260"/>
      <c r="AI93" s="1260"/>
      <c r="AJ93" s="1260"/>
      <c r="AK93" s="1260"/>
    </row>
    <row r="94" spans="1:37">
      <c r="A94" s="4"/>
      <c r="C94" s="2"/>
      <c r="D94" s="4"/>
      <c r="E94" s="4" t="s">
        <v>904</v>
      </c>
      <c r="F94" s="205" t="s">
        <v>905</v>
      </c>
      <c r="G94" s="205"/>
      <c r="L94" s="4"/>
      <c r="M94" s="4"/>
      <c r="P94" s="4"/>
      <c r="Q94" s="4"/>
      <c r="R94" s="4"/>
      <c r="S94" s="4"/>
      <c r="T94" s="4"/>
      <c r="U94" s="4"/>
      <c r="V94" s="4"/>
      <c r="W94" s="4"/>
      <c r="X94" s="4"/>
      <c r="Y94" s="4"/>
      <c r="Z94" s="4"/>
      <c r="AA94" s="4"/>
      <c r="AB94" s="4"/>
    </row>
    <row r="95" spans="1:37">
      <c r="A95" s="4"/>
      <c r="C95" s="2"/>
      <c r="D95" s="4"/>
      <c r="E95" s="4"/>
      <c r="G95" s="1260" t="s">
        <v>1173</v>
      </c>
      <c r="H95" s="1260"/>
      <c r="I95" s="1260"/>
      <c r="J95" s="1260"/>
      <c r="K95" s="1260"/>
      <c r="L95" s="1260"/>
      <c r="M95" s="1260"/>
      <c r="N95" s="1260"/>
      <c r="O95" s="1260"/>
      <c r="P95" s="1260"/>
      <c r="Q95" s="1260"/>
      <c r="R95" s="1260"/>
      <c r="S95" s="1260"/>
      <c r="T95" s="1260"/>
      <c r="U95" s="1260"/>
      <c r="V95" s="1260"/>
      <c r="W95" s="1260"/>
      <c r="X95" s="1260"/>
      <c r="Y95" s="1260"/>
      <c r="Z95" s="1260"/>
      <c r="AA95" s="1260"/>
      <c r="AB95" s="1260"/>
      <c r="AC95" s="1260"/>
      <c r="AD95" s="1260"/>
      <c r="AE95" s="1260"/>
      <c r="AF95" s="1260"/>
      <c r="AG95" s="1260"/>
      <c r="AH95" s="1260"/>
      <c r="AI95" s="1260"/>
      <c r="AJ95" s="1260"/>
      <c r="AK95" s="1260"/>
    </row>
    <row r="96" spans="1:37">
      <c r="A96" s="4"/>
      <c r="C96" s="2"/>
      <c r="D96" s="4"/>
      <c r="E96" s="4"/>
      <c r="G96" s="1260"/>
      <c r="H96" s="1260"/>
      <c r="I96" s="1260"/>
      <c r="J96" s="1260"/>
      <c r="K96" s="1260"/>
      <c r="L96" s="1260"/>
      <c r="M96" s="1260"/>
      <c r="N96" s="1260"/>
      <c r="O96" s="1260"/>
      <c r="P96" s="1260"/>
      <c r="Q96" s="1260"/>
      <c r="R96" s="1260"/>
      <c r="S96" s="1260"/>
      <c r="T96" s="1260"/>
      <c r="U96" s="1260"/>
      <c r="V96" s="1260"/>
      <c r="W96" s="1260"/>
      <c r="X96" s="1260"/>
      <c r="Y96" s="1260"/>
      <c r="Z96" s="1260"/>
      <c r="AA96" s="1260"/>
      <c r="AB96" s="1260"/>
      <c r="AC96" s="1260"/>
      <c r="AD96" s="1260"/>
      <c r="AE96" s="1260"/>
      <c r="AF96" s="1260"/>
      <c r="AG96" s="1260"/>
      <c r="AH96" s="1260"/>
      <c r="AI96" s="1260"/>
      <c r="AJ96" s="1260"/>
      <c r="AK96" s="1260"/>
    </row>
    <row r="97" spans="1:38">
      <c r="A97" s="4"/>
      <c r="C97" s="2"/>
      <c r="D97" s="4"/>
      <c r="E97" s="4"/>
      <c r="G97" s="1260"/>
      <c r="H97" s="1260"/>
      <c r="I97" s="1260"/>
      <c r="J97" s="1260"/>
      <c r="K97" s="1260"/>
      <c r="L97" s="1260"/>
      <c r="M97" s="1260"/>
      <c r="N97" s="1260"/>
      <c r="O97" s="1260"/>
      <c r="P97" s="1260"/>
      <c r="Q97" s="1260"/>
      <c r="R97" s="1260"/>
      <c r="S97" s="1260"/>
      <c r="T97" s="1260"/>
      <c r="U97" s="1260"/>
      <c r="V97" s="1260"/>
      <c r="W97" s="1260"/>
      <c r="X97" s="1260"/>
      <c r="Y97" s="1260"/>
      <c r="Z97" s="1260"/>
      <c r="AA97" s="1260"/>
      <c r="AB97" s="1260"/>
      <c r="AC97" s="1260"/>
      <c r="AD97" s="1260"/>
      <c r="AE97" s="1260"/>
      <c r="AF97" s="1260"/>
      <c r="AG97" s="1260"/>
      <c r="AH97" s="1260"/>
      <c r="AI97" s="1260"/>
      <c r="AJ97" s="1260"/>
      <c r="AK97" s="1260"/>
    </row>
    <row r="98" spans="1:38">
      <c r="A98" s="4"/>
      <c r="D98" s="99"/>
      <c r="E98" s="1271" t="s">
        <v>1174</v>
      </c>
      <c r="F98" s="1271"/>
      <c r="G98" s="1271"/>
      <c r="H98" s="1271"/>
      <c r="I98" s="1271"/>
      <c r="J98" s="1271"/>
      <c r="K98" s="1271"/>
      <c r="L98" s="1271"/>
      <c r="M98" s="1271"/>
      <c r="N98" s="1271"/>
      <c r="O98" s="1271"/>
      <c r="P98" s="1271"/>
      <c r="Q98" s="1271"/>
      <c r="R98" s="1271"/>
      <c r="S98" s="1271"/>
      <c r="T98" s="1271"/>
      <c r="U98" s="1271"/>
      <c r="V98" s="1271"/>
      <c r="W98" s="1271"/>
      <c r="X98" s="1271"/>
      <c r="Y98" s="1271"/>
      <c r="Z98" s="1271"/>
      <c r="AA98" s="1271"/>
      <c r="AB98" s="1271"/>
      <c r="AC98" s="1271"/>
      <c r="AD98" s="1271"/>
      <c r="AE98" s="1271"/>
      <c r="AF98" s="1271"/>
      <c r="AG98" s="1271"/>
      <c r="AH98" s="1271"/>
      <c r="AI98" s="1271"/>
      <c r="AJ98" s="1271"/>
      <c r="AK98" s="1271"/>
    </row>
    <row r="99" spans="1:38">
      <c r="A99" s="4"/>
      <c r="D99" s="99"/>
      <c r="E99" s="1271"/>
      <c r="F99" s="1271"/>
      <c r="G99" s="1271"/>
      <c r="H99" s="1271"/>
      <c r="I99" s="1271"/>
      <c r="J99" s="1271"/>
      <c r="K99" s="1271"/>
      <c r="L99" s="1271"/>
      <c r="M99" s="1271"/>
      <c r="N99" s="1271"/>
      <c r="O99" s="1271"/>
      <c r="P99" s="1271"/>
      <c r="Q99" s="1271"/>
      <c r="R99" s="1271"/>
      <c r="S99" s="1271"/>
      <c r="T99" s="1271"/>
      <c r="U99" s="1271"/>
      <c r="V99" s="1271"/>
      <c r="W99" s="1271"/>
      <c r="X99" s="1271"/>
      <c r="Y99" s="1271"/>
      <c r="Z99" s="1271"/>
      <c r="AA99" s="1271"/>
      <c r="AB99" s="1271"/>
      <c r="AC99" s="1271"/>
      <c r="AD99" s="1271"/>
      <c r="AE99" s="1271"/>
      <c r="AF99" s="1271"/>
      <c r="AG99" s="1271"/>
      <c r="AH99" s="1271"/>
      <c r="AI99" s="1271"/>
      <c r="AJ99" s="1271"/>
      <c r="AK99" s="1271"/>
    </row>
    <row r="100" spans="1:38">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c r="A101" s="5"/>
      <c r="B101" s="11" t="s">
        <v>339</v>
      </c>
      <c r="C101" s="11" t="s">
        <v>420</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c r="B102" s="2"/>
      <c r="C102" s="2"/>
      <c r="D102" s="2"/>
      <c r="E102" s="2"/>
      <c r="F102" s="2"/>
      <c r="G102" s="2"/>
      <c r="H102" s="2"/>
      <c r="I102" s="2"/>
      <c r="J102" s="2"/>
      <c r="K102" s="2"/>
    </row>
    <row r="103" spans="1:38">
      <c r="B103" s="2"/>
      <c r="C103" s="2" t="s">
        <v>429</v>
      </c>
      <c r="E103" s="2"/>
      <c r="F103" s="2"/>
      <c r="G103" s="2" t="s">
        <v>1185</v>
      </c>
      <c r="H103" s="2"/>
      <c r="I103" s="2"/>
      <c r="K103" s="2"/>
    </row>
    <row r="104" spans="1:38">
      <c r="B104" s="2"/>
      <c r="C104" s="2"/>
      <c r="D104" s="2" t="s">
        <v>206</v>
      </c>
      <c r="E104" s="2" t="s">
        <v>1187</v>
      </c>
      <c r="F104" s="2"/>
      <c r="G104" s="2"/>
      <c r="H104" s="2"/>
      <c r="I104" s="2"/>
      <c r="J104" s="2"/>
      <c r="K104" s="2"/>
      <c r="L104" s="2"/>
      <c r="M104" s="2"/>
    </row>
    <row r="105" spans="1:38">
      <c r="B105" s="2"/>
      <c r="C105" s="2"/>
      <c r="E105" s="4" t="s">
        <v>112</v>
      </c>
      <c r="F105" s="98" t="s">
        <v>652</v>
      </c>
      <c r="G105" s="2"/>
      <c r="H105" s="2"/>
      <c r="I105" s="2"/>
      <c r="J105" s="2"/>
      <c r="K105" s="2"/>
    </row>
    <row r="106" spans="1:38">
      <c r="E106" s="4"/>
      <c r="F106" t="s">
        <v>654</v>
      </c>
    </row>
    <row r="107" spans="1:38">
      <c r="E107" s="4"/>
      <c r="F107" t="s">
        <v>655</v>
      </c>
    </row>
    <row r="108" spans="1:38">
      <c r="E108" s="4"/>
    </row>
    <row r="109" spans="1:38">
      <c r="E109" s="4" t="s">
        <v>113</v>
      </c>
      <c r="F109" s="98" t="s">
        <v>656</v>
      </c>
      <c r="G109" s="2"/>
      <c r="H109" s="2"/>
      <c r="I109" s="2"/>
      <c r="J109" s="2"/>
    </row>
    <row r="110" spans="1:38">
      <c r="E110" s="4"/>
      <c r="F110" t="s">
        <v>657</v>
      </c>
    </row>
    <row r="111" spans="1:38">
      <c r="E111" s="4"/>
    </row>
    <row r="112" spans="1:38">
      <c r="E112" s="4" t="s">
        <v>119</v>
      </c>
      <c r="F112" s="98" t="s">
        <v>658</v>
      </c>
      <c r="G112" s="2"/>
      <c r="H112" s="2"/>
      <c r="I112" s="2"/>
      <c r="J112" s="2"/>
      <c r="K112" s="2"/>
      <c r="L112" s="2"/>
      <c r="M112" s="2"/>
      <c r="N112" s="2"/>
      <c r="O112" s="2"/>
      <c r="P112" s="2"/>
    </row>
    <row r="113" spans="2:10">
      <c r="E113" s="4"/>
      <c r="F113" s="4" t="s">
        <v>921</v>
      </c>
    </row>
    <row r="114" spans="2:10" ht="12.75" customHeight="1">
      <c r="F114" s="4" t="s">
        <v>951</v>
      </c>
    </row>
    <row r="115" spans="2:10"/>
    <row r="116" spans="2:10">
      <c r="E116" t="s">
        <v>581</v>
      </c>
      <c r="F116" s="98" t="s">
        <v>922</v>
      </c>
    </row>
    <row r="117" spans="2:10">
      <c r="F117" s="4" t="s">
        <v>1014</v>
      </c>
      <c r="G117" s="4"/>
    </row>
    <row r="118" spans="2:10">
      <c r="F118" s="99" t="s">
        <v>1186</v>
      </c>
      <c r="G118" s="99"/>
    </row>
    <row r="119" spans="2:10">
      <c r="G119" s="99"/>
    </row>
    <row r="120" spans="2:10">
      <c r="E120" s="4" t="s">
        <v>763</v>
      </c>
      <c r="F120" s="98" t="s">
        <v>377</v>
      </c>
    </row>
    <row r="121" spans="2:10">
      <c r="E121" s="4"/>
      <c r="F121" s="4" t="s">
        <v>1006</v>
      </c>
    </row>
    <row r="122" spans="2:10">
      <c r="B122" s="2"/>
      <c r="C122" s="2"/>
      <c r="F122" s="2"/>
    </row>
    <row r="123" spans="2:10">
      <c r="B123" s="2"/>
      <c r="C123" s="2" t="s">
        <v>430</v>
      </c>
      <c r="G123" s="2" t="s">
        <v>378</v>
      </c>
    </row>
    <row r="124" spans="2:10">
      <c r="B124" s="2"/>
      <c r="C124" s="2"/>
      <c r="D124" s="2" t="s">
        <v>206</v>
      </c>
      <c r="E124" s="2" t="s">
        <v>319</v>
      </c>
      <c r="F124" s="2"/>
      <c r="G124" s="2"/>
      <c r="H124" s="2"/>
      <c r="I124" s="2"/>
      <c r="J124" s="2"/>
    </row>
    <row r="125" spans="2:10">
      <c r="B125" s="2"/>
      <c r="C125" s="2"/>
      <c r="E125" s="4" t="s">
        <v>923</v>
      </c>
      <c r="F125" s="4"/>
    </row>
    <row r="126" spans="2:10"/>
    <row r="127" spans="2:10">
      <c r="D127" s="2" t="s">
        <v>340</v>
      </c>
      <c r="E127" s="2" t="s">
        <v>577</v>
      </c>
    </row>
    <row r="128" spans="2:10">
      <c r="E128" s="4" t="s">
        <v>923</v>
      </c>
      <c r="F128" s="4"/>
    </row>
    <row r="129" spans="4:37"/>
    <row r="130" spans="4:37">
      <c r="D130" s="2" t="s">
        <v>574</v>
      </c>
      <c r="E130" s="2" t="s">
        <v>724</v>
      </c>
      <c r="G130" s="2"/>
      <c r="H130" s="2"/>
      <c r="I130" s="2"/>
      <c r="J130" s="2"/>
      <c r="K130" s="2"/>
      <c r="L130" s="2"/>
      <c r="M130" s="2"/>
      <c r="N130" s="2"/>
    </row>
    <row r="131" spans="4:37">
      <c r="D131" s="2"/>
      <c r="E131" s="119" t="s">
        <v>1256</v>
      </c>
      <c r="G131" s="2"/>
      <c r="H131" s="2"/>
      <c r="I131" s="2"/>
      <c r="J131" s="2"/>
      <c r="K131" s="2"/>
      <c r="L131" s="2"/>
      <c r="M131" s="2"/>
      <c r="N131" s="2"/>
    </row>
    <row r="132" spans="4:37" ht="12.75" customHeight="1">
      <c r="E132" s="119" t="s">
        <v>1254</v>
      </c>
      <c r="F132" s="456"/>
      <c r="G132" s="456"/>
      <c r="H132" s="456"/>
      <c r="I132" s="456"/>
      <c r="J132" s="456"/>
      <c r="K132" s="456"/>
      <c r="L132" s="456"/>
      <c r="M132" s="456"/>
      <c r="N132" s="456"/>
      <c r="O132" s="456"/>
      <c r="P132" s="456"/>
      <c r="Q132" s="456"/>
      <c r="R132" s="456"/>
      <c r="S132" s="456"/>
      <c r="T132" s="456"/>
      <c r="U132" s="456"/>
      <c r="V132" s="456"/>
      <c r="W132" s="456"/>
      <c r="X132" s="456"/>
      <c r="Y132" s="456"/>
      <c r="Z132" s="456"/>
      <c r="AA132" s="456"/>
      <c r="AB132" s="456"/>
      <c r="AC132" s="456"/>
      <c r="AD132" s="456"/>
      <c r="AE132" s="456"/>
      <c r="AF132" s="456"/>
      <c r="AG132" s="456"/>
      <c r="AH132" s="456"/>
      <c r="AI132" s="456"/>
      <c r="AJ132" s="456"/>
      <c r="AK132" s="456"/>
    </row>
    <row r="133" spans="4:37">
      <c r="E133" s="119" t="s">
        <v>1255</v>
      </c>
      <c r="F133" s="456"/>
      <c r="G133" s="456"/>
      <c r="H133" s="456"/>
      <c r="I133" s="456"/>
      <c r="J133" s="456"/>
      <c r="K133" s="456"/>
      <c r="L133" s="456"/>
      <c r="M133" s="456"/>
      <c r="N133" s="456"/>
      <c r="O133" s="456"/>
      <c r="P133" s="456"/>
      <c r="Q133" s="456"/>
      <c r="R133" s="456"/>
      <c r="S133" s="456"/>
      <c r="T133" s="456"/>
      <c r="U133" s="456"/>
      <c r="V133" s="456"/>
      <c r="W133" s="456"/>
      <c r="X133" s="456"/>
      <c r="Y133" s="456"/>
      <c r="Z133" s="456"/>
      <c r="AA133" s="456"/>
      <c r="AB133" s="456"/>
      <c r="AC133" s="456"/>
      <c r="AD133" s="456"/>
      <c r="AE133" s="456"/>
      <c r="AF133" s="456"/>
      <c r="AG133" s="456"/>
      <c r="AH133" s="456"/>
      <c r="AI133" s="456"/>
      <c r="AJ133" s="456"/>
      <c r="AK133" s="456"/>
    </row>
    <row r="134" spans="4:37">
      <c r="F134" s="4"/>
    </row>
    <row r="135" spans="4:37">
      <c r="D135" s="2" t="s">
        <v>514</v>
      </c>
      <c r="E135" s="2" t="s">
        <v>517</v>
      </c>
      <c r="F135" s="2"/>
    </row>
    <row r="136" spans="4:37">
      <c r="E136" s="3" t="s">
        <v>1212</v>
      </c>
      <c r="F136" s="4"/>
    </row>
    <row r="137" spans="4:37">
      <c r="F137" s="4"/>
    </row>
    <row r="138" spans="4:37">
      <c r="D138" s="2" t="s">
        <v>302</v>
      </c>
      <c r="E138" s="2" t="s">
        <v>2042</v>
      </c>
      <c r="F138" s="2"/>
      <c r="G138" s="2"/>
      <c r="H138" s="2"/>
    </row>
    <row r="139" spans="4:37">
      <c r="E139" t="s">
        <v>112</v>
      </c>
      <c r="F139" t="s">
        <v>52</v>
      </c>
    </row>
    <row r="140" spans="4:37">
      <c r="E140" t="s">
        <v>113</v>
      </c>
      <c r="F140" t="s">
        <v>466</v>
      </c>
    </row>
    <row r="141" spans="4:37"/>
    <row r="142" spans="4:37">
      <c r="D142" s="2" t="s">
        <v>428</v>
      </c>
      <c r="E142" s="2" t="s">
        <v>2043</v>
      </c>
    </row>
    <row r="143" spans="4:37">
      <c r="E143" s="205" t="s">
        <v>2044</v>
      </c>
      <c r="F143" s="205"/>
    </row>
    <row r="144" spans="4:37"/>
    <row r="145" spans="3:7">
      <c r="C145" s="2" t="s">
        <v>6</v>
      </c>
      <c r="G145" s="2" t="s">
        <v>379</v>
      </c>
    </row>
    <row r="146" spans="3:7">
      <c r="D146" s="2" t="s">
        <v>206</v>
      </c>
      <c r="E146" s="2" t="s">
        <v>135</v>
      </c>
    </row>
    <row r="147" spans="3:7">
      <c r="E147" t="s">
        <v>797</v>
      </c>
    </row>
    <row r="148" spans="3:7"/>
    <row r="149" spans="3:7">
      <c r="D149" s="2" t="s">
        <v>340</v>
      </c>
      <c r="E149" s="2" t="s">
        <v>524</v>
      </c>
      <c r="F149" s="2"/>
    </row>
    <row r="150" spans="3:7">
      <c r="E150" s="4" t="s">
        <v>925</v>
      </c>
      <c r="F150" s="4"/>
    </row>
    <row r="151" spans="3:7"/>
    <row r="152" spans="3:7">
      <c r="D152" s="2" t="s">
        <v>574</v>
      </c>
      <c r="E152" s="2" t="s">
        <v>553</v>
      </c>
    </row>
    <row r="153" spans="3:7">
      <c r="E153" s="4" t="s">
        <v>926</v>
      </c>
    </row>
    <row r="154" spans="3:7">
      <c r="E154" s="4" t="s">
        <v>924</v>
      </c>
      <c r="G154" s="4"/>
    </row>
    <row r="155" spans="3:7"/>
    <row r="156" spans="3:7">
      <c r="D156" s="2" t="s">
        <v>514</v>
      </c>
      <c r="E156" s="2" t="s">
        <v>533</v>
      </c>
    </row>
    <row r="157" spans="3:7">
      <c r="E157" t="s">
        <v>112</v>
      </c>
      <c r="F157" s="4" t="s">
        <v>927</v>
      </c>
    </row>
    <row r="158" spans="3:7">
      <c r="E158" s="4" t="s">
        <v>113</v>
      </c>
      <c r="F158" s="4" t="s">
        <v>928</v>
      </c>
    </row>
    <row r="159" spans="3:7">
      <c r="E159" s="4" t="s">
        <v>119</v>
      </c>
      <c r="F159" t="s">
        <v>725</v>
      </c>
    </row>
    <row r="160" spans="3:7"/>
    <row r="161" spans="3:20">
      <c r="D161" s="2" t="s">
        <v>302</v>
      </c>
      <c r="E161" s="2" t="s">
        <v>380</v>
      </c>
    </row>
    <row r="162" spans="3:20">
      <c r="E162" s="4" t="s">
        <v>929</v>
      </c>
      <c r="F162" s="4"/>
    </row>
    <row r="163" spans="3:20"/>
    <row r="164" spans="3:20">
      <c r="D164" s="2" t="s">
        <v>428</v>
      </c>
      <c r="E164" s="2" t="s">
        <v>171</v>
      </c>
    </row>
    <row r="165" spans="3:20">
      <c r="E165" s="4" t="s">
        <v>931</v>
      </c>
    </row>
    <row r="166" spans="3:20">
      <c r="E166" s="4" t="s">
        <v>930</v>
      </c>
    </row>
    <row r="167" spans="3:20"/>
    <row r="168" spans="3:20">
      <c r="D168" s="2" t="s">
        <v>557</v>
      </c>
      <c r="E168" s="2" t="s">
        <v>622</v>
      </c>
    </row>
    <row r="169" spans="3:20">
      <c r="E169" t="s">
        <v>112</v>
      </c>
      <c r="F169" t="s">
        <v>726</v>
      </c>
    </row>
    <row r="170" spans="3:20">
      <c r="E170" t="s">
        <v>113</v>
      </c>
      <c r="F170" t="s">
        <v>296</v>
      </c>
    </row>
    <row r="171" spans="3:20">
      <c r="F171" s="4"/>
    </row>
    <row r="172" spans="3:20">
      <c r="C172" s="2" t="s">
        <v>7</v>
      </c>
      <c r="E172" s="4"/>
      <c r="G172" s="2" t="s">
        <v>381</v>
      </c>
    </row>
    <row r="173" spans="3:20">
      <c r="E173" s="4" t="s">
        <v>867</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c r="C175" s="2" t="s">
        <v>8</v>
      </c>
      <c r="D175" s="2"/>
      <c r="F175" s="4"/>
      <c r="G175" s="2" t="s">
        <v>577</v>
      </c>
    </row>
    <row r="176" spans="3:20">
      <c r="D176" s="2" t="s">
        <v>206</v>
      </c>
      <c r="E176" s="2" t="s">
        <v>297</v>
      </c>
      <c r="G176" s="4"/>
      <c r="H176" s="4"/>
      <c r="I176" s="4"/>
      <c r="J176" s="4"/>
      <c r="K176" s="4"/>
      <c r="L176" s="4"/>
      <c r="M176" s="4"/>
      <c r="N176" s="4"/>
    </row>
    <row r="177" spans="2:19">
      <c r="E177" t="s">
        <v>112</v>
      </c>
      <c r="F177" s="4" t="s">
        <v>932</v>
      </c>
    </row>
    <row r="178" spans="2:19">
      <c r="F178" s="120" t="s">
        <v>1147</v>
      </c>
      <c r="I178" s="120"/>
    </row>
    <row r="179" spans="2:19">
      <c r="I179" s="120"/>
    </row>
    <row r="180" spans="2:19">
      <c r="B180" s="4"/>
      <c r="C180" s="4"/>
      <c r="E180" t="s">
        <v>113</v>
      </c>
      <c r="F180" s="3" t="s">
        <v>868</v>
      </c>
      <c r="H180" s="4"/>
    </row>
    <row r="181" spans="2:19">
      <c r="B181" s="4"/>
      <c r="C181" s="4"/>
      <c r="F181" t="s">
        <v>653</v>
      </c>
      <c r="G181" t="s">
        <v>708</v>
      </c>
      <c r="H181" s="4"/>
      <c r="O181" s="4"/>
      <c r="P181" s="4"/>
      <c r="Q181" s="4"/>
      <c r="R181" s="4"/>
      <c r="S181" s="4"/>
    </row>
    <row r="182" spans="2:19">
      <c r="B182" s="4"/>
      <c r="C182" s="4"/>
      <c r="H182" s="4"/>
      <c r="O182" s="4"/>
      <c r="P182" s="4"/>
      <c r="Q182" s="4"/>
      <c r="R182" s="4"/>
      <c r="S182" s="4"/>
    </row>
    <row r="183" spans="2:19">
      <c r="D183" s="2" t="s">
        <v>340</v>
      </c>
      <c r="E183" s="2" t="s">
        <v>1007</v>
      </c>
    </row>
    <row r="184" spans="2:19">
      <c r="B184" s="4"/>
      <c r="C184" s="4"/>
      <c r="E184" s="4" t="s">
        <v>709</v>
      </c>
      <c r="F184" s="4"/>
      <c r="I184" s="4"/>
    </row>
    <row r="185" spans="2:19">
      <c r="B185" s="4"/>
      <c r="C185" s="4"/>
      <c r="E185" s="4" t="s">
        <v>1005</v>
      </c>
      <c r="F185" s="120"/>
      <c r="G185" s="4"/>
      <c r="I185" s="120"/>
    </row>
    <row r="186" spans="2:19">
      <c r="B186" s="4"/>
      <c r="C186" s="4"/>
      <c r="F186" s="120"/>
      <c r="G186" s="4"/>
      <c r="I186" s="120"/>
    </row>
    <row r="187" spans="2:19">
      <c r="B187" s="4"/>
      <c r="C187" s="4"/>
      <c r="D187" s="2" t="s">
        <v>574</v>
      </c>
      <c r="E187" s="2" t="s">
        <v>3</v>
      </c>
      <c r="F187" s="120"/>
      <c r="G187" s="4"/>
      <c r="I187" s="120"/>
    </row>
    <row r="188" spans="2:19">
      <c r="B188" s="4"/>
      <c r="C188" s="4"/>
      <c r="D188" s="2"/>
      <c r="E188" s="4" t="s">
        <v>298</v>
      </c>
      <c r="F188" s="4"/>
      <c r="G188" s="4"/>
      <c r="I188" s="120"/>
    </row>
    <row r="189" spans="2:19">
      <c r="B189" s="4"/>
      <c r="C189" s="4"/>
      <c r="F189" s="120"/>
      <c r="G189" s="4"/>
      <c r="I189" s="120"/>
    </row>
    <row r="190" spans="2:19">
      <c r="D190" s="2" t="s">
        <v>514</v>
      </c>
      <c r="E190" s="2" t="s">
        <v>111</v>
      </c>
    </row>
    <row r="191" spans="2:19">
      <c r="B191" s="4"/>
      <c r="C191" s="2"/>
      <c r="E191" t="s">
        <v>112</v>
      </c>
      <c r="F191" s="4" t="s">
        <v>1015</v>
      </c>
      <c r="G191" s="4"/>
      <c r="H191" s="4"/>
      <c r="I191" s="4"/>
    </row>
    <row r="192" spans="2:19">
      <c r="B192" s="4"/>
      <c r="C192" s="2"/>
      <c r="F192" s="4" t="s">
        <v>653</v>
      </c>
      <c r="G192" s="3" t="s">
        <v>1206</v>
      </c>
    </row>
    <row r="193" spans="2:37">
      <c r="B193" s="4"/>
      <c r="C193" s="4"/>
      <c r="F193" s="4" t="s">
        <v>347</v>
      </c>
      <c r="G193" s="3" t="s">
        <v>1207</v>
      </c>
      <c r="I193" s="4"/>
      <c r="J193" s="4"/>
      <c r="M193" s="4"/>
      <c r="N193" s="4"/>
      <c r="O193" s="4"/>
      <c r="P193" s="4"/>
      <c r="Q193" s="4"/>
      <c r="R193" s="4"/>
      <c r="S193" s="4"/>
    </row>
    <row r="194" spans="2:37">
      <c r="B194" s="4"/>
      <c r="C194" s="4"/>
      <c r="F194" s="4" t="s">
        <v>348</v>
      </c>
      <c r="G194" s="4" t="s">
        <v>933</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c r="B196" s="4"/>
      <c r="C196" s="4"/>
      <c r="D196" s="2" t="s">
        <v>302</v>
      </c>
      <c r="E196" s="2" t="s">
        <v>114</v>
      </c>
      <c r="G196" s="4"/>
      <c r="H196" s="4"/>
      <c r="I196" s="4"/>
      <c r="J196" s="4"/>
      <c r="M196" s="4"/>
      <c r="N196" s="4"/>
      <c r="O196" s="4"/>
      <c r="P196" s="4"/>
      <c r="Q196" s="4"/>
      <c r="R196" s="4"/>
      <c r="S196" s="4"/>
    </row>
    <row r="197" spans="2:37">
      <c r="B197" s="4"/>
      <c r="C197" s="4"/>
      <c r="D197" s="4"/>
      <c r="E197" s="4" t="s">
        <v>934</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c r="B199" s="4"/>
      <c r="C199" s="4"/>
      <c r="D199" s="2" t="s">
        <v>428</v>
      </c>
      <c r="E199" s="2" t="s">
        <v>120</v>
      </c>
      <c r="G199" s="4"/>
      <c r="H199" s="4"/>
      <c r="I199" s="4"/>
      <c r="J199" s="4"/>
      <c r="M199" s="4"/>
      <c r="N199" s="4"/>
      <c r="O199" s="4"/>
      <c r="P199" s="4"/>
      <c r="Q199" s="4"/>
      <c r="R199" s="4"/>
      <c r="S199" s="4"/>
    </row>
    <row r="200" spans="2:37">
      <c r="B200" s="4"/>
      <c r="C200" s="4"/>
      <c r="D200" s="2"/>
      <c r="E200" s="4" t="s">
        <v>112</v>
      </c>
      <c r="F200" s="4" t="s">
        <v>935</v>
      </c>
      <c r="M200" s="4"/>
      <c r="N200" s="4"/>
      <c r="O200" s="4"/>
      <c r="P200" s="4"/>
      <c r="Q200" s="4"/>
      <c r="R200" s="4"/>
      <c r="S200" s="4"/>
    </row>
    <row r="201" spans="2:37">
      <c r="B201" s="4"/>
      <c r="C201" s="4"/>
      <c r="D201" s="2"/>
      <c r="E201" s="4" t="s">
        <v>113</v>
      </c>
      <c r="F201" s="4" t="s">
        <v>1016</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c r="B202" s="4"/>
      <c r="C202" s="4"/>
      <c r="D202" s="2"/>
      <c r="E202" s="4" t="s">
        <v>119</v>
      </c>
      <c r="F202" s="4" t="s">
        <v>710</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653</v>
      </c>
      <c r="G203" s="4" t="s">
        <v>936</v>
      </c>
      <c r="I203" s="4"/>
      <c r="J203" s="4"/>
      <c r="M203" s="4"/>
      <c r="N203" s="4"/>
      <c r="O203" s="4"/>
      <c r="P203" s="4"/>
      <c r="Q203" s="4"/>
      <c r="R203" s="4"/>
      <c r="S203" s="4"/>
      <c r="T203" s="4"/>
      <c r="U203" s="4"/>
      <c r="V203" s="4"/>
      <c r="W203" s="4"/>
      <c r="X203" s="4"/>
      <c r="Y203" s="4"/>
    </row>
    <row r="204" spans="2:37">
      <c r="B204" s="4"/>
      <c r="C204" s="4"/>
      <c r="D204" s="2"/>
      <c r="E204" s="4" t="s">
        <v>581</v>
      </c>
      <c r="F204" s="4" t="s">
        <v>937</v>
      </c>
      <c r="M204" s="4"/>
      <c r="N204" s="4"/>
      <c r="O204" s="4"/>
      <c r="P204" s="4"/>
      <c r="Q204" s="4"/>
      <c r="R204" s="4"/>
      <c r="S204" s="4"/>
    </row>
    <row r="205" spans="2:37">
      <c r="B205" s="4"/>
      <c r="C205" s="4"/>
      <c r="D205" s="2"/>
      <c r="F205" t="s">
        <v>653</v>
      </c>
      <c r="G205" s="1260" t="s">
        <v>1175</v>
      </c>
      <c r="H205" s="1260"/>
      <c r="I205" s="1260"/>
      <c r="J205" s="1260"/>
      <c r="K205" s="1260"/>
      <c r="L205" s="1260"/>
      <c r="M205" s="1260"/>
      <c r="N205" s="1260"/>
      <c r="O205" s="1260"/>
      <c r="P205" s="1260"/>
      <c r="Q205" s="1260"/>
      <c r="R205" s="1260"/>
      <c r="S205" s="1260"/>
      <c r="T205" s="1260"/>
      <c r="U205" s="1260"/>
      <c r="V205" s="1260"/>
      <c r="W205" s="1260"/>
      <c r="X205" s="1260"/>
      <c r="Y205" s="1260"/>
      <c r="Z205" s="1260"/>
      <c r="AA205" s="1260"/>
      <c r="AB205" s="1260"/>
      <c r="AC205" s="1260"/>
      <c r="AD205" s="1260"/>
      <c r="AE205" s="1260"/>
      <c r="AF205" s="1260"/>
      <c r="AG205" s="1260"/>
      <c r="AH205" s="1260"/>
      <c r="AI205" s="1260"/>
      <c r="AJ205" s="1260"/>
      <c r="AK205" s="1260"/>
    </row>
    <row r="206" spans="2:37">
      <c r="B206" s="4"/>
      <c r="C206" s="4"/>
      <c r="D206" s="2"/>
      <c r="G206" s="1260"/>
      <c r="H206" s="1260"/>
      <c r="I206" s="1260"/>
      <c r="J206" s="1260"/>
      <c r="K206" s="1260"/>
      <c r="L206" s="1260"/>
      <c r="M206" s="1260"/>
      <c r="N206" s="1260"/>
      <c r="O206" s="1260"/>
      <c r="P206" s="1260"/>
      <c r="Q206" s="1260"/>
      <c r="R206" s="1260"/>
      <c r="S206" s="1260"/>
      <c r="T206" s="1260"/>
      <c r="U206" s="1260"/>
      <c r="V206" s="1260"/>
      <c r="W206" s="1260"/>
      <c r="X206" s="1260"/>
      <c r="Y206" s="1260"/>
      <c r="Z206" s="1260"/>
      <c r="AA206" s="1260"/>
      <c r="AB206" s="1260"/>
      <c r="AC206" s="1260"/>
      <c r="AD206" s="1260"/>
      <c r="AE206" s="1260"/>
      <c r="AF206" s="1260"/>
      <c r="AG206" s="1260"/>
      <c r="AH206" s="1260"/>
      <c r="AI206" s="1260"/>
      <c r="AJ206" s="1260"/>
      <c r="AK206" s="1260"/>
    </row>
    <row r="207" spans="2:37">
      <c r="B207" s="4"/>
      <c r="C207" s="4"/>
      <c r="D207" s="2"/>
      <c r="M207" s="4"/>
      <c r="N207" s="4"/>
      <c r="O207" s="4"/>
      <c r="P207" s="4"/>
      <c r="Q207" s="4"/>
      <c r="R207" s="4"/>
      <c r="S207" s="4"/>
    </row>
    <row r="208" spans="2:37">
      <c r="B208" s="4"/>
      <c r="C208" s="4"/>
      <c r="D208" s="2" t="s">
        <v>557</v>
      </c>
      <c r="E208" s="2" t="s">
        <v>764</v>
      </c>
      <c r="G208" s="4"/>
      <c r="H208" s="4"/>
      <c r="I208" s="4"/>
      <c r="J208" s="4"/>
      <c r="M208" s="4"/>
      <c r="N208" s="4"/>
      <c r="O208" s="4"/>
      <c r="P208" s="4"/>
      <c r="Q208" s="4"/>
      <c r="R208" s="4"/>
      <c r="S208" s="4"/>
      <c r="T208" s="4"/>
      <c r="U208" s="4"/>
      <c r="V208" s="4"/>
      <c r="W208" s="4"/>
    </row>
    <row r="209" spans="1:38">
      <c r="B209" s="4"/>
      <c r="C209" s="4"/>
      <c r="E209" s="4" t="s">
        <v>711</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c r="B211" s="4"/>
      <c r="C211" s="4"/>
      <c r="D211" s="2" t="s">
        <v>555</v>
      </c>
      <c r="E211" s="2" t="s">
        <v>247</v>
      </c>
      <c r="F211" s="4"/>
      <c r="G211" s="4"/>
      <c r="I211" s="4"/>
      <c r="J211" s="4"/>
      <c r="M211" s="4"/>
      <c r="N211" s="4"/>
      <c r="O211" s="4"/>
      <c r="P211" s="4"/>
      <c r="Q211" s="4"/>
      <c r="R211" s="4"/>
      <c r="S211" s="4"/>
      <c r="T211" s="4"/>
      <c r="U211" s="4"/>
      <c r="V211" s="4"/>
      <c r="W211" s="4"/>
    </row>
    <row r="212" spans="1:38">
      <c r="B212" s="4"/>
      <c r="C212" s="4"/>
      <c r="D212" s="2"/>
      <c r="E212" s="4" t="s">
        <v>298</v>
      </c>
      <c r="F212" s="4"/>
      <c r="G212" s="4"/>
      <c r="I212" s="4"/>
      <c r="J212" s="4"/>
      <c r="M212" s="4"/>
      <c r="N212" s="4"/>
      <c r="O212" s="4"/>
      <c r="P212" s="4"/>
      <c r="Q212" s="4"/>
      <c r="R212" s="4"/>
      <c r="S212" s="4"/>
      <c r="T212" s="4"/>
      <c r="U212" s="4"/>
      <c r="V212" s="4"/>
      <c r="W212" s="4"/>
    </row>
    <row r="213" spans="1:38">
      <c r="B213" s="4"/>
      <c r="C213" s="4"/>
      <c r="D213" s="2"/>
      <c r="M213" s="4"/>
      <c r="N213" s="4"/>
      <c r="O213" s="4"/>
      <c r="P213" s="4"/>
      <c r="Q213" s="4"/>
      <c r="R213" s="4"/>
      <c r="S213" s="4"/>
    </row>
    <row r="214" spans="1:38">
      <c r="C214" s="2" t="s">
        <v>712</v>
      </c>
      <c r="D214" s="2"/>
      <c r="G214" s="2" t="s">
        <v>809</v>
      </c>
      <c r="M214" s="4"/>
      <c r="N214" s="4"/>
      <c r="O214" s="4"/>
      <c r="P214" s="4"/>
      <c r="Q214" s="4"/>
      <c r="R214" s="4"/>
      <c r="S214" s="4"/>
    </row>
    <row r="215" spans="1:38">
      <c r="B215" s="4"/>
      <c r="C215" s="4"/>
      <c r="E215" t="s">
        <v>112</v>
      </c>
      <c r="F215" s="4" t="s">
        <v>808</v>
      </c>
      <c r="G215" s="4"/>
      <c r="H215" s="4"/>
      <c r="I215" s="4"/>
      <c r="L215" s="4"/>
      <c r="N215" s="4"/>
      <c r="O215" s="4"/>
      <c r="P215" s="4"/>
      <c r="Q215" s="4"/>
      <c r="R215" s="4"/>
      <c r="S215" s="4"/>
    </row>
    <row r="216" spans="1:38">
      <c r="B216" s="4"/>
      <c r="C216" s="4"/>
      <c r="F216" s="4" t="s">
        <v>653</v>
      </c>
      <c r="G216" s="4" t="s">
        <v>715</v>
      </c>
      <c r="I216" s="4"/>
      <c r="M216" s="4"/>
      <c r="N216" s="4"/>
      <c r="O216" s="4"/>
      <c r="P216" s="4"/>
      <c r="Q216" s="4"/>
      <c r="R216" s="4"/>
      <c r="S216" s="4"/>
    </row>
    <row r="217" spans="1:38">
      <c r="B217" s="4"/>
      <c r="C217" s="4"/>
      <c r="E217" t="s">
        <v>113</v>
      </c>
      <c r="F217" s="4" t="s">
        <v>399</v>
      </c>
      <c r="G217" s="4"/>
      <c r="H217" s="4"/>
      <c r="I217" s="4"/>
      <c r="M217" s="4"/>
      <c r="N217" s="4"/>
      <c r="O217" s="4"/>
      <c r="P217" s="4"/>
      <c r="Q217" s="4"/>
      <c r="R217" s="4"/>
      <c r="S217" s="4"/>
    </row>
    <row r="218" spans="1:38">
      <c r="B218" s="4"/>
      <c r="C218" s="4"/>
      <c r="F218" s="4" t="s">
        <v>653</v>
      </c>
      <c r="G218" s="4" t="s">
        <v>713</v>
      </c>
      <c r="I218" s="4"/>
      <c r="M218" s="4"/>
      <c r="N218" s="4"/>
      <c r="O218" s="4"/>
      <c r="P218" s="4"/>
      <c r="Q218" s="4"/>
      <c r="R218" s="4"/>
      <c r="S218" s="4"/>
    </row>
    <row r="219" spans="1:38">
      <c r="B219" s="4"/>
      <c r="C219" s="4"/>
      <c r="F219" s="4"/>
      <c r="G219" s="4" t="s">
        <v>714</v>
      </c>
      <c r="I219" s="4"/>
      <c r="M219" s="4"/>
      <c r="N219" s="4"/>
      <c r="O219" s="4"/>
      <c r="P219" s="4"/>
      <c r="Q219" s="4"/>
      <c r="R219" s="4"/>
      <c r="S219" s="4"/>
    </row>
    <row r="220" spans="1:38">
      <c r="B220" s="4"/>
      <c r="C220" s="4"/>
      <c r="F220" s="4"/>
      <c r="K220" s="4"/>
      <c r="M220" s="4"/>
      <c r="N220" s="4"/>
      <c r="O220" s="4"/>
      <c r="P220" s="4"/>
      <c r="Q220" s="4"/>
      <c r="R220" s="4"/>
      <c r="S220" s="4"/>
    </row>
    <row r="221" spans="1:38">
      <c r="A221" s="5"/>
      <c r="B221" s="11" t="s">
        <v>9</v>
      </c>
      <c r="C221" s="11" t="s">
        <v>178</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c r="B222" s="2"/>
      <c r="D222" s="2"/>
      <c r="E222" s="4"/>
      <c r="F222" s="4"/>
      <c r="G222" s="4"/>
      <c r="H222" s="4"/>
      <c r="I222" s="4"/>
      <c r="J222" s="4"/>
      <c r="L222" s="4"/>
      <c r="M222" s="4"/>
      <c r="N222" s="4"/>
      <c r="O222" s="4"/>
      <c r="P222" s="4"/>
      <c r="Q222" s="4"/>
      <c r="R222" s="4"/>
      <c r="S222" s="4"/>
    </row>
    <row r="223" spans="1:38">
      <c r="B223" s="4"/>
      <c r="C223" s="2" t="s">
        <v>429</v>
      </c>
      <c r="D223" s="4"/>
      <c r="E223" s="4"/>
      <c r="F223" s="4"/>
      <c r="G223" s="2" t="s">
        <v>452</v>
      </c>
      <c r="I223" s="4"/>
      <c r="J223" s="4"/>
      <c r="K223" s="4"/>
      <c r="M223" s="4"/>
      <c r="N223" s="4"/>
      <c r="O223" s="4"/>
      <c r="P223" s="4"/>
      <c r="Q223" s="4"/>
      <c r="R223" s="4"/>
      <c r="S223" s="4"/>
    </row>
    <row r="224" spans="1:38">
      <c r="B224" s="2"/>
      <c r="E224" s="4" t="s">
        <v>112</v>
      </c>
      <c r="F224" s="4" t="s">
        <v>716</v>
      </c>
      <c r="G224" s="4"/>
      <c r="I224" s="4"/>
      <c r="J224" s="4"/>
      <c r="K224" s="4"/>
      <c r="L224" s="4"/>
      <c r="M224" s="4"/>
      <c r="N224" s="4"/>
      <c r="O224" s="4"/>
      <c r="P224" s="4"/>
      <c r="Q224" s="4"/>
      <c r="R224" s="4"/>
      <c r="S224" s="4"/>
    </row>
    <row r="225" spans="2:19">
      <c r="B225" s="2"/>
      <c r="E225" s="4" t="s">
        <v>113</v>
      </c>
      <c r="F225" s="4" t="s">
        <v>680</v>
      </c>
      <c r="G225" s="4"/>
      <c r="I225" s="4"/>
      <c r="J225" s="4"/>
      <c r="K225" s="4"/>
      <c r="L225" s="4"/>
      <c r="M225" s="4"/>
      <c r="N225" s="4"/>
      <c r="O225" s="4"/>
      <c r="P225" s="4"/>
      <c r="Q225" s="4"/>
      <c r="R225" s="4"/>
      <c r="S225" s="4"/>
    </row>
    <row r="226" spans="2:19">
      <c r="B226" s="2"/>
      <c r="E226" s="4"/>
      <c r="F226" s="4"/>
      <c r="G226" s="4"/>
      <c r="H226" s="4"/>
      <c r="I226" s="4"/>
      <c r="J226" s="4"/>
      <c r="K226" s="4"/>
      <c r="L226" s="4"/>
      <c r="M226" s="4"/>
      <c r="N226" s="4"/>
      <c r="O226" s="4"/>
      <c r="P226" s="4"/>
      <c r="Q226" s="4"/>
      <c r="R226" s="4"/>
      <c r="S226" s="4"/>
    </row>
    <row r="227" spans="2:19">
      <c r="B227" s="2"/>
      <c r="C227" s="2" t="s">
        <v>430</v>
      </c>
      <c r="D227" s="4"/>
      <c r="E227" s="4"/>
      <c r="F227" s="4"/>
      <c r="G227" s="2" t="s">
        <v>21</v>
      </c>
      <c r="I227" s="4"/>
      <c r="J227" s="4"/>
      <c r="K227" s="4"/>
      <c r="L227" s="4"/>
      <c r="M227" s="4"/>
      <c r="N227" s="4"/>
      <c r="O227" s="4"/>
      <c r="P227" s="4"/>
      <c r="Q227" s="4"/>
      <c r="R227" s="4"/>
      <c r="S227" s="4"/>
    </row>
    <row r="228" spans="2:19">
      <c r="B228" s="2"/>
      <c r="E228" s="4" t="s">
        <v>112</v>
      </c>
      <c r="F228" s="4" t="s">
        <v>717</v>
      </c>
      <c r="G228" s="4"/>
      <c r="I228" s="4"/>
      <c r="J228" s="4"/>
      <c r="K228" s="4"/>
      <c r="L228" s="4"/>
      <c r="M228" s="4"/>
      <c r="N228" s="4"/>
      <c r="O228" s="4"/>
      <c r="P228" s="4"/>
      <c r="Q228" s="4"/>
      <c r="R228" s="4"/>
      <c r="S228" s="4"/>
    </row>
    <row r="229" spans="2:19">
      <c r="B229" s="2"/>
      <c r="E229" s="4"/>
      <c r="F229" s="4" t="s">
        <v>718</v>
      </c>
      <c r="G229" s="4"/>
      <c r="H229" s="4"/>
      <c r="I229" s="4"/>
      <c r="J229" s="4"/>
      <c r="K229" s="4"/>
      <c r="L229" s="4"/>
      <c r="M229" s="4"/>
      <c r="N229" s="4"/>
      <c r="O229" s="4"/>
      <c r="P229" s="4"/>
      <c r="Q229" s="4"/>
      <c r="R229" s="4"/>
      <c r="S229" s="4"/>
    </row>
    <row r="230" spans="2:19">
      <c r="B230" s="2"/>
      <c r="D230" s="4"/>
      <c r="E230" s="4" t="s">
        <v>113</v>
      </c>
      <c r="F230" s="4" t="s">
        <v>680</v>
      </c>
      <c r="G230" s="4"/>
      <c r="I230" s="4"/>
      <c r="J230" s="4"/>
      <c r="K230" s="4"/>
      <c r="L230" s="4"/>
      <c r="M230" s="4"/>
      <c r="N230" s="4"/>
      <c r="O230" s="4"/>
      <c r="P230" s="4"/>
      <c r="Q230" s="4"/>
      <c r="R230" s="4"/>
      <c r="S230" s="4"/>
    </row>
    <row r="231" spans="2:19">
      <c r="B231" s="2"/>
      <c r="E231" s="4" t="s">
        <v>119</v>
      </c>
      <c r="F231" s="98" t="s">
        <v>952</v>
      </c>
      <c r="G231" s="4"/>
      <c r="I231" s="4"/>
      <c r="J231" s="4"/>
      <c r="K231" s="4"/>
      <c r="L231" s="4"/>
      <c r="M231" s="4"/>
      <c r="N231" s="4"/>
      <c r="O231" s="4"/>
      <c r="P231" s="4"/>
      <c r="Q231" s="4"/>
      <c r="R231" s="4"/>
      <c r="S231" s="4"/>
    </row>
    <row r="232" spans="2:19">
      <c r="B232" s="2"/>
      <c r="D232" s="4"/>
      <c r="E232" s="4"/>
      <c r="F232" s="4"/>
      <c r="G232" s="4"/>
      <c r="H232" s="4"/>
      <c r="I232" s="4"/>
      <c r="J232" s="4"/>
      <c r="K232" s="4"/>
      <c r="L232" s="4"/>
      <c r="M232" s="4"/>
      <c r="N232" s="4"/>
      <c r="O232" s="4"/>
      <c r="P232" s="4"/>
      <c r="Q232" s="4"/>
      <c r="R232" s="4"/>
      <c r="S232" s="4"/>
    </row>
    <row r="233" spans="2:19">
      <c r="B233" s="4"/>
      <c r="C233" s="2"/>
      <c r="E233" s="2" t="s">
        <v>326</v>
      </c>
      <c r="F233" s="4"/>
      <c r="J233" s="4"/>
      <c r="K233" s="4"/>
      <c r="M233" s="4"/>
      <c r="N233" s="4"/>
      <c r="O233" s="4"/>
      <c r="P233" s="4"/>
      <c r="Q233" s="4"/>
      <c r="R233" s="4"/>
      <c r="S233" s="4"/>
    </row>
    <row r="234" spans="2:19">
      <c r="B234" s="4"/>
      <c r="C234" s="4"/>
      <c r="E234" t="s">
        <v>112</v>
      </c>
      <c r="F234" s="4" t="s">
        <v>326</v>
      </c>
      <c r="G234" s="2"/>
      <c r="H234" s="2"/>
      <c r="I234" s="2"/>
      <c r="L234" s="2"/>
      <c r="M234" s="2"/>
      <c r="N234" s="2"/>
      <c r="O234" s="2"/>
      <c r="P234" s="2"/>
      <c r="Q234" s="2"/>
      <c r="R234" s="4"/>
      <c r="S234" s="4"/>
    </row>
    <row r="235" spans="2:19">
      <c r="B235" s="4"/>
      <c r="C235" s="4"/>
      <c r="F235" s="4" t="s">
        <v>653</v>
      </c>
      <c r="G235" s="4" t="s">
        <v>719</v>
      </c>
      <c r="I235" s="4"/>
      <c r="M235" s="4"/>
      <c r="N235" s="4"/>
      <c r="O235" s="4"/>
      <c r="P235" s="4"/>
      <c r="Q235" s="4"/>
      <c r="R235" s="4"/>
      <c r="S235" s="4"/>
    </row>
    <row r="236" spans="2:19">
      <c r="B236" s="4"/>
      <c r="C236" s="4"/>
      <c r="F236" s="4"/>
      <c r="G236" s="4" t="s">
        <v>798</v>
      </c>
      <c r="I236" s="4"/>
      <c r="M236" s="4"/>
      <c r="N236" s="4"/>
      <c r="O236" s="4"/>
      <c r="P236" s="4"/>
      <c r="Q236" s="4"/>
      <c r="R236" s="4"/>
      <c r="S236" s="4"/>
    </row>
    <row r="237" spans="2:19">
      <c r="B237" s="4"/>
      <c r="C237" s="4"/>
      <c r="E237" t="s">
        <v>113</v>
      </c>
      <c r="F237" s="136" t="s">
        <v>445</v>
      </c>
      <c r="G237" s="2"/>
      <c r="H237" s="2"/>
      <c r="I237" s="2"/>
      <c r="L237" s="2"/>
      <c r="M237" s="2"/>
      <c r="N237" s="2"/>
      <c r="O237" s="2"/>
      <c r="P237" s="2"/>
      <c r="Q237" s="2"/>
      <c r="R237" s="2"/>
      <c r="S237" s="2"/>
    </row>
    <row r="238" spans="2:19">
      <c r="B238" s="4"/>
      <c r="C238" s="4"/>
      <c r="F238" s="4" t="s">
        <v>653</v>
      </c>
      <c r="G238" s="4" t="s">
        <v>722</v>
      </c>
      <c r="I238" s="4"/>
      <c r="M238" s="4"/>
      <c r="N238" s="4"/>
      <c r="O238" s="4"/>
      <c r="P238" s="4"/>
      <c r="Q238" s="4"/>
      <c r="R238" s="4"/>
      <c r="S238" s="4"/>
    </row>
    <row r="239" spans="2:19">
      <c r="B239" s="4"/>
      <c r="C239" s="4"/>
      <c r="F239" s="4"/>
      <c r="G239" s="4" t="s">
        <v>687</v>
      </c>
      <c r="H239" s="4" t="s">
        <v>941</v>
      </c>
      <c r="I239" s="4"/>
      <c r="M239" s="4"/>
      <c r="N239" s="4"/>
      <c r="O239" s="4"/>
      <c r="P239" s="4"/>
      <c r="Q239" s="4"/>
      <c r="R239" s="4"/>
      <c r="S239" s="4"/>
    </row>
    <row r="240" spans="2:19">
      <c r="B240" s="4"/>
      <c r="C240" s="4"/>
      <c r="F240" s="4" t="s">
        <v>347</v>
      </c>
      <c r="G240" s="136" t="s">
        <v>723</v>
      </c>
      <c r="I240" s="4"/>
      <c r="M240" s="4"/>
      <c r="N240" s="4"/>
      <c r="O240" s="4"/>
      <c r="P240" s="4"/>
      <c r="Q240" s="4"/>
      <c r="R240" s="4"/>
      <c r="S240" s="4"/>
    </row>
    <row r="241" spans="2:21">
      <c r="B241" s="4"/>
      <c r="C241" s="4"/>
      <c r="E241" t="s">
        <v>119</v>
      </c>
      <c r="F241" s="4" t="s">
        <v>653</v>
      </c>
      <c r="G241" s="136" t="s">
        <v>942</v>
      </c>
      <c r="I241" s="4"/>
      <c r="M241" s="4"/>
      <c r="N241" s="4"/>
      <c r="O241" s="4"/>
      <c r="P241" s="4"/>
      <c r="Q241" s="4"/>
      <c r="R241" s="4"/>
      <c r="S241" s="4"/>
    </row>
    <row r="242" spans="2:21">
      <c r="B242" s="4"/>
      <c r="C242" s="4"/>
      <c r="F242" s="4" t="s">
        <v>347</v>
      </c>
      <c r="G242" s="136" t="s">
        <v>943</v>
      </c>
      <c r="I242" s="4"/>
      <c r="M242" s="4"/>
      <c r="N242" s="4"/>
      <c r="O242" s="4"/>
      <c r="P242" s="4"/>
      <c r="Q242" s="4"/>
      <c r="R242" s="4"/>
      <c r="S242" s="4"/>
    </row>
    <row r="243" spans="2:21">
      <c r="B243" s="4"/>
      <c r="C243" s="4"/>
      <c r="F243" s="4" t="s">
        <v>348</v>
      </c>
      <c r="G243" s="136" t="s">
        <v>720</v>
      </c>
      <c r="I243" s="4"/>
      <c r="M243" s="4"/>
      <c r="N243" s="4"/>
      <c r="O243" s="4"/>
      <c r="P243" s="4"/>
      <c r="Q243" s="4"/>
      <c r="R243" s="4"/>
      <c r="S243" s="4"/>
    </row>
    <row r="244" spans="2:21">
      <c r="B244" s="4"/>
      <c r="C244" s="4"/>
      <c r="F244" s="4"/>
      <c r="G244" s="136" t="s">
        <v>721</v>
      </c>
      <c r="I244" s="4"/>
      <c r="M244" s="4"/>
      <c r="N244" s="4"/>
      <c r="O244" s="4"/>
      <c r="P244" s="4"/>
      <c r="Q244" s="4"/>
      <c r="R244" s="4"/>
      <c r="S244" s="4"/>
    </row>
    <row r="245" spans="2:21">
      <c r="B245" s="4"/>
      <c r="C245" s="4"/>
      <c r="D245" s="2"/>
      <c r="E245" s="4" t="s">
        <v>119</v>
      </c>
      <c r="F245" s="4" t="s">
        <v>327</v>
      </c>
      <c r="H245" s="4"/>
      <c r="I245" s="4"/>
      <c r="M245" s="4"/>
      <c r="N245" s="4"/>
      <c r="O245" s="4"/>
      <c r="P245" s="4"/>
      <c r="Q245" s="4"/>
      <c r="R245" s="4"/>
      <c r="S245" s="4"/>
    </row>
    <row r="246" spans="2:21">
      <c r="B246" s="4"/>
      <c r="C246" s="4"/>
      <c r="D246" s="2"/>
      <c r="E246" s="2"/>
      <c r="F246" t="s">
        <v>653</v>
      </c>
      <c r="G246" s="4" t="s">
        <v>431</v>
      </c>
      <c r="I246" s="4"/>
      <c r="M246" s="4"/>
      <c r="N246" s="4"/>
      <c r="O246" s="4"/>
      <c r="P246" s="4"/>
      <c r="Q246" s="4"/>
      <c r="R246" s="4"/>
      <c r="S246" s="4"/>
    </row>
    <row r="247" spans="2:21">
      <c r="B247" s="4"/>
      <c r="C247" s="4"/>
      <c r="D247" s="2"/>
      <c r="E247" s="2"/>
      <c r="F247" s="4"/>
      <c r="G247" s="4" t="s">
        <v>432</v>
      </c>
      <c r="I247" s="4"/>
      <c r="M247" s="4"/>
      <c r="N247" s="4"/>
      <c r="O247" s="4"/>
      <c r="P247" s="4"/>
      <c r="Q247" s="4"/>
      <c r="R247" s="4"/>
      <c r="S247" s="4"/>
    </row>
    <row r="248" spans="2:21">
      <c r="B248" s="4"/>
      <c r="C248" s="4"/>
      <c r="D248" s="2"/>
      <c r="E248" s="2"/>
      <c r="F248" s="4"/>
      <c r="G248" s="4"/>
      <c r="I248" s="4"/>
      <c r="M248" s="4"/>
      <c r="N248" s="4"/>
      <c r="O248" s="4"/>
      <c r="P248" s="4"/>
      <c r="Q248" s="4"/>
      <c r="R248" s="4"/>
      <c r="S248" s="4"/>
    </row>
    <row r="249" spans="2:21">
      <c r="B249" s="2"/>
      <c r="C249" s="2" t="s">
        <v>6</v>
      </c>
      <c r="E249" s="4"/>
      <c r="F249" s="4"/>
      <c r="G249" s="2" t="s">
        <v>382</v>
      </c>
      <c r="I249" s="4"/>
      <c r="J249" s="4"/>
      <c r="K249" s="4"/>
      <c r="L249" s="4"/>
      <c r="M249" s="4"/>
      <c r="N249" s="4"/>
      <c r="O249" s="4"/>
      <c r="P249" s="4"/>
      <c r="Q249" s="4"/>
      <c r="R249" s="4"/>
      <c r="S249" s="4"/>
    </row>
    <row r="250" spans="2:21">
      <c r="B250" s="2"/>
      <c r="C250" s="2"/>
      <c r="E250" s="4" t="s">
        <v>112</v>
      </c>
      <c r="F250" s="4" t="s">
        <v>71</v>
      </c>
      <c r="G250" s="4"/>
      <c r="I250" s="4"/>
      <c r="J250" s="4"/>
      <c r="K250" s="4"/>
      <c r="L250" s="4"/>
      <c r="M250" s="4"/>
      <c r="N250" s="4"/>
      <c r="O250" s="4"/>
      <c r="P250" s="4"/>
      <c r="Q250" s="4"/>
      <c r="R250" s="4"/>
      <c r="S250" s="4"/>
      <c r="T250" s="4"/>
      <c r="U250" s="4"/>
    </row>
    <row r="251" spans="2:21">
      <c r="B251" s="2"/>
      <c r="C251" s="2"/>
      <c r="E251" s="4"/>
      <c r="F251" s="120" t="s">
        <v>1148</v>
      </c>
      <c r="G251" s="4"/>
      <c r="I251" s="120"/>
      <c r="J251" s="4"/>
      <c r="K251" s="4"/>
      <c r="L251" s="4"/>
      <c r="M251" s="4"/>
      <c r="N251" s="4"/>
      <c r="O251" s="4"/>
      <c r="P251" s="4"/>
      <c r="Q251" s="4"/>
      <c r="R251" s="4"/>
      <c r="S251" s="4"/>
      <c r="T251" s="4"/>
      <c r="U251" s="4"/>
    </row>
    <row r="252" spans="2:21">
      <c r="B252" s="2"/>
      <c r="C252" s="2"/>
      <c r="E252" s="4" t="s">
        <v>113</v>
      </c>
      <c r="F252" s="4" t="s">
        <v>938</v>
      </c>
      <c r="I252" s="4"/>
      <c r="J252" s="4"/>
      <c r="K252" s="4"/>
      <c r="L252" s="4"/>
      <c r="M252" s="4"/>
      <c r="N252" s="4"/>
      <c r="O252" s="4"/>
      <c r="P252" s="4"/>
      <c r="Q252" s="4"/>
      <c r="R252" s="4"/>
      <c r="S252" s="4"/>
      <c r="T252" s="4"/>
      <c r="U252" s="4"/>
    </row>
    <row r="253" spans="2:21">
      <c r="B253" s="2"/>
      <c r="C253" s="2"/>
      <c r="E253" s="4"/>
      <c r="F253" s="205" t="s">
        <v>653</v>
      </c>
      <c r="G253" s="205" t="s">
        <v>811</v>
      </c>
      <c r="I253" s="3"/>
      <c r="K253" s="3"/>
      <c r="L253" s="3"/>
      <c r="M253" s="3"/>
      <c r="N253" s="3"/>
      <c r="O253" s="3"/>
      <c r="Q253" s="4"/>
      <c r="R253" s="4"/>
      <c r="S253" s="4"/>
      <c r="T253" s="4"/>
      <c r="U253" s="4"/>
    </row>
    <row r="254" spans="2:21">
      <c r="B254" s="2"/>
      <c r="C254" s="2"/>
      <c r="E254" s="4"/>
      <c r="F254" s="205"/>
      <c r="G254" s="205" t="s">
        <v>812</v>
      </c>
      <c r="I254" s="3"/>
      <c r="K254" s="3"/>
      <c r="L254" s="3"/>
      <c r="M254" s="3"/>
      <c r="N254" s="3"/>
      <c r="O254" s="3"/>
      <c r="P254" s="3"/>
    </row>
    <row r="255" spans="2:21">
      <c r="B255" s="2"/>
      <c r="C255" s="2"/>
      <c r="E255" s="4"/>
      <c r="F255" s="205" t="s">
        <v>347</v>
      </c>
      <c r="G255" s="205" t="s">
        <v>944</v>
      </c>
      <c r="I255" s="4"/>
      <c r="K255" s="4"/>
      <c r="L255" s="4"/>
      <c r="M255" s="4"/>
      <c r="N255" s="4"/>
      <c r="O255" s="4"/>
      <c r="P255" s="3"/>
    </row>
    <row r="256" spans="2:21">
      <c r="B256" s="2"/>
      <c r="C256" s="2"/>
      <c r="E256" s="4"/>
      <c r="F256" s="205"/>
      <c r="G256" s="205" t="s">
        <v>870</v>
      </c>
      <c r="I256" s="4"/>
      <c r="K256" s="4"/>
      <c r="L256" s="4"/>
      <c r="M256" s="4"/>
      <c r="N256" s="4"/>
      <c r="O256" s="4"/>
      <c r="P256" s="4"/>
      <c r="Q256" s="3"/>
      <c r="R256" s="3"/>
      <c r="S256" s="3"/>
      <c r="T256" s="3"/>
      <c r="U256" s="3"/>
    </row>
    <row r="257" spans="2:21">
      <c r="B257" s="2"/>
      <c r="C257" s="2"/>
      <c r="E257" s="4"/>
      <c r="G257" s="4"/>
      <c r="I257" s="4"/>
      <c r="K257" s="4"/>
      <c r="L257" s="4"/>
      <c r="M257" s="4"/>
      <c r="N257" s="4"/>
      <c r="O257" s="4"/>
      <c r="P257" s="4"/>
      <c r="Q257" s="3"/>
      <c r="R257" s="3"/>
      <c r="S257" s="3"/>
      <c r="T257" s="3"/>
      <c r="U257" s="3"/>
    </row>
    <row r="258" spans="2:21">
      <c r="B258" s="2"/>
      <c r="C258" s="2"/>
      <c r="D258" s="2" t="s">
        <v>206</v>
      </c>
      <c r="E258" s="2" t="s">
        <v>383</v>
      </c>
      <c r="G258" s="4"/>
      <c r="H258" s="4"/>
      <c r="I258" s="4"/>
      <c r="J258" s="4"/>
      <c r="K258" s="4"/>
      <c r="L258" s="4"/>
      <c r="M258" s="4"/>
      <c r="N258" s="4"/>
      <c r="O258" s="4"/>
      <c r="P258" s="4"/>
      <c r="Q258" s="4"/>
      <c r="R258" s="4"/>
      <c r="S258" s="4"/>
    </row>
    <row r="259" spans="2:21">
      <c r="B259" s="2"/>
      <c r="C259" s="2"/>
      <c r="E259" s="4" t="s">
        <v>112</v>
      </c>
      <c r="F259" s="4" t="s">
        <v>252</v>
      </c>
      <c r="G259" s="4"/>
      <c r="I259" s="4"/>
      <c r="J259" s="4"/>
      <c r="K259" s="4"/>
      <c r="L259" s="4"/>
      <c r="M259" s="4"/>
      <c r="N259" s="4"/>
      <c r="O259" s="4"/>
      <c r="P259" s="4"/>
      <c r="Q259" s="4"/>
      <c r="R259" s="4"/>
      <c r="S259" s="4"/>
    </row>
    <row r="260" spans="2:21">
      <c r="B260" s="2"/>
      <c r="C260" s="2"/>
      <c r="E260" s="4" t="s">
        <v>113</v>
      </c>
      <c r="F260" s="4" t="s">
        <v>803</v>
      </c>
      <c r="G260" s="4"/>
      <c r="I260" s="4"/>
      <c r="J260" s="4"/>
      <c r="K260" s="4"/>
      <c r="L260" s="4"/>
      <c r="M260" s="4"/>
      <c r="N260" s="4"/>
      <c r="O260" s="4"/>
      <c r="P260" s="4"/>
      <c r="Q260" s="4"/>
      <c r="R260" s="4"/>
      <c r="S260" s="4"/>
    </row>
    <row r="261" spans="2:21">
      <c r="B261" s="2"/>
      <c r="C261" s="2"/>
      <c r="E261" s="4" t="s">
        <v>119</v>
      </c>
      <c r="F261" s="4" t="s">
        <v>253</v>
      </c>
      <c r="I261" s="4"/>
      <c r="J261" s="4"/>
      <c r="K261" s="4"/>
      <c r="L261" s="4"/>
      <c r="M261" s="4"/>
      <c r="N261" s="4"/>
      <c r="O261" s="4"/>
      <c r="P261" s="4"/>
      <c r="Q261" s="4"/>
      <c r="R261" s="4"/>
      <c r="S261" s="4"/>
    </row>
    <row r="262" spans="2:21">
      <c r="B262" s="2"/>
      <c r="C262" s="2"/>
      <c r="E262" s="2"/>
      <c r="F262" s="4" t="s">
        <v>804</v>
      </c>
      <c r="I262" s="4"/>
      <c r="J262" s="4"/>
      <c r="K262" s="4"/>
      <c r="L262" s="4"/>
      <c r="M262" s="4"/>
      <c r="N262" s="4"/>
      <c r="O262" s="4"/>
      <c r="P262" s="4"/>
      <c r="Q262" s="4"/>
      <c r="R262" s="4"/>
      <c r="S262" s="4"/>
    </row>
    <row r="263" spans="2:21">
      <c r="B263" s="2"/>
      <c r="C263" s="2"/>
      <c r="E263" s="4" t="s">
        <v>581</v>
      </c>
      <c r="F263" s="205" t="s">
        <v>813</v>
      </c>
      <c r="I263" s="4"/>
      <c r="J263" s="4"/>
      <c r="K263" s="4"/>
      <c r="L263" s="4"/>
      <c r="M263" s="4"/>
      <c r="N263" s="4"/>
      <c r="O263" s="4"/>
      <c r="P263" s="4"/>
      <c r="Q263" s="4"/>
      <c r="R263" s="4"/>
      <c r="S263" s="4"/>
    </row>
    <row r="264" spans="2:21">
      <c r="B264" s="2"/>
      <c r="C264" s="2"/>
      <c r="E264" s="2"/>
      <c r="F264" s="4"/>
      <c r="H264" s="4"/>
      <c r="I264" s="4"/>
      <c r="J264" s="4"/>
      <c r="K264" s="4"/>
      <c r="L264" s="4"/>
      <c r="M264" s="4"/>
      <c r="N264" s="4"/>
      <c r="O264" s="4"/>
      <c r="P264" s="4"/>
      <c r="Q264" s="4"/>
      <c r="R264" s="4"/>
      <c r="S264" s="4"/>
    </row>
    <row r="265" spans="2:21">
      <c r="B265" s="2"/>
      <c r="C265" s="2"/>
      <c r="D265" s="2" t="s">
        <v>340</v>
      </c>
      <c r="E265" s="2" t="s">
        <v>72</v>
      </c>
      <c r="G265" s="4"/>
      <c r="H265" s="4"/>
      <c r="I265" s="4"/>
      <c r="J265" s="4"/>
      <c r="K265" s="4"/>
      <c r="L265" s="4"/>
      <c r="M265" s="4"/>
      <c r="N265" s="4"/>
      <c r="O265" s="4"/>
      <c r="P265" s="4"/>
      <c r="Q265" s="4"/>
      <c r="R265" s="4"/>
      <c r="S265" s="4"/>
    </row>
    <row r="266" spans="2:21">
      <c r="B266" s="2"/>
      <c r="C266" s="2"/>
      <c r="E266" s="4" t="s">
        <v>1017</v>
      </c>
      <c r="F266" s="4"/>
      <c r="G266" s="4"/>
      <c r="O266" s="4"/>
      <c r="P266" s="4"/>
      <c r="Q266" s="4"/>
      <c r="R266" s="4"/>
      <c r="S266" s="4"/>
    </row>
    <row r="267" spans="2:21">
      <c r="B267" s="2"/>
      <c r="C267" s="2"/>
      <c r="E267" s="2"/>
      <c r="G267" s="4"/>
      <c r="H267" s="4"/>
      <c r="O267" s="4"/>
      <c r="P267" s="4"/>
      <c r="Q267" s="4"/>
      <c r="R267" s="4"/>
      <c r="S267" s="4"/>
    </row>
    <row r="268" spans="2:21">
      <c r="B268" s="2"/>
      <c r="C268" s="2"/>
      <c r="D268" s="2" t="s">
        <v>574</v>
      </c>
      <c r="E268" s="2" t="s">
        <v>286</v>
      </c>
      <c r="G268" s="4"/>
    </row>
    <row r="269" spans="2:21">
      <c r="B269" s="2"/>
      <c r="C269" s="2"/>
      <c r="E269" s="4" t="s">
        <v>254</v>
      </c>
      <c r="F269" s="4"/>
      <c r="G269" s="4"/>
      <c r="J269" s="4"/>
      <c r="K269" s="4"/>
      <c r="L269" s="4"/>
      <c r="M269" s="4"/>
      <c r="N269" s="4"/>
    </row>
    <row r="270" spans="2:21">
      <c r="B270" s="2"/>
      <c r="C270" s="2"/>
      <c r="E270" s="4" t="s">
        <v>945</v>
      </c>
      <c r="F270" s="4"/>
      <c r="G270" s="4"/>
      <c r="J270" s="4"/>
      <c r="K270" s="4"/>
      <c r="L270" s="4"/>
      <c r="M270" s="4"/>
      <c r="N270" s="4"/>
    </row>
    <row r="271" spans="2:21">
      <c r="B271" s="2"/>
      <c r="C271" s="2"/>
      <c r="E271" s="2"/>
      <c r="G271" s="4"/>
      <c r="H271" s="4"/>
      <c r="J271" s="4"/>
      <c r="K271" s="4"/>
      <c r="L271" s="4"/>
      <c r="M271" s="4"/>
      <c r="N271" s="4"/>
      <c r="O271" s="4"/>
      <c r="P271" s="4"/>
      <c r="Q271" s="4"/>
      <c r="R271" s="4"/>
      <c r="S271" s="4"/>
      <c r="T271" s="4"/>
      <c r="U271" s="4"/>
    </row>
    <row r="272" spans="2:21">
      <c r="B272" s="2"/>
      <c r="D272" s="2" t="s">
        <v>514</v>
      </c>
      <c r="E272" s="2" t="s">
        <v>612</v>
      </c>
      <c r="G272" s="4"/>
      <c r="H272" s="4"/>
      <c r="J272" s="4"/>
      <c r="K272" s="4"/>
      <c r="L272" s="4"/>
      <c r="M272" s="4"/>
      <c r="N272" s="4"/>
      <c r="O272" s="4"/>
      <c r="P272" s="4"/>
      <c r="Q272" s="4"/>
      <c r="R272" s="4"/>
      <c r="S272" s="4"/>
      <c r="T272" s="4"/>
      <c r="U272" s="4"/>
    </row>
    <row r="273" spans="2:23">
      <c r="B273" s="2"/>
      <c r="D273" s="4"/>
      <c r="E273" s="4" t="s">
        <v>1010</v>
      </c>
      <c r="J273" s="4"/>
      <c r="K273" s="4"/>
      <c r="L273" s="4"/>
      <c r="M273" s="4"/>
      <c r="N273" s="4"/>
      <c r="O273" s="4"/>
      <c r="P273" s="4"/>
      <c r="Q273" s="4"/>
      <c r="R273" s="4"/>
      <c r="S273" s="4"/>
      <c r="T273" s="4"/>
      <c r="U273" s="4"/>
    </row>
    <row r="274" spans="2:23">
      <c r="B274" s="2"/>
      <c r="D274" s="4"/>
      <c r="E274" s="4" t="s">
        <v>939</v>
      </c>
      <c r="J274" s="4"/>
      <c r="K274" s="4"/>
      <c r="L274" s="4"/>
      <c r="M274" s="4"/>
      <c r="N274" s="4"/>
      <c r="O274" s="4"/>
      <c r="P274" s="4"/>
      <c r="Q274" s="4"/>
      <c r="R274" s="4"/>
      <c r="S274" s="4"/>
      <c r="T274" s="4"/>
      <c r="U274" s="4"/>
    </row>
    <row r="275" spans="2:23">
      <c r="B275" s="2"/>
      <c r="D275" s="4"/>
      <c r="E275" s="4"/>
      <c r="J275" s="4"/>
      <c r="K275" s="4"/>
      <c r="L275" s="4"/>
      <c r="M275" s="4"/>
      <c r="N275" s="4"/>
      <c r="O275" s="4"/>
      <c r="P275" s="4"/>
      <c r="Q275" s="4"/>
      <c r="R275" s="4"/>
      <c r="S275" s="4"/>
      <c r="T275" s="4"/>
      <c r="U275" s="4"/>
    </row>
    <row r="276" spans="2:23">
      <c r="B276" s="2"/>
      <c r="D276" s="2" t="s">
        <v>302</v>
      </c>
      <c r="E276" s="2" t="s">
        <v>287</v>
      </c>
      <c r="K276" s="4"/>
      <c r="L276" s="4"/>
      <c r="M276" s="4"/>
      <c r="N276" s="4"/>
      <c r="O276" s="4"/>
      <c r="P276" s="4"/>
      <c r="Q276" s="4"/>
      <c r="R276" s="4"/>
      <c r="S276" s="4"/>
      <c r="T276" s="4"/>
      <c r="U276" s="4"/>
    </row>
    <row r="277" spans="2:23">
      <c r="B277" s="2"/>
      <c r="D277" s="2"/>
      <c r="E277" t="s">
        <v>255</v>
      </c>
      <c r="K277" s="4"/>
      <c r="L277" s="4"/>
      <c r="M277" s="4"/>
      <c r="N277" s="4"/>
      <c r="O277" s="4"/>
      <c r="P277" s="4"/>
      <c r="Q277" s="4"/>
      <c r="R277" s="4"/>
      <c r="S277" s="4"/>
    </row>
    <row r="278" spans="2:23">
      <c r="B278" s="2"/>
      <c r="D278" s="4"/>
      <c r="E278" s="4" t="s">
        <v>946</v>
      </c>
      <c r="I278" s="4"/>
      <c r="J278" s="4"/>
      <c r="K278" s="4"/>
      <c r="L278" s="4"/>
      <c r="M278" s="4"/>
      <c r="N278" s="4"/>
      <c r="O278" s="4"/>
      <c r="P278" s="4"/>
      <c r="Q278" s="4"/>
      <c r="R278" s="4"/>
      <c r="S278" s="4"/>
    </row>
    <row r="279" spans="2:23">
      <c r="B279" s="2"/>
      <c r="D279" s="4"/>
      <c r="E279" s="4"/>
      <c r="I279" s="4"/>
      <c r="J279" s="4"/>
      <c r="K279" s="4"/>
      <c r="L279" s="4"/>
      <c r="M279" s="4"/>
      <c r="N279" s="4"/>
      <c r="O279" s="4"/>
      <c r="P279" s="4"/>
      <c r="Q279" s="4"/>
      <c r="R279" s="4"/>
      <c r="S279" s="4"/>
    </row>
    <row r="280" spans="2:23">
      <c r="B280" s="2"/>
      <c r="D280" s="2" t="s">
        <v>428</v>
      </c>
      <c r="E280" s="2" t="s">
        <v>424</v>
      </c>
      <c r="G280" s="4"/>
      <c r="H280" s="4"/>
      <c r="I280" s="4"/>
      <c r="J280" s="4"/>
      <c r="K280" s="4"/>
      <c r="L280" s="4"/>
      <c r="M280" s="4"/>
      <c r="O280" s="4"/>
      <c r="P280" s="4"/>
      <c r="Q280" s="4"/>
      <c r="R280" s="4"/>
      <c r="S280" s="4"/>
    </row>
    <row r="281" spans="2:23">
      <c r="B281" s="2"/>
      <c r="D281" s="2"/>
      <c r="E281" t="s">
        <v>256</v>
      </c>
      <c r="G281" s="4"/>
      <c r="H281" s="4"/>
      <c r="I281" s="4"/>
      <c r="J281" s="4"/>
      <c r="K281" s="4"/>
      <c r="L281" s="4"/>
      <c r="M281" s="4"/>
      <c r="P281" s="4"/>
      <c r="Q281" s="4"/>
      <c r="R281" s="4"/>
      <c r="S281" s="4"/>
    </row>
    <row r="282" spans="2:23">
      <c r="B282" s="2"/>
      <c r="D282" s="2"/>
      <c r="E282" t="s">
        <v>257</v>
      </c>
      <c r="G282" s="4"/>
      <c r="H282" s="4"/>
      <c r="I282" s="4"/>
      <c r="J282" s="4"/>
      <c r="K282" s="4"/>
      <c r="L282" s="4"/>
      <c r="M282" s="4"/>
      <c r="P282" s="4"/>
      <c r="Q282" s="4"/>
      <c r="R282" s="4"/>
      <c r="S282" s="4"/>
    </row>
    <row r="283" spans="2:23">
      <c r="B283" s="2"/>
      <c r="D283" s="2"/>
      <c r="E283" s="120" t="s">
        <v>947</v>
      </c>
      <c r="F283" s="120"/>
      <c r="G283" s="4"/>
      <c r="H283" s="120"/>
      <c r="I283" s="120"/>
      <c r="J283" s="4"/>
      <c r="K283" s="4"/>
      <c r="L283" s="4"/>
      <c r="M283" s="4"/>
      <c r="P283" s="4"/>
      <c r="Q283" s="4"/>
      <c r="R283" s="4"/>
      <c r="S283" s="4"/>
    </row>
    <row r="284" spans="2:23">
      <c r="B284" s="2"/>
      <c r="D284" s="2"/>
      <c r="E284" s="450" t="s">
        <v>869</v>
      </c>
      <c r="G284" s="4"/>
      <c r="H284" s="120"/>
      <c r="I284" s="120"/>
      <c r="J284" s="4"/>
      <c r="K284" s="4"/>
      <c r="L284" s="4"/>
      <c r="M284" s="4"/>
      <c r="O284" s="4"/>
      <c r="P284" s="4"/>
      <c r="Q284" s="4"/>
      <c r="R284" s="4"/>
      <c r="S284" s="4"/>
    </row>
    <row r="285" spans="2:23">
      <c r="B285" s="2"/>
      <c r="D285" s="2"/>
      <c r="E285" s="4"/>
      <c r="F285" s="4"/>
      <c r="G285" s="4"/>
      <c r="H285" s="4"/>
      <c r="I285" s="4"/>
      <c r="J285" s="4"/>
      <c r="K285" s="4"/>
      <c r="L285" s="4"/>
      <c r="M285" s="4"/>
    </row>
    <row r="286" spans="2:23">
      <c r="B286" s="2"/>
      <c r="D286" s="2" t="s">
        <v>557</v>
      </c>
      <c r="E286" s="2" t="s">
        <v>558</v>
      </c>
      <c r="K286" s="4"/>
      <c r="L286" s="4"/>
      <c r="M286" s="4"/>
      <c r="N286" s="4"/>
    </row>
    <row r="287" spans="2:23">
      <c r="B287" s="2"/>
      <c r="D287" s="4"/>
      <c r="E287" s="4" t="s">
        <v>112</v>
      </c>
      <c r="F287" s="4" t="s">
        <v>559</v>
      </c>
      <c r="G287" s="4"/>
      <c r="O287" s="4"/>
      <c r="P287" s="4"/>
      <c r="Q287" s="4"/>
      <c r="R287" s="4"/>
      <c r="S287" s="4"/>
      <c r="T287" s="4"/>
      <c r="U287" s="4"/>
      <c r="V287" s="4"/>
      <c r="W287" s="4"/>
    </row>
    <row r="288" spans="2:23">
      <c r="B288" s="2"/>
      <c r="D288" s="4"/>
      <c r="E288" s="4"/>
      <c r="F288" s="120" t="s">
        <v>1149</v>
      </c>
      <c r="G288" s="120"/>
      <c r="H288" s="120"/>
      <c r="I288" s="120"/>
      <c r="J288" s="120"/>
      <c r="K288" s="120"/>
      <c r="L288" s="120"/>
      <c r="M288" s="120"/>
      <c r="N288" s="120"/>
      <c r="O288" s="4"/>
      <c r="P288" s="4"/>
      <c r="Q288" s="4"/>
      <c r="R288" s="4"/>
      <c r="S288" s="4"/>
      <c r="T288" s="4"/>
      <c r="U288" s="4"/>
      <c r="V288" s="4"/>
      <c r="W288" s="4"/>
    </row>
    <row r="289" spans="2:23">
      <c r="B289" s="2"/>
      <c r="D289" s="4"/>
      <c r="E289" s="4" t="s">
        <v>113</v>
      </c>
      <c r="F289" s="4" t="s">
        <v>560</v>
      </c>
      <c r="G289" s="4"/>
      <c r="L289" s="4"/>
      <c r="M289" s="4"/>
      <c r="N289" s="4"/>
      <c r="O289" s="4"/>
      <c r="P289" s="4"/>
      <c r="Q289" s="4"/>
      <c r="R289" s="4"/>
      <c r="S289" s="4"/>
      <c r="T289" s="4"/>
      <c r="U289" s="4"/>
      <c r="V289" s="4"/>
      <c r="W289" s="4"/>
    </row>
    <row r="290" spans="2:23">
      <c r="B290" s="2"/>
      <c r="D290" s="4"/>
      <c r="E290" s="4" t="s">
        <v>119</v>
      </c>
      <c r="F290" s="4" t="s">
        <v>258</v>
      </c>
      <c r="G290" s="4"/>
      <c r="H290" s="4"/>
      <c r="K290" s="4"/>
      <c r="L290" s="4"/>
      <c r="M290" s="4"/>
      <c r="N290" s="4"/>
      <c r="O290" s="4"/>
      <c r="P290" s="4"/>
      <c r="Q290" s="4"/>
      <c r="R290" s="4"/>
      <c r="S290" s="4"/>
      <c r="T290" s="4"/>
      <c r="U290" s="4"/>
      <c r="V290" s="4"/>
      <c r="W290" s="4"/>
    </row>
    <row r="291" spans="2:23">
      <c r="B291" s="2"/>
      <c r="D291" s="4"/>
      <c r="E291" s="4"/>
      <c r="F291" s="4" t="s">
        <v>653</v>
      </c>
      <c r="G291" s="4" t="s">
        <v>259</v>
      </c>
      <c r="K291" s="4"/>
      <c r="L291" s="4"/>
      <c r="M291" s="4"/>
      <c r="N291" s="4"/>
      <c r="O291" s="4"/>
      <c r="P291" s="4"/>
      <c r="Q291" s="4"/>
      <c r="R291" s="4"/>
      <c r="S291" s="4"/>
      <c r="T291" s="4"/>
      <c r="U291" s="4"/>
      <c r="V291" s="4"/>
      <c r="W291" s="4"/>
    </row>
    <row r="292" spans="2:23">
      <c r="B292" s="2"/>
      <c r="D292" s="4"/>
      <c r="E292" s="4"/>
      <c r="F292" s="4" t="s">
        <v>347</v>
      </c>
      <c r="G292" s="4" t="s">
        <v>940</v>
      </c>
      <c r="H292" s="4"/>
      <c r="K292" s="4"/>
      <c r="L292" s="4"/>
      <c r="M292" s="4"/>
      <c r="N292" s="4"/>
      <c r="O292" s="4"/>
      <c r="P292" s="4"/>
      <c r="Q292" s="4"/>
      <c r="R292" s="4"/>
      <c r="S292" s="4"/>
      <c r="T292" s="4"/>
      <c r="U292" s="4"/>
      <c r="V292" s="4"/>
      <c r="W292" s="4"/>
    </row>
    <row r="293" spans="2:23">
      <c r="B293" s="2"/>
      <c r="D293" s="4"/>
      <c r="E293" s="4"/>
      <c r="F293" s="4" t="s">
        <v>348</v>
      </c>
      <c r="G293" s="4" t="s">
        <v>561</v>
      </c>
      <c r="K293" s="4"/>
      <c r="L293" s="4"/>
      <c r="M293" s="4"/>
      <c r="N293" s="4"/>
      <c r="O293" s="4"/>
      <c r="P293" s="4"/>
      <c r="Q293" s="4"/>
      <c r="R293" s="4"/>
      <c r="S293" s="4"/>
      <c r="T293" s="4"/>
      <c r="U293" s="4"/>
      <c r="V293" s="4"/>
      <c r="W293" s="4"/>
    </row>
    <row r="294" spans="2:23">
      <c r="B294" s="2"/>
      <c r="D294" s="4"/>
      <c r="E294" s="4"/>
      <c r="F294" s="4" t="s">
        <v>444</v>
      </c>
      <c r="G294" s="4" t="s">
        <v>260</v>
      </c>
      <c r="H294" s="4"/>
      <c r="K294" s="4"/>
      <c r="L294" s="4"/>
      <c r="M294" s="4"/>
      <c r="N294" s="4"/>
      <c r="O294" s="4"/>
      <c r="P294" s="4"/>
      <c r="Q294" s="4"/>
      <c r="R294" s="4"/>
      <c r="S294" s="4"/>
      <c r="T294" s="4"/>
      <c r="U294" s="4"/>
      <c r="V294" s="4"/>
      <c r="W294" s="4"/>
    </row>
    <row r="295" spans="2:23">
      <c r="B295" s="2"/>
      <c r="D295" s="4"/>
      <c r="E295" s="4"/>
      <c r="F295" s="4" t="s">
        <v>261</v>
      </c>
      <c r="G295" s="4" t="s">
        <v>389</v>
      </c>
      <c r="K295" s="4"/>
      <c r="L295" s="4"/>
      <c r="M295" s="4"/>
      <c r="N295" s="4"/>
      <c r="O295" s="4"/>
      <c r="P295" s="4"/>
      <c r="Q295" s="4"/>
      <c r="R295" s="4"/>
      <c r="S295" s="4"/>
      <c r="T295" s="4"/>
      <c r="U295" s="4"/>
      <c r="V295" s="4"/>
      <c r="W295" s="4"/>
    </row>
    <row r="296" spans="2:23">
      <c r="B296" s="2"/>
      <c r="D296" s="4"/>
      <c r="E296" s="4"/>
      <c r="F296" s="4" t="s">
        <v>262</v>
      </c>
      <c r="G296" s="4" t="s">
        <v>169</v>
      </c>
      <c r="H296" s="4"/>
      <c r="K296" s="4"/>
      <c r="L296" s="4"/>
      <c r="M296" s="4"/>
      <c r="N296" s="4"/>
      <c r="O296" s="4"/>
      <c r="P296" s="4"/>
      <c r="Q296" s="4"/>
      <c r="R296" s="4"/>
      <c r="S296" s="4"/>
      <c r="T296" s="4"/>
      <c r="U296" s="4"/>
      <c r="V296" s="4"/>
      <c r="W296" s="4"/>
    </row>
    <row r="297" spans="2:23">
      <c r="B297" s="2"/>
      <c r="D297" s="4"/>
      <c r="E297" s="4" t="s">
        <v>581</v>
      </c>
      <c r="F297" s="4" t="s">
        <v>742</v>
      </c>
      <c r="G297" s="4"/>
      <c r="K297" s="4"/>
      <c r="L297" s="4"/>
      <c r="M297" s="4"/>
      <c r="N297" s="4"/>
      <c r="O297" s="4"/>
      <c r="P297" s="4"/>
      <c r="Q297" s="4"/>
      <c r="R297" s="4"/>
      <c r="S297" s="4"/>
      <c r="T297" s="4"/>
      <c r="U297" s="4"/>
      <c r="V297" s="4"/>
      <c r="W297" s="4"/>
    </row>
    <row r="298" spans="2:23">
      <c r="B298" s="2"/>
      <c r="D298" s="4"/>
      <c r="E298" s="4" t="s">
        <v>763</v>
      </c>
      <c r="F298" s="4" t="s">
        <v>749</v>
      </c>
      <c r="G298" s="4"/>
      <c r="K298" s="4"/>
      <c r="L298" s="4"/>
      <c r="M298" s="4"/>
      <c r="N298" s="4"/>
      <c r="O298" s="4"/>
      <c r="P298" s="4"/>
      <c r="Q298" s="4"/>
      <c r="R298" s="4"/>
      <c r="S298" s="4"/>
      <c r="T298" s="4"/>
      <c r="U298" s="4"/>
      <c r="V298" s="4"/>
      <c r="W298" s="4"/>
    </row>
    <row r="299" spans="2:23">
      <c r="B299" s="2"/>
      <c r="D299" s="4"/>
      <c r="E299" s="4"/>
      <c r="F299" s="120" t="s">
        <v>962</v>
      </c>
      <c r="G299" s="120"/>
      <c r="H299" s="120"/>
      <c r="I299" s="120"/>
      <c r="J299" s="120"/>
      <c r="K299" s="120"/>
      <c r="L299" s="120"/>
      <c r="M299" s="4"/>
      <c r="N299" s="4"/>
      <c r="O299" s="4"/>
      <c r="P299" s="4"/>
      <c r="Q299" s="4"/>
      <c r="R299" s="4"/>
      <c r="S299" s="4"/>
      <c r="T299" s="4"/>
      <c r="U299" s="4"/>
      <c r="V299" s="4"/>
      <c r="W299" s="4"/>
    </row>
    <row r="300" spans="2:23">
      <c r="B300" s="2"/>
      <c r="D300" s="4"/>
      <c r="E300" s="4"/>
      <c r="F300" s="120" t="s">
        <v>963</v>
      </c>
      <c r="G300" s="120"/>
      <c r="H300" s="120"/>
      <c r="I300" s="120"/>
      <c r="J300" s="120"/>
      <c r="K300" s="120"/>
      <c r="L300" s="120"/>
      <c r="M300" s="4"/>
      <c r="N300" s="4"/>
      <c r="O300" s="4"/>
      <c r="P300" s="4"/>
      <c r="Q300" s="4"/>
      <c r="R300" s="4"/>
      <c r="S300" s="4"/>
      <c r="T300" s="4"/>
      <c r="U300" s="4"/>
      <c r="V300" s="4"/>
      <c r="W300" s="4"/>
    </row>
    <row r="301" spans="2:23">
      <c r="B301" s="2"/>
      <c r="D301" s="4"/>
      <c r="E301" s="4"/>
      <c r="F301" s="120" t="s">
        <v>964</v>
      </c>
      <c r="G301" s="120"/>
      <c r="H301" s="120"/>
      <c r="I301" s="120"/>
      <c r="J301" s="120"/>
      <c r="K301" s="120"/>
      <c r="L301" s="120"/>
      <c r="M301" s="4"/>
      <c r="N301" s="4"/>
      <c r="O301" s="4"/>
      <c r="P301" s="4"/>
      <c r="Q301" s="4"/>
      <c r="R301" s="4"/>
      <c r="S301" s="4"/>
      <c r="T301" s="4"/>
      <c r="U301" s="4"/>
      <c r="V301" s="4"/>
      <c r="W301" s="4"/>
    </row>
    <row r="302" spans="2:23">
      <c r="B302" s="2"/>
      <c r="D302" s="4"/>
      <c r="E302" s="4"/>
      <c r="F302" s="120"/>
      <c r="G302" s="120"/>
      <c r="H302" s="120"/>
      <c r="I302" s="120"/>
      <c r="J302" s="120"/>
      <c r="K302" s="120"/>
      <c r="L302" s="120"/>
      <c r="M302" s="4"/>
      <c r="N302" s="4"/>
      <c r="O302" s="4"/>
      <c r="P302" s="4"/>
      <c r="Q302" s="4"/>
      <c r="R302" s="4"/>
      <c r="S302" s="4"/>
      <c r="T302" s="4"/>
      <c r="U302" s="4"/>
      <c r="V302" s="4"/>
      <c r="W302" s="4"/>
    </row>
    <row r="303" spans="2:23">
      <c r="B303" s="2"/>
      <c r="D303" s="2" t="s">
        <v>555</v>
      </c>
      <c r="E303" s="2" t="s">
        <v>288</v>
      </c>
      <c r="G303" s="4"/>
      <c r="H303" s="4"/>
      <c r="I303" s="4"/>
      <c r="J303" s="4"/>
      <c r="K303" s="4"/>
      <c r="L303" s="4"/>
      <c r="M303" s="4"/>
      <c r="N303" s="4"/>
      <c r="O303" s="4"/>
      <c r="P303" s="4"/>
      <c r="Q303" s="4"/>
      <c r="R303" s="4"/>
      <c r="S303" s="4"/>
      <c r="T303" s="4"/>
      <c r="U303" s="4"/>
      <c r="V303" s="4"/>
      <c r="W303" s="4"/>
    </row>
    <row r="304" spans="2:23">
      <c r="B304" s="2"/>
      <c r="D304" s="2"/>
      <c r="E304" s="4" t="s">
        <v>948</v>
      </c>
      <c r="F304" s="4"/>
      <c r="K304" s="4"/>
      <c r="L304" s="4"/>
      <c r="M304" s="4"/>
      <c r="N304" s="4"/>
      <c r="O304" s="4"/>
      <c r="P304" s="4"/>
      <c r="Q304" s="4"/>
      <c r="R304" s="4"/>
      <c r="S304" s="4"/>
      <c r="T304" s="4"/>
      <c r="U304" s="4"/>
      <c r="V304" s="4"/>
      <c r="W304" s="4"/>
    </row>
    <row r="305" spans="2:23">
      <c r="B305" s="2"/>
      <c r="D305" s="2"/>
      <c r="E305" s="4" t="s">
        <v>946</v>
      </c>
      <c r="F305" s="4"/>
      <c r="I305" s="4"/>
      <c r="J305" s="4"/>
      <c r="K305" s="4"/>
      <c r="L305" s="4"/>
      <c r="M305" s="4"/>
      <c r="N305" s="4"/>
      <c r="O305" s="4"/>
      <c r="P305" s="4"/>
      <c r="Q305" s="4"/>
      <c r="R305" s="4"/>
      <c r="S305" s="4"/>
      <c r="T305" s="4"/>
      <c r="U305" s="4"/>
      <c r="V305" s="4"/>
      <c r="W305" s="4"/>
    </row>
    <row r="306" spans="2:23">
      <c r="B306" s="2"/>
      <c r="D306" s="4"/>
      <c r="E306" s="4"/>
      <c r="F306" s="120"/>
      <c r="G306" s="120"/>
      <c r="H306" s="120"/>
      <c r="I306" s="120"/>
      <c r="J306" s="120"/>
      <c r="K306" s="120"/>
      <c r="L306" s="120"/>
      <c r="M306" s="4"/>
      <c r="N306" s="4"/>
      <c r="O306" s="4"/>
      <c r="P306" s="4"/>
      <c r="Q306" s="4"/>
      <c r="R306" s="4"/>
      <c r="S306" s="4"/>
      <c r="T306" s="4"/>
      <c r="U306" s="4"/>
      <c r="V306" s="4"/>
      <c r="W306" s="4"/>
    </row>
    <row r="307" spans="2:23">
      <c r="B307" s="2"/>
      <c r="C307" s="2" t="s">
        <v>7</v>
      </c>
      <c r="D307" s="2"/>
      <c r="F307" s="2"/>
      <c r="G307" s="2" t="s">
        <v>614</v>
      </c>
      <c r="I307" s="4"/>
      <c r="J307" s="4"/>
      <c r="K307" s="4"/>
      <c r="L307" s="4"/>
      <c r="M307" s="4"/>
      <c r="N307" s="4"/>
      <c r="O307" s="4"/>
      <c r="P307" s="4"/>
    </row>
    <row r="308" spans="2:23">
      <c r="B308" s="2"/>
      <c r="D308" s="2" t="s">
        <v>206</v>
      </c>
      <c r="E308" s="2" t="s">
        <v>263</v>
      </c>
      <c r="G308" s="2"/>
      <c r="H308" s="2"/>
      <c r="I308" s="2"/>
      <c r="J308" s="2"/>
      <c r="K308" s="2"/>
      <c r="L308" s="2"/>
      <c r="M308" s="2"/>
      <c r="N308" s="2"/>
      <c r="O308" s="2"/>
      <c r="P308" s="2"/>
      <c r="Q308" s="2"/>
      <c r="R308" s="2"/>
    </row>
    <row r="309" spans="2:23">
      <c r="B309" s="2"/>
      <c r="D309" s="2"/>
      <c r="E309" t="s">
        <v>264</v>
      </c>
      <c r="G309" s="4"/>
      <c r="I309" s="4"/>
      <c r="K309" s="4"/>
    </row>
    <row r="310" spans="2:23">
      <c r="B310" s="2"/>
      <c r="D310" s="2"/>
      <c r="E310" s="4" t="s">
        <v>799</v>
      </c>
      <c r="F310" s="4"/>
      <c r="G310" s="4"/>
      <c r="I310" s="4"/>
      <c r="K310" s="4"/>
    </row>
    <row r="311" spans="2:23">
      <c r="B311" s="2"/>
      <c r="D311" s="2"/>
      <c r="E311" s="4" t="s">
        <v>949</v>
      </c>
      <c r="F311" s="4"/>
      <c r="G311" s="4"/>
      <c r="I311" s="4"/>
      <c r="K311" s="4"/>
    </row>
    <row r="312" spans="2:23">
      <c r="B312" s="2"/>
      <c r="D312" s="2"/>
      <c r="E312" s="4" t="s">
        <v>800</v>
      </c>
      <c r="F312" s="4"/>
      <c r="G312" s="4"/>
      <c r="I312" s="4"/>
      <c r="K312" s="4"/>
    </row>
    <row r="313" spans="2:23">
      <c r="B313" s="2"/>
      <c r="D313" s="2"/>
      <c r="G313" s="4"/>
      <c r="I313" s="4"/>
      <c r="K313" s="4"/>
    </row>
    <row r="314" spans="2:23">
      <c r="B314" s="2"/>
      <c r="D314" s="2" t="s">
        <v>340</v>
      </c>
      <c r="E314" s="2" t="s">
        <v>751</v>
      </c>
      <c r="G314" s="4"/>
      <c r="H314" s="4"/>
      <c r="I314" s="4"/>
      <c r="J314" s="4"/>
      <c r="K314" s="4"/>
      <c r="P314" s="4"/>
      <c r="Q314" s="4"/>
      <c r="R314" s="4"/>
      <c r="S314" s="4"/>
    </row>
    <row r="315" spans="2:23">
      <c r="B315" s="2"/>
      <c r="D315" s="2"/>
      <c r="E315" t="s">
        <v>265</v>
      </c>
      <c r="G315" s="4"/>
      <c r="I315" s="4"/>
      <c r="J315" s="4"/>
      <c r="K315" s="4"/>
      <c r="L315" s="4"/>
      <c r="M315" s="4"/>
      <c r="N315" s="4"/>
      <c r="O315" s="4"/>
      <c r="P315" s="4"/>
      <c r="Q315" s="4"/>
      <c r="R315" s="4"/>
      <c r="S315" s="4"/>
    </row>
    <row r="316" spans="2:23">
      <c r="B316" s="2"/>
      <c r="D316" s="2"/>
      <c r="G316" s="4"/>
      <c r="I316" s="4"/>
      <c r="J316" s="4"/>
      <c r="K316" s="4"/>
      <c r="L316" s="4"/>
      <c r="M316" s="4"/>
      <c r="N316" s="4"/>
      <c r="O316" s="4"/>
      <c r="P316" s="4"/>
      <c r="Q316" s="4"/>
      <c r="R316" s="4"/>
      <c r="S316" s="4"/>
    </row>
    <row r="317" spans="2:23">
      <c r="B317" s="2"/>
      <c r="D317" s="170" t="s">
        <v>574</v>
      </c>
      <c r="E317" s="170" t="s">
        <v>735</v>
      </c>
      <c r="F317" s="3"/>
      <c r="G317" s="4"/>
      <c r="H317" s="4"/>
      <c r="I317" s="4"/>
      <c r="J317" s="4"/>
      <c r="K317" s="4"/>
      <c r="L317" s="4"/>
      <c r="M317" s="4"/>
      <c r="N317" s="4"/>
      <c r="O317" s="4"/>
      <c r="P317" s="4"/>
      <c r="Q317" s="4"/>
      <c r="R317" s="4"/>
      <c r="S317" s="4"/>
    </row>
    <row r="318" spans="2:23">
      <c r="B318" s="2"/>
      <c r="E318" t="s">
        <v>732</v>
      </c>
      <c r="I318" s="4"/>
      <c r="J318" s="4"/>
      <c r="K318" s="4"/>
      <c r="L318" s="4"/>
      <c r="M318" s="4"/>
      <c r="N318" s="4"/>
      <c r="O318" s="4"/>
      <c r="P318" s="4"/>
      <c r="Q318" s="4"/>
      <c r="R318" s="4"/>
      <c r="S318" s="4"/>
    </row>
    <row r="319" spans="2:23">
      <c r="B319" s="2"/>
      <c r="E319" t="s">
        <v>733</v>
      </c>
      <c r="I319" s="4"/>
      <c r="J319" s="4"/>
      <c r="K319" s="4"/>
      <c r="L319" s="4"/>
      <c r="M319" s="4"/>
      <c r="N319" s="4"/>
      <c r="O319" s="4"/>
      <c r="P319" s="4"/>
      <c r="Q319" s="4"/>
      <c r="R319" s="4"/>
      <c r="S319" s="4"/>
    </row>
    <row r="320" spans="2:23">
      <c r="B320" s="2"/>
      <c r="E320" t="s">
        <v>734</v>
      </c>
      <c r="I320" s="4"/>
      <c r="J320" s="4"/>
      <c r="K320" s="4"/>
      <c r="L320" s="4"/>
      <c r="M320" s="4"/>
      <c r="N320" s="4"/>
      <c r="O320" s="4"/>
      <c r="P320" s="4"/>
      <c r="Q320" s="4"/>
      <c r="R320" s="4"/>
      <c r="S320" s="4"/>
    </row>
    <row r="321" spans="1:38">
      <c r="B321" s="2"/>
      <c r="I321" s="4"/>
      <c r="J321" s="4"/>
      <c r="K321" s="4"/>
      <c r="L321" s="4"/>
      <c r="M321" s="4"/>
      <c r="N321" s="4"/>
      <c r="O321" s="4"/>
      <c r="P321" s="4"/>
      <c r="Q321" s="4"/>
      <c r="R321" s="4"/>
      <c r="S321" s="4"/>
    </row>
    <row r="322" spans="1:38">
      <c r="B322" s="2"/>
      <c r="C322" s="2" t="s">
        <v>8</v>
      </c>
      <c r="G322" s="2" t="s">
        <v>615</v>
      </c>
      <c r="I322" s="4"/>
      <c r="J322" s="4"/>
      <c r="K322" s="4"/>
      <c r="L322" s="4"/>
      <c r="M322" s="4"/>
      <c r="N322" s="4"/>
      <c r="O322" s="4"/>
      <c r="P322" s="4"/>
      <c r="Q322" s="4"/>
      <c r="R322" s="4"/>
      <c r="S322" s="4"/>
    </row>
    <row r="323" spans="1:38">
      <c r="A323" t="s">
        <v>249</v>
      </c>
      <c r="D323" s="2" t="s">
        <v>206</v>
      </c>
      <c r="E323" s="2" t="s">
        <v>615</v>
      </c>
      <c r="J323" s="2"/>
      <c r="K323" s="2"/>
      <c r="L323" s="2"/>
      <c r="M323" s="4"/>
      <c r="N323" s="4"/>
      <c r="O323" s="4"/>
      <c r="P323" s="4"/>
      <c r="Q323" s="4"/>
      <c r="R323" s="4"/>
      <c r="S323" s="4"/>
    </row>
    <row r="324" spans="1:38">
      <c r="E324" t="s">
        <v>112</v>
      </c>
      <c r="F324" s="4" t="s">
        <v>950</v>
      </c>
      <c r="J324" s="4"/>
      <c r="K324" s="4"/>
      <c r="L324" s="4"/>
      <c r="M324" s="4"/>
      <c r="N324" s="4"/>
      <c r="O324" s="4"/>
      <c r="P324" s="4"/>
      <c r="Q324" s="4"/>
      <c r="R324" s="4"/>
      <c r="S324" s="4"/>
    </row>
    <row r="325" spans="1:38">
      <c r="E325" s="4" t="s">
        <v>113</v>
      </c>
      <c r="F325" t="s">
        <v>736</v>
      </c>
      <c r="J325" s="4"/>
      <c r="K325" s="4"/>
      <c r="L325" s="4"/>
      <c r="M325" s="4"/>
      <c r="N325" s="4"/>
      <c r="O325" s="4"/>
      <c r="P325" s="4"/>
      <c r="Q325" s="4"/>
      <c r="R325" s="4"/>
      <c r="S325" s="4"/>
    </row>
    <row r="326" spans="1:38">
      <c r="F326" s="120" t="s">
        <v>1150</v>
      </c>
      <c r="I326" s="120"/>
      <c r="J326" s="4"/>
      <c r="K326" s="4"/>
      <c r="L326" s="4"/>
      <c r="M326" s="4"/>
      <c r="N326" s="4"/>
      <c r="O326" s="4"/>
      <c r="P326" s="4"/>
      <c r="Q326" s="4"/>
      <c r="R326" s="4"/>
      <c r="S326" s="4"/>
    </row>
    <row r="327" spans="1:38">
      <c r="F327" s="120" t="s">
        <v>1151</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c r="A329" s="5"/>
      <c r="B329" s="11" t="s">
        <v>515</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c r="B330" s="2"/>
      <c r="D330" s="2"/>
      <c r="E330" s="2"/>
      <c r="F330" s="2"/>
      <c r="G330" s="2"/>
      <c r="H330" s="2"/>
      <c r="I330" s="2"/>
      <c r="J330" s="4"/>
      <c r="K330" s="4"/>
      <c r="L330" s="4"/>
      <c r="M330" s="4"/>
      <c r="N330" s="4"/>
      <c r="O330" s="4"/>
      <c r="P330" s="4"/>
      <c r="Q330" s="4"/>
      <c r="R330" s="4"/>
      <c r="S330" s="4"/>
    </row>
    <row r="331" spans="1:38">
      <c r="B331" s="2"/>
      <c r="C331" s="2" t="s">
        <v>429</v>
      </c>
      <c r="G331" s="2" t="s">
        <v>22</v>
      </c>
      <c r="I331" s="2"/>
      <c r="J331" s="4"/>
      <c r="K331" s="4"/>
      <c r="L331" s="4"/>
      <c r="M331" s="4"/>
      <c r="N331" s="4"/>
      <c r="O331" s="4"/>
      <c r="P331" s="4"/>
      <c r="Q331" s="4"/>
      <c r="R331" s="4"/>
      <c r="S331" s="4"/>
    </row>
    <row r="332" spans="1:38">
      <c r="B332" s="2"/>
      <c r="C332" s="2"/>
      <c r="D332" s="2" t="s">
        <v>206</v>
      </c>
      <c r="E332" s="2" t="s">
        <v>22</v>
      </c>
      <c r="G332" s="2"/>
      <c r="I332" s="2"/>
      <c r="J332" s="4"/>
      <c r="K332" s="4"/>
      <c r="L332" s="4"/>
      <c r="M332" s="4"/>
      <c r="N332" s="4"/>
      <c r="O332" s="4"/>
      <c r="P332" s="4"/>
      <c r="Q332" s="4"/>
      <c r="R332" s="4"/>
      <c r="S332" s="4"/>
    </row>
    <row r="333" spans="1:38">
      <c r="B333" s="2"/>
      <c r="E333" t="s">
        <v>112</v>
      </c>
      <c r="F333" t="s">
        <v>739</v>
      </c>
      <c r="J333" s="4"/>
      <c r="K333" s="4"/>
      <c r="L333" s="4"/>
      <c r="M333" s="4"/>
      <c r="N333" s="4"/>
      <c r="O333" s="4"/>
      <c r="P333" s="4"/>
      <c r="Q333" s="4"/>
      <c r="R333" s="4"/>
      <c r="S333" s="4"/>
    </row>
    <row r="334" spans="1:38">
      <c r="B334" s="2"/>
      <c r="E334" s="4"/>
      <c r="F334" s="4" t="s">
        <v>740</v>
      </c>
      <c r="J334" s="4"/>
      <c r="K334" s="4"/>
      <c r="L334" s="4"/>
      <c r="M334" s="4"/>
      <c r="N334" s="4"/>
      <c r="O334" s="4"/>
      <c r="P334" s="4"/>
      <c r="Q334" s="4"/>
      <c r="R334" s="4"/>
      <c r="S334" s="4"/>
    </row>
    <row r="335" spans="1:38">
      <c r="B335" s="2"/>
      <c r="E335" s="4"/>
      <c r="F335" s="4" t="s">
        <v>741</v>
      </c>
      <c r="I335" s="4"/>
      <c r="J335" s="4"/>
      <c r="K335" s="4"/>
      <c r="L335" s="4"/>
      <c r="M335" s="4"/>
      <c r="N335" s="4"/>
      <c r="O335" s="4"/>
      <c r="P335" s="4"/>
      <c r="Q335" s="4"/>
      <c r="R335" s="4"/>
      <c r="S335" s="4"/>
    </row>
    <row r="336" spans="1:38">
      <c r="B336" s="2"/>
      <c r="E336" s="4" t="s">
        <v>113</v>
      </c>
      <c r="F336" s="1260" t="s">
        <v>1154</v>
      </c>
      <c r="G336" s="1260"/>
      <c r="H336" s="1260"/>
      <c r="I336" s="1260"/>
      <c r="J336" s="1260"/>
      <c r="K336" s="1260"/>
      <c r="L336" s="1260"/>
      <c r="M336" s="1260"/>
      <c r="N336" s="1260"/>
      <c r="O336" s="1260"/>
      <c r="P336" s="1260"/>
      <c r="Q336" s="1260"/>
      <c r="R336" s="1260"/>
      <c r="S336" s="1260"/>
      <c r="T336" s="1260"/>
      <c r="U336" s="1260"/>
      <c r="V336" s="1260"/>
      <c r="W336" s="1260"/>
      <c r="X336" s="1260"/>
      <c r="Y336" s="1260"/>
      <c r="Z336" s="1260"/>
      <c r="AA336" s="1260"/>
      <c r="AB336" s="1260"/>
      <c r="AC336" s="1260"/>
      <c r="AD336" s="1260"/>
      <c r="AE336" s="1260"/>
      <c r="AF336" s="1260"/>
      <c r="AG336" s="1260"/>
      <c r="AH336" s="1260"/>
      <c r="AI336" s="1260"/>
      <c r="AJ336" s="1260"/>
      <c r="AK336" s="1260"/>
    </row>
    <row r="337" spans="2:37">
      <c r="B337" s="2"/>
      <c r="E337" s="4"/>
      <c r="F337" s="1260"/>
      <c r="G337" s="1260"/>
      <c r="H337" s="1260"/>
      <c r="I337" s="1260"/>
      <c r="J337" s="1260"/>
      <c r="K337" s="1260"/>
      <c r="L337" s="1260"/>
      <c r="M337" s="1260"/>
      <c r="N337" s="1260"/>
      <c r="O337" s="1260"/>
      <c r="P337" s="1260"/>
      <c r="Q337" s="1260"/>
      <c r="R337" s="1260"/>
      <c r="S337" s="1260"/>
      <c r="T337" s="1260"/>
      <c r="U337" s="1260"/>
      <c r="V337" s="1260"/>
      <c r="W337" s="1260"/>
      <c r="X337" s="1260"/>
      <c r="Y337" s="1260"/>
      <c r="Z337" s="1260"/>
      <c r="AA337" s="1260"/>
      <c r="AB337" s="1260"/>
      <c r="AC337" s="1260"/>
      <c r="AD337" s="1260"/>
      <c r="AE337" s="1260"/>
      <c r="AF337" s="1260"/>
      <c r="AG337" s="1260"/>
      <c r="AH337" s="1260"/>
      <c r="AI337" s="1260"/>
      <c r="AJ337" s="1260"/>
      <c r="AK337" s="1260"/>
    </row>
    <row r="338" spans="2:37">
      <c r="B338" s="2"/>
      <c r="E338" s="4"/>
      <c r="F338" s="1260"/>
      <c r="G338" s="1260"/>
      <c r="H338" s="1260"/>
      <c r="I338" s="1260"/>
      <c r="J338" s="1260"/>
      <c r="K338" s="1260"/>
      <c r="L338" s="1260"/>
      <c r="M338" s="1260"/>
      <c r="N338" s="1260"/>
      <c r="O338" s="1260"/>
      <c r="P338" s="1260"/>
      <c r="Q338" s="1260"/>
      <c r="R338" s="1260"/>
      <c r="S338" s="1260"/>
      <c r="T338" s="1260"/>
      <c r="U338" s="1260"/>
      <c r="V338" s="1260"/>
      <c r="W338" s="1260"/>
      <c r="X338" s="1260"/>
      <c r="Y338" s="1260"/>
      <c r="Z338" s="1260"/>
      <c r="AA338" s="1260"/>
      <c r="AB338" s="1260"/>
      <c r="AC338" s="1260"/>
      <c r="AD338" s="1260"/>
      <c r="AE338" s="1260"/>
      <c r="AF338" s="1260"/>
      <c r="AG338" s="1260"/>
      <c r="AH338" s="1260"/>
      <c r="AI338" s="1260"/>
      <c r="AJ338" s="1260"/>
      <c r="AK338" s="1260"/>
    </row>
    <row r="339" spans="2:37">
      <c r="B339" s="2"/>
      <c r="F339" s="4"/>
      <c r="H339" s="4"/>
      <c r="I339" s="4"/>
      <c r="J339" s="4"/>
      <c r="K339" s="4"/>
      <c r="L339" s="4"/>
      <c r="M339" s="4"/>
      <c r="N339" s="4"/>
      <c r="O339" s="4"/>
      <c r="P339" s="4"/>
      <c r="Q339" s="4"/>
      <c r="R339" s="4"/>
      <c r="S339" s="4"/>
    </row>
    <row r="340" spans="2:37">
      <c r="B340" s="2"/>
      <c r="C340" s="2" t="s">
        <v>430</v>
      </c>
      <c r="G340" s="2" t="s">
        <v>1227</v>
      </c>
      <c r="I340" s="2"/>
      <c r="J340" s="4"/>
      <c r="K340" s="4"/>
      <c r="L340" s="4"/>
      <c r="M340" s="4"/>
      <c r="N340" s="4"/>
      <c r="O340" s="4"/>
      <c r="P340" s="4"/>
      <c r="Q340" s="4"/>
      <c r="R340" s="4"/>
      <c r="S340" s="4"/>
    </row>
    <row r="341" spans="2:37" ht="13.15" customHeight="1">
      <c r="B341" s="2"/>
      <c r="E341" s="1263" t="s">
        <v>1234</v>
      </c>
      <c r="F341" s="1263"/>
      <c r="G341" s="1263"/>
      <c r="H341" s="1263"/>
      <c r="I341" s="1263"/>
      <c r="J341" s="1263"/>
      <c r="K341" s="1263"/>
      <c r="L341" s="1263"/>
      <c r="M341" s="1263"/>
      <c r="N341" s="1263"/>
      <c r="O341" s="1263"/>
      <c r="P341" s="1263"/>
      <c r="Q341" s="1263"/>
      <c r="R341" s="1263"/>
      <c r="S341" s="1263"/>
      <c r="T341" s="1263"/>
      <c r="U341" s="1263"/>
      <c r="V341" s="1263"/>
      <c r="W341" s="1263"/>
      <c r="X341" s="1263"/>
      <c r="Y341" s="1263"/>
      <c r="Z341" s="1263"/>
      <c r="AA341" s="1263"/>
      <c r="AB341" s="1263"/>
      <c r="AC341" s="1263"/>
      <c r="AD341" s="1263"/>
      <c r="AE341" s="1263"/>
      <c r="AF341" s="1263"/>
      <c r="AG341" s="1263"/>
      <c r="AH341" s="1263"/>
      <c r="AI341" s="1263"/>
      <c r="AJ341" s="1263"/>
      <c r="AK341" s="1263"/>
    </row>
    <row r="342" spans="2:37">
      <c r="B342" s="2"/>
      <c r="E342" s="1263"/>
      <c r="F342" s="1263"/>
      <c r="G342" s="1263"/>
      <c r="H342" s="1263"/>
      <c r="I342" s="1263"/>
      <c r="J342" s="1263"/>
      <c r="K342" s="1263"/>
      <c r="L342" s="1263"/>
      <c r="M342" s="1263"/>
      <c r="N342" s="1263"/>
      <c r="O342" s="1263"/>
      <c r="P342" s="1263"/>
      <c r="Q342" s="1263"/>
      <c r="R342" s="1263"/>
      <c r="S342" s="1263"/>
      <c r="T342" s="1263"/>
      <c r="U342" s="1263"/>
      <c r="V342" s="1263"/>
      <c r="W342" s="1263"/>
      <c r="X342" s="1263"/>
      <c r="Y342" s="1263"/>
      <c r="Z342" s="1263"/>
      <c r="AA342" s="1263"/>
      <c r="AB342" s="1263"/>
      <c r="AC342" s="1263"/>
      <c r="AD342" s="1263"/>
      <c r="AE342" s="1263"/>
      <c r="AF342" s="1263"/>
      <c r="AG342" s="1263"/>
      <c r="AH342" s="1263"/>
      <c r="AI342" s="1263"/>
      <c r="AJ342" s="1263"/>
      <c r="AK342" s="1263"/>
    </row>
    <row r="343" spans="2:37">
      <c r="B343" s="2"/>
      <c r="E343" s="1263"/>
      <c r="F343" s="1263"/>
      <c r="G343" s="1263"/>
      <c r="H343" s="1263"/>
      <c r="I343" s="1263"/>
      <c r="J343" s="1263"/>
      <c r="K343" s="1263"/>
      <c r="L343" s="1263"/>
      <c r="M343" s="1263"/>
      <c r="N343" s="1263"/>
      <c r="O343" s="1263"/>
      <c r="P343" s="1263"/>
      <c r="Q343" s="1263"/>
      <c r="R343" s="1263"/>
      <c r="S343" s="1263"/>
      <c r="T343" s="1263"/>
      <c r="U343" s="1263"/>
      <c r="V343" s="1263"/>
      <c r="W343" s="1263"/>
      <c r="X343" s="1263"/>
      <c r="Y343" s="1263"/>
      <c r="Z343" s="1263"/>
      <c r="AA343" s="1263"/>
      <c r="AB343" s="1263"/>
      <c r="AC343" s="1263"/>
      <c r="AD343" s="1263"/>
      <c r="AE343" s="1263"/>
      <c r="AF343" s="1263"/>
      <c r="AG343" s="1263"/>
      <c r="AH343" s="1263"/>
      <c r="AI343" s="1263"/>
      <c r="AJ343" s="1263"/>
      <c r="AK343" s="1263"/>
    </row>
    <row r="344" spans="2:37">
      <c r="B344" s="2"/>
      <c r="E344" s="1263"/>
      <c r="F344" s="1263"/>
      <c r="G344" s="1263"/>
      <c r="H344" s="1263"/>
      <c r="I344" s="1263"/>
      <c r="J344" s="1263"/>
      <c r="K344" s="1263"/>
      <c r="L344" s="1263"/>
      <c r="M344" s="1263"/>
      <c r="N344" s="1263"/>
      <c r="O344" s="1263"/>
      <c r="P344" s="1263"/>
      <c r="Q344" s="1263"/>
      <c r="R344" s="1263"/>
      <c r="S344" s="1263"/>
      <c r="T344" s="1263"/>
      <c r="U344" s="1263"/>
      <c r="V344" s="1263"/>
      <c r="W344" s="1263"/>
      <c r="X344" s="1263"/>
      <c r="Y344" s="1263"/>
      <c r="Z344" s="1263"/>
      <c r="AA344" s="1263"/>
      <c r="AB344" s="1263"/>
      <c r="AC344" s="1263"/>
      <c r="AD344" s="1263"/>
      <c r="AE344" s="1263"/>
      <c r="AF344" s="1263"/>
      <c r="AG344" s="1263"/>
      <c r="AH344" s="1263"/>
      <c r="AI344" s="1263"/>
      <c r="AJ344" s="1263"/>
      <c r="AK344" s="1263"/>
    </row>
    <row r="345" spans="2:37">
      <c r="B345" s="2"/>
      <c r="E345" s="1263"/>
      <c r="F345" s="1263"/>
      <c r="G345" s="1263"/>
      <c r="H345" s="1263"/>
      <c r="I345" s="1263"/>
      <c r="J345" s="1263"/>
      <c r="K345" s="1263"/>
      <c r="L345" s="1263"/>
      <c r="M345" s="1263"/>
      <c r="N345" s="1263"/>
      <c r="O345" s="1263"/>
      <c r="P345" s="1263"/>
      <c r="Q345" s="1263"/>
      <c r="R345" s="1263"/>
      <c r="S345" s="1263"/>
      <c r="T345" s="1263"/>
      <c r="U345" s="1263"/>
      <c r="V345" s="1263"/>
      <c r="W345" s="1263"/>
      <c r="X345" s="1263"/>
      <c r="Y345" s="1263"/>
      <c r="Z345" s="1263"/>
      <c r="AA345" s="1263"/>
      <c r="AB345" s="1263"/>
      <c r="AC345" s="1263"/>
      <c r="AD345" s="1263"/>
      <c r="AE345" s="1263"/>
      <c r="AF345" s="1263"/>
      <c r="AG345" s="1263"/>
      <c r="AH345" s="1263"/>
      <c r="AI345" s="1263"/>
      <c r="AJ345" s="1263"/>
      <c r="AK345" s="1263"/>
    </row>
    <row r="346" spans="2:37">
      <c r="B346" s="2"/>
      <c r="E346" s="3" t="s">
        <v>112</v>
      </c>
      <c r="F346" s="1260" t="s">
        <v>1236</v>
      </c>
      <c r="G346" s="1260"/>
      <c r="H346" s="1260"/>
      <c r="I346" s="1260"/>
      <c r="J346" s="1260"/>
      <c r="K346" s="1260"/>
      <c r="L346" s="1260"/>
      <c r="M346" s="1260"/>
      <c r="N346" s="1260"/>
      <c r="O346" s="1260"/>
      <c r="P346" s="1260"/>
      <c r="Q346" s="1260"/>
      <c r="R346" s="1260"/>
      <c r="S346" s="1260"/>
      <c r="T346" s="1260"/>
      <c r="U346" s="1260"/>
      <c r="V346" s="1260"/>
      <c r="W346" s="1260"/>
      <c r="X346" s="1260"/>
      <c r="Y346" s="1260"/>
      <c r="Z346" s="1260"/>
      <c r="AA346" s="1260"/>
      <c r="AB346" s="1260"/>
      <c r="AC346" s="1260"/>
      <c r="AD346" s="1260"/>
      <c r="AE346" s="1260"/>
      <c r="AF346" s="1260"/>
      <c r="AG346" s="1260"/>
      <c r="AH346" s="1260"/>
      <c r="AI346" s="1260"/>
      <c r="AJ346" s="1260"/>
      <c r="AK346" s="1260"/>
    </row>
    <row r="347" spans="2:37">
      <c r="B347" s="2"/>
      <c r="E347" s="3"/>
      <c r="F347" s="1260"/>
      <c r="G347" s="1260"/>
      <c r="H347" s="1260"/>
      <c r="I347" s="1260"/>
      <c r="J347" s="1260"/>
      <c r="K347" s="1260"/>
      <c r="L347" s="1260"/>
      <c r="M347" s="1260"/>
      <c r="N347" s="1260"/>
      <c r="O347" s="1260"/>
      <c r="P347" s="1260"/>
      <c r="Q347" s="1260"/>
      <c r="R347" s="1260"/>
      <c r="S347" s="1260"/>
      <c r="T347" s="1260"/>
      <c r="U347" s="1260"/>
      <c r="V347" s="1260"/>
      <c r="W347" s="1260"/>
      <c r="X347" s="1260"/>
      <c r="Y347" s="1260"/>
      <c r="Z347" s="1260"/>
      <c r="AA347" s="1260"/>
      <c r="AB347" s="1260"/>
      <c r="AC347" s="1260"/>
      <c r="AD347" s="1260"/>
      <c r="AE347" s="1260"/>
      <c r="AF347" s="1260"/>
      <c r="AG347" s="1260"/>
      <c r="AH347" s="1260"/>
      <c r="AI347" s="1260"/>
      <c r="AJ347" s="1260"/>
      <c r="AK347" s="1260"/>
    </row>
    <row r="348" spans="2:37">
      <c r="B348" s="2"/>
      <c r="E348" s="3"/>
      <c r="F348" s="1260"/>
      <c r="G348" s="1260"/>
      <c r="H348" s="1260"/>
      <c r="I348" s="1260"/>
      <c r="J348" s="1260"/>
      <c r="K348" s="1260"/>
      <c r="L348" s="1260"/>
      <c r="M348" s="1260"/>
      <c r="N348" s="1260"/>
      <c r="O348" s="1260"/>
      <c r="P348" s="1260"/>
      <c r="Q348" s="1260"/>
      <c r="R348" s="1260"/>
      <c r="S348" s="1260"/>
      <c r="T348" s="1260"/>
      <c r="U348" s="1260"/>
      <c r="V348" s="1260"/>
      <c r="W348" s="1260"/>
      <c r="X348" s="1260"/>
      <c r="Y348" s="1260"/>
      <c r="Z348" s="1260"/>
      <c r="AA348" s="1260"/>
      <c r="AB348" s="1260"/>
      <c r="AC348" s="1260"/>
      <c r="AD348" s="1260"/>
      <c r="AE348" s="1260"/>
      <c r="AF348" s="1260"/>
      <c r="AG348" s="1260"/>
      <c r="AH348" s="1260"/>
      <c r="AI348" s="1260"/>
      <c r="AJ348" s="1260"/>
      <c r="AK348" s="1260"/>
    </row>
    <row r="349" spans="2:37">
      <c r="B349" s="2"/>
      <c r="E349" s="3"/>
      <c r="F349" s="1260"/>
      <c r="G349" s="1260"/>
      <c r="H349" s="1260"/>
      <c r="I349" s="1260"/>
      <c r="J349" s="1260"/>
      <c r="K349" s="1260"/>
      <c r="L349" s="1260"/>
      <c r="M349" s="1260"/>
      <c r="N349" s="1260"/>
      <c r="O349" s="1260"/>
      <c r="P349" s="1260"/>
      <c r="Q349" s="1260"/>
      <c r="R349" s="1260"/>
      <c r="S349" s="1260"/>
      <c r="T349" s="1260"/>
      <c r="U349" s="1260"/>
      <c r="V349" s="1260"/>
      <c r="W349" s="1260"/>
      <c r="X349" s="1260"/>
      <c r="Y349" s="1260"/>
      <c r="Z349" s="1260"/>
      <c r="AA349" s="1260"/>
      <c r="AB349" s="1260"/>
      <c r="AC349" s="1260"/>
      <c r="AD349" s="1260"/>
      <c r="AE349" s="1260"/>
      <c r="AF349" s="1260"/>
      <c r="AG349" s="1260"/>
      <c r="AH349" s="1260"/>
      <c r="AI349" s="1260"/>
      <c r="AJ349" s="1260"/>
      <c r="AK349" s="1260"/>
    </row>
    <row r="350" spans="2:37">
      <c r="B350" s="2"/>
      <c r="E350" s="3" t="s">
        <v>113</v>
      </c>
      <c r="F350" s="1260" t="s">
        <v>1235</v>
      </c>
      <c r="G350" s="1260"/>
      <c r="H350" s="1260"/>
      <c r="I350" s="1260"/>
      <c r="J350" s="1260"/>
      <c r="K350" s="1260"/>
      <c r="L350" s="1260"/>
      <c r="M350" s="1260"/>
      <c r="N350" s="1260"/>
      <c r="O350" s="1260"/>
      <c r="P350" s="1260"/>
      <c r="Q350" s="1260"/>
      <c r="R350" s="1260"/>
      <c r="S350" s="1260"/>
      <c r="T350" s="1260"/>
      <c r="U350" s="1260"/>
      <c r="V350" s="1260"/>
      <c r="W350" s="1260"/>
      <c r="X350" s="1260"/>
      <c r="Y350" s="1260"/>
      <c r="Z350" s="1260"/>
      <c r="AA350" s="1260"/>
      <c r="AB350" s="1260"/>
      <c r="AC350" s="1260"/>
      <c r="AD350" s="1260"/>
      <c r="AE350" s="1260"/>
      <c r="AF350" s="1260"/>
      <c r="AG350" s="1260"/>
      <c r="AH350" s="1260"/>
      <c r="AI350" s="1260"/>
      <c r="AJ350" s="1260"/>
      <c r="AK350" s="1260"/>
    </row>
    <row r="351" spans="2:37">
      <c r="B351" s="2"/>
      <c r="F351" s="1260"/>
      <c r="G351" s="1260"/>
      <c r="H351" s="1260"/>
      <c r="I351" s="1260"/>
      <c r="J351" s="1260"/>
      <c r="K351" s="1260"/>
      <c r="L351" s="1260"/>
      <c r="M351" s="1260"/>
      <c r="N351" s="1260"/>
      <c r="O351" s="1260"/>
      <c r="P351" s="1260"/>
      <c r="Q351" s="1260"/>
      <c r="R351" s="1260"/>
      <c r="S351" s="1260"/>
      <c r="T351" s="1260"/>
      <c r="U351" s="1260"/>
      <c r="V351" s="1260"/>
      <c r="W351" s="1260"/>
      <c r="X351" s="1260"/>
      <c r="Y351" s="1260"/>
      <c r="Z351" s="1260"/>
      <c r="AA351" s="1260"/>
      <c r="AB351" s="1260"/>
      <c r="AC351" s="1260"/>
      <c r="AD351" s="1260"/>
      <c r="AE351" s="1260"/>
      <c r="AF351" s="1260"/>
      <c r="AG351" s="1260"/>
      <c r="AH351" s="1260"/>
      <c r="AI351" s="1260"/>
      <c r="AJ351" s="1260"/>
      <c r="AK351" s="1260"/>
    </row>
    <row r="352" spans="2:37">
      <c r="B352" s="2"/>
      <c r="F352" s="1260"/>
      <c r="G352" s="1260"/>
      <c r="H352" s="1260"/>
      <c r="I352" s="1260"/>
      <c r="J352" s="1260"/>
      <c r="K352" s="1260"/>
      <c r="L352" s="1260"/>
      <c r="M352" s="1260"/>
      <c r="N352" s="1260"/>
      <c r="O352" s="1260"/>
      <c r="P352" s="1260"/>
      <c r="Q352" s="1260"/>
      <c r="R352" s="1260"/>
      <c r="S352" s="1260"/>
      <c r="T352" s="1260"/>
      <c r="U352" s="1260"/>
      <c r="V352" s="1260"/>
      <c r="W352" s="1260"/>
      <c r="X352" s="1260"/>
      <c r="Y352" s="1260"/>
      <c r="Z352" s="1260"/>
      <c r="AA352" s="1260"/>
      <c r="AB352" s="1260"/>
      <c r="AC352" s="1260"/>
      <c r="AD352" s="1260"/>
      <c r="AE352" s="1260"/>
      <c r="AF352" s="1260"/>
      <c r="AG352" s="1260"/>
      <c r="AH352" s="1260"/>
      <c r="AI352" s="1260"/>
      <c r="AJ352" s="1260"/>
      <c r="AK352" s="1260"/>
    </row>
    <row r="353" spans="1:38">
      <c r="B353" s="2"/>
      <c r="F353" s="4"/>
      <c r="H353" s="4"/>
      <c r="I353" s="4"/>
      <c r="J353" s="4"/>
      <c r="K353" s="4"/>
      <c r="L353" s="4"/>
      <c r="M353" s="4"/>
      <c r="N353" s="4"/>
      <c r="O353" s="4"/>
      <c r="P353" s="4"/>
      <c r="Q353" s="4"/>
      <c r="R353" s="4"/>
      <c r="S353" s="4"/>
    </row>
    <row r="354" spans="1:38">
      <c r="A354" s="5"/>
      <c r="B354" s="11" t="s">
        <v>752</v>
      </c>
      <c r="C354" s="11" t="s">
        <v>616</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c r="B355" s="2"/>
      <c r="D355" s="513"/>
      <c r="E355" s="2"/>
      <c r="M355" s="4"/>
      <c r="N355" s="4"/>
      <c r="O355" s="4"/>
      <c r="P355" s="4"/>
      <c r="Q355" s="4"/>
      <c r="R355" s="4"/>
      <c r="S355" s="4"/>
      <c r="T355" s="4"/>
    </row>
    <row r="356" spans="1:38" ht="13.15" customHeight="1">
      <c r="B356" s="2"/>
      <c r="C356" s="11" t="s">
        <v>1217</v>
      </c>
      <c r="D356" s="5"/>
      <c r="E356" s="5"/>
      <c r="F356" s="5"/>
      <c r="G356" s="5"/>
      <c r="H356" s="5"/>
      <c r="I356" s="453"/>
      <c r="J356" s="453"/>
      <c r="K356" s="453"/>
      <c r="L356" s="453"/>
      <c r="M356" s="453"/>
      <c r="N356" s="453"/>
      <c r="O356" s="453"/>
      <c r="P356" s="453"/>
      <c r="Q356" s="453"/>
      <c r="R356" s="453"/>
      <c r="S356" s="453"/>
      <c r="T356" s="453"/>
      <c r="U356" s="453"/>
      <c r="V356" s="453"/>
      <c r="W356" s="453"/>
      <c r="X356" s="453"/>
      <c r="Y356" s="453"/>
      <c r="Z356" s="453"/>
      <c r="AA356" s="453"/>
      <c r="AB356" s="453"/>
      <c r="AC356" s="453"/>
      <c r="AD356" s="453"/>
      <c r="AE356" s="453"/>
      <c r="AF356" s="453"/>
      <c r="AG356" s="453"/>
      <c r="AH356" s="453"/>
      <c r="AI356" s="453"/>
      <c r="AJ356" s="453"/>
      <c r="AK356" s="453"/>
    </row>
    <row r="357" spans="1:38" ht="13.15" customHeight="1">
      <c r="B357" s="2"/>
      <c r="C357" s="2"/>
      <c r="E357" s="454"/>
      <c r="F357" s="454"/>
      <c r="G357" s="454"/>
      <c r="H357" s="454"/>
      <c r="I357" s="454"/>
      <c r="J357" s="454"/>
      <c r="K357" s="454"/>
      <c r="L357" s="454"/>
      <c r="M357" s="454"/>
      <c r="N357" s="454"/>
      <c r="O357" s="454"/>
      <c r="P357" s="454"/>
      <c r="Q357" s="454"/>
      <c r="R357" s="454"/>
      <c r="S357" s="454"/>
      <c r="T357" s="454"/>
      <c r="U357" s="454"/>
      <c r="V357" s="454"/>
      <c r="W357" s="454"/>
      <c r="X357" s="454"/>
      <c r="Y357" s="454"/>
      <c r="Z357" s="454"/>
      <c r="AA357" s="454"/>
      <c r="AB357" s="454"/>
      <c r="AC357" s="454"/>
      <c r="AD357" s="454"/>
      <c r="AE357" s="454"/>
      <c r="AF357" s="454"/>
      <c r="AG357" s="454"/>
      <c r="AH357" s="454"/>
      <c r="AI357" s="454"/>
      <c r="AJ357" s="454"/>
      <c r="AK357" s="454"/>
    </row>
    <row r="358" spans="1:38">
      <c r="B358" s="2"/>
      <c r="D358" s="2" t="s">
        <v>206</v>
      </c>
      <c r="E358" s="2" t="s">
        <v>122</v>
      </c>
      <c r="I358" s="4"/>
      <c r="J358" s="4"/>
      <c r="K358" s="4"/>
      <c r="L358" s="4"/>
      <c r="M358" s="4"/>
      <c r="N358" s="4"/>
      <c r="O358" s="4"/>
      <c r="P358" s="4"/>
      <c r="Q358" s="4"/>
      <c r="R358" s="4"/>
      <c r="S358" s="4"/>
    </row>
    <row r="359" spans="1:38">
      <c r="B359" s="2"/>
      <c r="E359" t="s">
        <v>112</v>
      </c>
      <c r="F359" s="4" t="s">
        <v>743</v>
      </c>
      <c r="I359" s="4"/>
      <c r="J359" s="4"/>
      <c r="K359" s="4"/>
      <c r="L359" s="4"/>
      <c r="M359" s="4"/>
      <c r="N359" s="4"/>
      <c r="O359" s="4"/>
      <c r="P359" s="4"/>
      <c r="Q359" s="4"/>
      <c r="R359" s="4"/>
      <c r="S359" s="4"/>
    </row>
    <row r="360" spans="1:38">
      <c r="B360" s="2"/>
      <c r="F360" s="4" t="s">
        <v>744</v>
      </c>
      <c r="I360" s="4"/>
      <c r="J360" s="4"/>
      <c r="K360" s="4"/>
      <c r="L360" s="4"/>
      <c r="M360" s="4"/>
      <c r="N360" s="4"/>
      <c r="O360" s="4"/>
      <c r="P360" s="4"/>
      <c r="Q360" s="4"/>
      <c r="R360" s="4"/>
      <c r="S360" s="4"/>
    </row>
    <row r="361" spans="1:38">
      <c r="B361" s="2"/>
      <c r="F361" s="4" t="s">
        <v>872</v>
      </c>
      <c r="G361" s="4"/>
      <c r="K361" s="4"/>
      <c r="L361" s="4"/>
      <c r="M361" s="4"/>
      <c r="N361" s="4"/>
      <c r="O361" s="4"/>
      <c r="P361" s="4"/>
      <c r="Q361" s="4"/>
      <c r="R361" s="4"/>
      <c r="S361" s="4"/>
    </row>
    <row r="362" spans="1:38">
      <c r="B362" s="2"/>
      <c r="E362" t="s">
        <v>113</v>
      </c>
      <c r="F362" s="4" t="s">
        <v>871</v>
      </c>
      <c r="I362" s="4"/>
      <c r="J362" s="4"/>
      <c r="K362" s="4"/>
      <c r="L362" s="4"/>
      <c r="M362" s="4"/>
      <c r="N362" s="4"/>
      <c r="O362" s="4"/>
      <c r="P362" s="4"/>
      <c r="Q362" s="4"/>
      <c r="R362" s="4"/>
      <c r="S362" s="4"/>
    </row>
    <row r="363" spans="1:38">
      <c r="B363" s="2"/>
      <c r="E363" t="s">
        <v>119</v>
      </c>
      <c r="F363" s="4" t="s">
        <v>745</v>
      </c>
      <c r="I363" s="4"/>
      <c r="J363" s="4"/>
      <c r="K363" s="4"/>
      <c r="L363" s="4"/>
      <c r="M363" s="4"/>
      <c r="N363" s="4"/>
      <c r="O363" s="4"/>
      <c r="P363" s="4"/>
      <c r="Q363" s="4"/>
      <c r="R363" s="4"/>
      <c r="S363" s="4"/>
    </row>
    <row r="364" spans="1:38">
      <c r="B364" s="2"/>
      <c r="F364" s="4" t="s">
        <v>746</v>
      </c>
      <c r="J364" s="4"/>
      <c r="K364" s="4"/>
      <c r="L364" s="4"/>
      <c r="M364" s="4"/>
      <c r="N364" s="4"/>
      <c r="O364" s="4"/>
      <c r="P364" s="4"/>
      <c r="Q364" s="4"/>
      <c r="R364" s="4"/>
      <c r="S364" s="4"/>
    </row>
    <row r="365" spans="1:38">
      <c r="B365" s="2"/>
      <c r="E365" s="1264" t="s">
        <v>1225</v>
      </c>
      <c r="F365" s="1264"/>
      <c r="G365" s="1264"/>
      <c r="H365" s="1264"/>
      <c r="I365" s="1264"/>
      <c r="J365" s="1264"/>
      <c r="K365" s="1264"/>
      <c r="L365" s="1264"/>
      <c r="M365" s="1264"/>
      <c r="N365" s="1264"/>
      <c r="O365" s="1264"/>
      <c r="P365" s="1264"/>
      <c r="Q365" s="1264"/>
      <c r="R365" s="1264"/>
      <c r="S365" s="1264"/>
      <c r="T365" s="1264"/>
      <c r="U365" s="1264"/>
      <c r="V365" s="1264"/>
      <c r="W365" s="1264"/>
      <c r="X365" s="1264"/>
      <c r="Y365" s="1264"/>
      <c r="Z365" s="1264"/>
      <c r="AA365" s="1264"/>
      <c r="AB365" s="1264"/>
      <c r="AC365" s="1264"/>
      <c r="AD365" s="1264"/>
      <c r="AE365" s="1264"/>
      <c r="AF365" s="1264"/>
      <c r="AG365" s="1264"/>
      <c r="AH365" s="1264"/>
      <c r="AI365" s="1264"/>
      <c r="AJ365" s="1264"/>
      <c r="AK365" s="1264"/>
      <c r="AL365" s="1264"/>
    </row>
    <row r="366" spans="1:38">
      <c r="B366" s="2"/>
      <c r="E366" s="1264"/>
      <c r="F366" s="1264"/>
      <c r="G366" s="1264"/>
      <c r="H366" s="1264"/>
      <c r="I366" s="1264"/>
      <c r="J366" s="1264"/>
      <c r="K366" s="1264"/>
      <c r="L366" s="1264"/>
      <c r="M366" s="1264"/>
      <c r="N366" s="1264"/>
      <c r="O366" s="1264"/>
      <c r="P366" s="1264"/>
      <c r="Q366" s="1264"/>
      <c r="R366" s="1264"/>
      <c r="S366" s="1264"/>
      <c r="T366" s="1264"/>
      <c r="U366" s="1264"/>
      <c r="V366" s="1264"/>
      <c r="W366" s="1264"/>
      <c r="X366" s="1264"/>
      <c r="Y366" s="1264"/>
      <c r="Z366" s="1264"/>
      <c r="AA366" s="1264"/>
      <c r="AB366" s="1264"/>
      <c r="AC366" s="1264"/>
      <c r="AD366" s="1264"/>
      <c r="AE366" s="1264"/>
      <c r="AF366" s="1264"/>
      <c r="AG366" s="1264"/>
      <c r="AH366" s="1264"/>
      <c r="AI366" s="1264"/>
      <c r="AJ366" s="1264"/>
      <c r="AK366" s="1264"/>
      <c r="AL366" s="1264"/>
    </row>
    <row r="367" spans="1:38" s="1266" customFormat="1">
      <c r="A367"/>
      <c r="B367" s="2"/>
      <c r="C367"/>
      <c r="D367"/>
      <c r="E367" s="1265" t="s">
        <v>1257</v>
      </c>
    </row>
    <row r="368" spans="1:38" s="1266" customFormat="1">
      <c r="A368"/>
      <c r="B368" s="2"/>
      <c r="C368" s="2"/>
      <c r="D368"/>
    </row>
    <row r="369" spans="1:38">
      <c r="B369" s="2"/>
      <c r="E369" s="4"/>
      <c r="F369" s="456"/>
      <c r="G369" s="456"/>
      <c r="H369" s="456"/>
      <c r="I369" s="456"/>
      <c r="J369" s="456"/>
      <c r="K369" s="456"/>
      <c r="L369" s="456"/>
      <c r="M369" s="456"/>
      <c r="N369" s="456"/>
      <c r="O369" s="456"/>
      <c r="P369" s="456"/>
      <c r="Q369" s="456"/>
      <c r="R369" s="456"/>
      <c r="S369" s="456"/>
      <c r="T369" s="456"/>
      <c r="U369" s="456"/>
      <c r="V369" s="456"/>
      <c r="W369" s="456"/>
      <c r="X369" s="456"/>
      <c r="Y369" s="456"/>
      <c r="Z369" s="456"/>
      <c r="AA369" s="456"/>
      <c r="AB369" s="456"/>
      <c r="AC369" s="456"/>
      <c r="AD369" s="456"/>
      <c r="AE369" s="456"/>
      <c r="AF369" s="456"/>
      <c r="AG369" s="456"/>
      <c r="AH369" s="456"/>
      <c r="AI369" s="456"/>
      <c r="AJ369" s="456"/>
      <c r="AK369" s="456"/>
    </row>
    <row r="370" spans="1:38">
      <c r="B370" s="2"/>
      <c r="D370" s="2" t="s">
        <v>340</v>
      </c>
      <c r="E370" s="2" t="s">
        <v>568</v>
      </c>
      <c r="J370" s="4"/>
      <c r="K370" s="4"/>
      <c r="L370" s="4"/>
      <c r="M370" s="4"/>
      <c r="N370" s="4"/>
      <c r="O370" s="4"/>
      <c r="P370" s="4"/>
      <c r="Q370" s="4"/>
      <c r="R370" s="4"/>
      <c r="S370" s="4"/>
    </row>
    <row r="371" spans="1:38">
      <c r="B371" s="2"/>
      <c r="E371" s="4" t="s">
        <v>747</v>
      </c>
      <c r="F371" s="4"/>
      <c r="G371" s="4"/>
      <c r="H371" s="4"/>
      <c r="I371" s="4"/>
      <c r="J371" s="4"/>
      <c r="K371" s="4"/>
      <c r="L371" s="4"/>
      <c r="M371" s="4"/>
      <c r="N371" s="4"/>
      <c r="O371" s="4"/>
      <c r="P371" s="4"/>
      <c r="Q371" s="4"/>
      <c r="R371" s="4"/>
      <c r="S371" s="4"/>
    </row>
    <row r="372" spans="1:38">
      <c r="B372" s="2"/>
      <c r="E372" s="4" t="s">
        <v>748</v>
      </c>
      <c r="F372" s="4"/>
      <c r="G372" s="4"/>
      <c r="H372" s="4"/>
      <c r="I372" s="4"/>
      <c r="J372" s="4"/>
      <c r="K372" s="4"/>
      <c r="L372" s="4"/>
      <c r="M372" s="4"/>
      <c r="N372" s="4"/>
      <c r="O372" s="4"/>
      <c r="P372" s="4"/>
      <c r="Q372" s="4"/>
      <c r="R372" s="4"/>
      <c r="S372" s="4"/>
    </row>
    <row r="373" spans="1:38">
      <c r="B373" s="2"/>
      <c r="E373" s="4"/>
      <c r="F373" s="4"/>
      <c r="G373" s="4"/>
      <c r="H373" s="4"/>
      <c r="I373" s="4"/>
      <c r="J373" s="4"/>
      <c r="K373" s="4"/>
      <c r="L373" s="4"/>
      <c r="M373" s="4"/>
      <c r="N373" s="4"/>
      <c r="O373" s="4"/>
      <c r="P373" s="4"/>
      <c r="Q373" s="4"/>
      <c r="R373" s="4"/>
      <c r="S373" s="4"/>
    </row>
    <row r="374" spans="1:38">
      <c r="B374" s="2"/>
      <c r="D374" s="2" t="s">
        <v>574</v>
      </c>
      <c r="E374" s="2" t="s">
        <v>281</v>
      </c>
      <c r="J374" s="4"/>
      <c r="K374" s="4"/>
      <c r="L374" s="4"/>
      <c r="M374" s="4"/>
      <c r="N374" s="4"/>
      <c r="O374" s="4"/>
      <c r="P374" s="4"/>
      <c r="Q374" s="4"/>
      <c r="R374" s="4"/>
      <c r="S374" s="4"/>
    </row>
    <row r="375" spans="1:38">
      <c r="B375" s="2"/>
      <c r="E375" s="4" t="s">
        <v>112</v>
      </c>
      <c r="F375" s="4" t="s">
        <v>250</v>
      </c>
      <c r="G375" s="4"/>
      <c r="I375" s="4"/>
      <c r="J375" s="4"/>
      <c r="K375" s="4"/>
      <c r="L375" s="4"/>
      <c r="M375" s="4"/>
      <c r="N375" s="4"/>
      <c r="O375" s="4"/>
      <c r="P375" s="4"/>
      <c r="Q375" s="4"/>
      <c r="R375" s="4"/>
      <c r="S375" s="4"/>
    </row>
    <row r="376" spans="1:38">
      <c r="B376" s="2"/>
      <c r="E376" s="4"/>
      <c r="F376" s="120" t="s">
        <v>1152</v>
      </c>
      <c r="G376" s="4"/>
      <c r="I376" s="120"/>
      <c r="J376" s="4"/>
      <c r="K376" s="4"/>
      <c r="L376" s="4"/>
      <c r="M376" s="4"/>
      <c r="N376" s="4"/>
      <c r="O376" s="4"/>
      <c r="P376" s="4"/>
      <c r="Q376" s="4"/>
      <c r="R376" s="4"/>
      <c r="S376" s="4"/>
    </row>
    <row r="377" spans="1:38">
      <c r="B377" s="2"/>
      <c r="E377" s="4" t="s">
        <v>113</v>
      </c>
      <c r="F377" s="4" t="s">
        <v>251</v>
      </c>
      <c r="G377" s="4"/>
      <c r="I377" s="120"/>
      <c r="J377" s="4"/>
      <c r="K377" s="4"/>
      <c r="L377" s="4"/>
      <c r="M377" s="4"/>
      <c r="N377" s="4"/>
      <c r="O377" s="4"/>
      <c r="P377" s="4"/>
      <c r="Q377" s="4"/>
      <c r="R377" s="4"/>
      <c r="S377" s="4"/>
    </row>
    <row r="378" spans="1:38">
      <c r="B378" s="2"/>
      <c r="E378" s="4"/>
      <c r="F378" s="4"/>
      <c r="G378" s="4"/>
      <c r="I378" s="120"/>
      <c r="J378" s="4"/>
      <c r="K378" s="4"/>
      <c r="L378" s="4"/>
      <c r="M378" s="4"/>
      <c r="N378" s="4"/>
      <c r="O378" s="4"/>
      <c r="P378" s="4"/>
      <c r="Q378" s="4"/>
      <c r="R378" s="4"/>
      <c r="S378" s="4"/>
    </row>
    <row r="379" spans="1:38">
      <c r="B379" s="2"/>
      <c r="D379" s="2" t="s">
        <v>514</v>
      </c>
      <c r="E379" s="2" t="s">
        <v>1258</v>
      </c>
      <c r="J379" s="3"/>
      <c r="K379" s="3"/>
      <c r="L379" s="3"/>
      <c r="M379" s="3"/>
      <c r="N379" s="3"/>
      <c r="O379" s="3"/>
      <c r="P379" s="3"/>
      <c r="Q379" s="3"/>
      <c r="R379" s="3"/>
      <c r="S379" s="3"/>
    </row>
    <row r="380" spans="1:38">
      <c r="B380" s="2"/>
      <c r="D380" s="2"/>
      <c r="E380" s="3" t="s">
        <v>747</v>
      </c>
      <c r="F380" s="3"/>
      <c r="G380" s="3"/>
      <c r="J380" s="3"/>
      <c r="K380" s="3"/>
      <c r="L380" s="3"/>
      <c r="M380" s="3"/>
      <c r="N380" s="3"/>
      <c r="O380" s="3"/>
      <c r="P380" s="3"/>
      <c r="Q380" s="3"/>
      <c r="R380" s="3"/>
      <c r="S380" s="3"/>
    </row>
    <row r="381" spans="1:38">
      <c r="B381" s="2"/>
      <c r="D381" s="2"/>
      <c r="E381" s="3" t="s">
        <v>1155</v>
      </c>
      <c r="F381" s="3"/>
      <c r="G381" s="3"/>
      <c r="J381" s="3"/>
      <c r="K381" s="3"/>
      <c r="L381" s="3"/>
      <c r="M381" s="3"/>
      <c r="N381" s="3"/>
      <c r="O381" s="3"/>
      <c r="P381" s="3"/>
      <c r="Q381" s="3"/>
      <c r="R381" s="3"/>
      <c r="S381" s="3"/>
    </row>
    <row r="382" spans="1:38">
      <c r="B382" s="2"/>
      <c r="D382" s="2"/>
      <c r="E382" s="3"/>
      <c r="F382" s="3"/>
      <c r="G382" s="3"/>
      <c r="J382" s="3"/>
      <c r="K382" s="3"/>
      <c r="L382" s="3"/>
      <c r="M382" s="3"/>
      <c r="N382" s="3"/>
      <c r="O382" s="3"/>
      <c r="P382" s="3"/>
      <c r="Q382" s="3"/>
      <c r="R382" s="3"/>
      <c r="S382" s="3"/>
    </row>
    <row r="383" spans="1:38" s="169" customFormat="1">
      <c r="A383"/>
      <c r="B383" s="2"/>
      <c r="C383"/>
      <c r="D383" s="2" t="s">
        <v>302</v>
      </c>
      <c r="E383" s="2" t="s">
        <v>283</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c r="A384"/>
      <c r="B384" s="2"/>
      <c r="C384"/>
      <c r="D384"/>
      <c r="E384" s="3" t="s">
        <v>112</v>
      </c>
      <c r="F384" s="3" t="s">
        <v>1259</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c r="A385"/>
      <c r="B385" s="2"/>
      <c r="C385"/>
      <c r="D385"/>
      <c r="E385" s="3"/>
      <c r="F385" s="120" t="s">
        <v>1152</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c r="B386" s="2"/>
      <c r="E386" s="3" t="s">
        <v>113</v>
      </c>
      <c r="F386" s="1260" t="s">
        <v>1268</v>
      </c>
      <c r="G386" s="1260"/>
      <c r="H386" s="1260"/>
      <c r="I386" s="1260"/>
      <c r="J386" s="1260"/>
      <c r="K386" s="1260"/>
      <c r="L386" s="1260"/>
      <c r="M386" s="1260"/>
      <c r="N386" s="1260"/>
      <c r="O386" s="1260"/>
      <c r="P386" s="1260"/>
      <c r="Q386" s="1260"/>
      <c r="R386" s="1260"/>
      <c r="S386" s="1260"/>
      <c r="T386" s="1260"/>
      <c r="U386" s="1260"/>
      <c r="V386" s="1260"/>
      <c r="W386" s="1260"/>
      <c r="X386" s="1260"/>
      <c r="Y386" s="1260"/>
      <c r="Z386" s="1260"/>
      <c r="AA386" s="1260"/>
      <c r="AB386" s="1260"/>
      <c r="AC386" s="1260"/>
      <c r="AD386" s="1260"/>
      <c r="AE386" s="1260"/>
      <c r="AF386" s="1260"/>
      <c r="AG386" s="1260"/>
      <c r="AH386" s="1260"/>
      <c r="AI386" s="1260"/>
      <c r="AJ386" s="1260"/>
      <c r="AK386" s="1260"/>
    </row>
    <row r="387" spans="1:38">
      <c r="B387" s="2"/>
      <c r="E387" s="3"/>
      <c r="F387" s="1260"/>
      <c r="G387" s="1260"/>
      <c r="H387" s="1260"/>
      <c r="I387" s="1260"/>
      <c r="J387" s="1260"/>
      <c r="K387" s="1260"/>
      <c r="L387" s="1260"/>
      <c r="M387" s="1260"/>
      <c r="N387" s="1260"/>
      <c r="O387" s="1260"/>
      <c r="P387" s="1260"/>
      <c r="Q387" s="1260"/>
      <c r="R387" s="1260"/>
      <c r="S387" s="1260"/>
      <c r="T387" s="1260"/>
      <c r="U387" s="1260"/>
      <c r="V387" s="1260"/>
      <c r="W387" s="1260"/>
      <c r="X387" s="1260"/>
      <c r="Y387" s="1260"/>
      <c r="Z387" s="1260"/>
      <c r="AA387" s="1260"/>
      <c r="AB387" s="1260"/>
      <c r="AC387" s="1260"/>
      <c r="AD387" s="1260"/>
      <c r="AE387" s="1260"/>
      <c r="AF387" s="1260"/>
      <c r="AG387" s="1260"/>
      <c r="AH387" s="1260"/>
      <c r="AI387" s="1260"/>
      <c r="AJ387" s="1260"/>
      <c r="AK387" s="1260"/>
    </row>
    <row r="388" spans="1:38">
      <c r="B388" s="2"/>
      <c r="E388" s="3"/>
      <c r="F388" s="1260"/>
      <c r="G388" s="1260"/>
      <c r="H388" s="1260"/>
      <c r="I388" s="1260"/>
      <c r="J388" s="1260"/>
      <c r="K388" s="1260"/>
      <c r="L388" s="1260"/>
      <c r="M388" s="1260"/>
      <c r="N388" s="1260"/>
      <c r="O388" s="1260"/>
      <c r="P388" s="1260"/>
      <c r="Q388" s="1260"/>
      <c r="R388" s="1260"/>
      <c r="S388" s="1260"/>
      <c r="T388" s="1260"/>
      <c r="U388" s="1260"/>
      <c r="V388" s="1260"/>
      <c r="W388" s="1260"/>
      <c r="X388" s="1260"/>
      <c r="Y388" s="1260"/>
      <c r="Z388" s="1260"/>
      <c r="AA388" s="1260"/>
      <c r="AB388" s="1260"/>
      <c r="AC388" s="1260"/>
      <c r="AD388" s="1260"/>
      <c r="AE388" s="1260"/>
      <c r="AF388" s="1260"/>
      <c r="AG388" s="1260"/>
      <c r="AH388" s="1260"/>
      <c r="AI388" s="1260"/>
      <c r="AJ388" s="1260"/>
      <c r="AK388" s="1260"/>
    </row>
    <row r="389" spans="1:38">
      <c r="B389" s="2"/>
      <c r="E389" s="4"/>
      <c r="F389" s="442"/>
      <c r="G389" s="442"/>
      <c r="H389" s="442"/>
      <c r="I389" s="442"/>
      <c r="J389" s="442"/>
      <c r="K389" s="442"/>
      <c r="L389" s="442"/>
      <c r="M389" s="442"/>
      <c r="N389" s="442"/>
      <c r="O389" s="442"/>
      <c r="P389" s="442"/>
      <c r="Q389" s="442"/>
      <c r="R389" s="442"/>
      <c r="S389" s="442"/>
      <c r="T389" s="442"/>
      <c r="U389" s="442"/>
      <c r="V389" s="442"/>
      <c r="W389" s="442"/>
      <c r="X389" s="442"/>
      <c r="Y389" s="442"/>
      <c r="Z389" s="442"/>
      <c r="AA389" s="442"/>
      <c r="AB389" s="442"/>
      <c r="AC389" s="442"/>
      <c r="AD389" s="442"/>
      <c r="AE389" s="442"/>
      <c r="AF389" s="442"/>
      <c r="AG389" s="442"/>
      <c r="AH389" s="442"/>
      <c r="AI389" s="442"/>
      <c r="AJ389" s="442"/>
      <c r="AK389" s="442"/>
      <c r="AL389" s="454"/>
    </row>
    <row r="390" spans="1:38">
      <c r="B390" s="2"/>
      <c r="C390" s="2"/>
      <c r="D390" s="2" t="s">
        <v>428</v>
      </c>
      <c r="E390" s="2" t="s">
        <v>1274</v>
      </c>
      <c r="F390" s="3"/>
      <c r="G390" s="2"/>
      <c r="I390" s="120"/>
      <c r="J390" s="3"/>
      <c r="K390" s="3"/>
      <c r="L390" s="3"/>
      <c r="M390" s="3"/>
      <c r="N390" s="3"/>
      <c r="O390" s="3"/>
      <c r="P390" s="3"/>
      <c r="Q390" s="3"/>
      <c r="R390" s="3"/>
      <c r="S390" s="3"/>
    </row>
    <row r="391" spans="1:38" ht="13.15" customHeight="1">
      <c r="B391" s="2"/>
      <c r="D391" s="2"/>
      <c r="E391" s="3" t="s">
        <v>1273</v>
      </c>
      <c r="F391" s="456"/>
      <c r="G391" s="456"/>
      <c r="H391" s="456"/>
      <c r="I391" s="456"/>
      <c r="J391" s="456"/>
      <c r="K391" s="456"/>
      <c r="L391" s="456"/>
      <c r="M391" s="456"/>
      <c r="N391" s="456"/>
      <c r="O391" s="456"/>
      <c r="P391" s="456"/>
      <c r="Q391" s="456"/>
      <c r="R391" s="456"/>
      <c r="S391" s="456"/>
      <c r="T391" s="456"/>
      <c r="U391" s="456"/>
      <c r="V391" s="456"/>
      <c r="W391" s="456"/>
      <c r="X391" s="456"/>
      <c r="Y391" s="456"/>
      <c r="Z391" s="456"/>
      <c r="AA391" s="456"/>
      <c r="AB391" s="456"/>
      <c r="AC391" s="456"/>
      <c r="AD391" s="456"/>
      <c r="AE391" s="456"/>
      <c r="AF391" s="456"/>
      <c r="AG391" s="456"/>
      <c r="AH391" s="456"/>
      <c r="AI391" s="456"/>
      <c r="AJ391" s="456"/>
      <c r="AK391" s="456"/>
    </row>
    <row r="392" spans="1:38">
      <c r="B392" s="2"/>
      <c r="E392" t="s">
        <v>1155</v>
      </c>
      <c r="F392" s="453"/>
      <c r="G392" s="453"/>
      <c r="H392" s="453"/>
      <c r="I392" s="453"/>
      <c r="J392" s="453"/>
      <c r="K392" s="453"/>
      <c r="L392" s="453"/>
      <c r="M392" s="453"/>
      <c r="N392" s="453"/>
      <c r="O392" s="453"/>
      <c r="P392" s="453"/>
      <c r="Q392" s="453"/>
      <c r="R392" s="453"/>
      <c r="S392" s="453"/>
      <c r="T392" s="453"/>
      <c r="U392" s="453"/>
      <c r="V392" s="453"/>
      <c r="W392" s="453"/>
      <c r="X392" s="453"/>
      <c r="Y392" s="453"/>
      <c r="Z392" s="453"/>
      <c r="AA392" s="453"/>
      <c r="AB392" s="453"/>
      <c r="AC392" s="453"/>
      <c r="AD392" s="453"/>
      <c r="AE392" s="453"/>
      <c r="AF392" s="453"/>
      <c r="AG392" s="453"/>
      <c r="AH392" s="453"/>
      <c r="AI392" s="453"/>
      <c r="AJ392" s="453"/>
      <c r="AK392" s="453"/>
      <c r="AL392" s="453"/>
    </row>
    <row r="393" spans="1:38" s="169" customFormat="1">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idden="1">
      <c r="B395" s="2"/>
      <c r="S395" s="4"/>
    </row>
    <row r="396" spans="1:38" hidden="1">
      <c r="B396" s="2"/>
      <c r="S396" s="4"/>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D406" s="2"/>
      <c r="E406" s="4"/>
      <c r="F406" s="4"/>
      <c r="G406" s="4"/>
      <c r="H406" s="4"/>
      <c r="I406" s="4"/>
      <c r="J406" s="4"/>
      <c r="K406" s="4"/>
      <c r="L406" s="4"/>
      <c r="M406" s="4"/>
      <c r="N406" s="4"/>
      <c r="O406" s="4"/>
      <c r="P406" s="4"/>
      <c r="Q406" s="4"/>
      <c r="R406" s="4"/>
      <c r="S406" s="4"/>
    </row>
    <row r="407" spans="2:19"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idden="1">
      <c r="B419" s="2"/>
      <c r="D419" s="2"/>
      <c r="E419" s="4"/>
      <c r="F419" s="4"/>
      <c r="G419" s="4"/>
      <c r="H419" s="4"/>
      <c r="I419" s="4"/>
      <c r="J419" s="4"/>
      <c r="K419" s="4"/>
      <c r="L419" s="4"/>
      <c r="M419" s="4"/>
      <c r="N419" s="4"/>
      <c r="O419" s="4"/>
      <c r="P419" s="4"/>
      <c r="Q419" s="4"/>
      <c r="R419" s="4"/>
      <c r="S419" s="4"/>
    </row>
    <row r="420" spans="2:19" hidden="1">
      <c r="B420" s="2"/>
      <c r="C420" s="2"/>
      <c r="D420" s="2"/>
      <c r="E420" s="4"/>
      <c r="F420" s="4"/>
      <c r="G420" s="4"/>
      <c r="H420" s="4"/>
      <c r="I420" s="4"/>
      <c r="J420" s="4"/>
      <c r="K420" s="4"/>
      <c r="L420" s="4"/>
      <c r="M420" s="4"/>
      <c r="N420" s="4"/>
      <c r="O420" s="4"/>
      <c r="P420" s="4"/>
      <c r="Q420" s="4"/>
      <c r="R420" s="4"/>
      <c r="S420" s="4"/>
    </row>
    <row r="421" spans="2:19" hidden="1">
      <c r="D421" s="2"/>
    </row>
    <row r="422" spans="2:19"/>
    <row r="423" spans="2:19"/>
    <row r="424" spans="2:19"/>
    <row r="425" spans="2:19"/>
    <row r="426" spans="2:19"/>
  </sheetData>
  <sheetProtection algorithmName="SHA-512" hashValue="GJO6OPuhrgxaumVaisCkXrjpurRFMGM5XK0WertIMnkxqoReS1wTu7SccDluljWy5lyOmLKDSETVILjT8HATPQ==" saltValue="xUWWmkFDI+ThwOA+xzUbk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 ref="G80:AK82"/>
    <mergeCell ref="E35:AK35"/>
    <mergeCell ref="E36:AK36"/>
    <mergeCell ref="G64:AK66"/>
    <mergeCell ref="G70:AK71"/>
    <mergeCell ref="G54:AK54"/>
    <mergeCell ref="F386:AK388"/>
    <mergeCell ref="E341:AK345"/>
    <mergeCell ref="F350:AK352"/>
    <mergeCell ref="E365:AL366"/>
    <mergeCell ref="E367:XFD368"/>
    <mergeCell ref="F346:AK349"/>
    <mergeCell ref="A1:AL2"/>
    <mergeCell ref="D7:AK9"/>
    <mergeCell ref="D11:AK13"/>
    <mergeCell ref="D33:AK34"/>
    <mergeCell ref="F48:AK50"/>
    <mergeCell ref="D15:AK17"/>
    <mergeCell ref="J18:AK18"/>
  </mergeCells>
  <phoneticPr fontId="0" type="noConversion"/>
  <hyperlinks>
    <hyperlink ref="E36" r:id="rId2" display="http://www.treasurer.ca.gov/ctcac/contacts.asp" xr:uid="{00000000-0004-0000-0000-000000000000}"/>
    <hyperlink ref="E31" r:id="rId3" xr:uid="{00000000-0004-0000-0000-000001000000}"/>
    <hyperlink ref="E35" r:id="rId4" display="http://www.treasurer.ca.gov/ctcac/assignments.asp"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workbookViewId="0">
      <selection activeCell="AB50" sqref="AB50:AF50"/>
    </sheetView>
  </sheetViews>
  <sheetFormatPr defaultColWidth="0" defaultRowHeight="12.95" customHeight="1"/>
  <cols>
    <col min="1" max="1" width="1.5703125" style="403" customWidth="1"/>
    <col min="2" max="2" width="0.85546875" style="403" customWidth="1"/>
    <col min="3" max="18" width="2.5703125" style="403" customWidth="1"/>
    <col min="19" max="19" width="6.28515625" style="403" customWidth="1"/>
    <col min="20" max="39" width="2.7109375" style="403" customWidth="1"/>
    <col min="40" max="40" width="1.5703125" style="403" customWidth="1"/>
    <col min="41" max="256" width="2.5703125" style="403" hidden="1"/>
    <col min="257" max="257" width="1.5703125" style="403" hidden="1" customWidth="1"/>
    <col min="258" max="258" width="0.85546875" style="403" hidden="1" customWidth="1"/>
    <col min="259" max="274" width="2.5703125" style="403" hidden="1" customWidth="1"/>
    <col min="275" max="275" width="4" style="403" hidden="1" customWidth="1"/>
    <col min="276" max="279" width="2.5703125" style="403" hidden="1" customWidth="1"/>
    <col min="280" max="280" width="2.42578125" style="403" hidden="1" customWidth="1"/>
    <col min="281" max="284" width="2.5703125" style="403" hidden="1" customWidth="1"/>
    <col min="285" max="285" width="2.42578125" style="403" hidden="1" customWidth="1"/>
    <col min="286" max="289" width="2.5703125" style="403" hidden="1" customWidth="1"/>
    <col min="290" max="295" width="2.42578125" style="403" hidden="1" customWidth="1"/>
    <col min="296" max="296" width="1.5703125" style="403" hidden="1" customWidth="1"/>
    <col min="297" max="512" width="2.5703125" style="403" hidden="1"/>
    <col min="513" max="513" width="1.5703125" style="403" hidden="1" customWidth="1"/>
    <col min="514" max="514" width="0.85546875" style="403" hidden="1" customWidth="1"/>
    <col min="515" max="530" width="2.5703125" style="403" hidden="1" customWidth="1"/>
    <col min="531" max="531" width="4" style="403" hidden="1" customWidth="1"/>
    <col min="532" max="535" width="2.5703125" style="403" hidden="1" customWidth="1"/>
    <col min="536" max="536" width="2.42578125" style="403" hidden="1" customWidth="1"/>
    <col min="537" max="540" width="2.5703125" style="403" hidden="1" customWidth="1"/>
    <col min="541" max="541" width="2.42578125" style="403" hidden="1" customWidth="1"/>
    <col min="542" max="545" width="2.5703125" style="403" hidden="1" customWidth="1"/>
    <col min="546" max="551" width="2.42578125" style="403" hidden="1" customWidth="1"/>
    <col min="552" max="552" width="1.5703125" style="403" hidden="1" customWidth="1"/>
    <col min="553" max="768" width="2.5703125" style="403" hidden="1"/>
    <col min="769" max="769" width="1.5703125" style="403" hidden="1" customWidth="1"/>
    <col min="770" max="770" width="0.85546875" style="403" hidden="1" customWidth="1"/>
    <col min="771" max="786" width="2.5703125" style="403" hidden="1" customWidth="1"/>
    <col min="787" max="787" width="4" style="403" hidden="1" customWidth="1"/>
    <col min="788" max="791" width="2.5703125" style="403" hidden="1" customWidth="1"/>
    <col min="792" max="792" width="2.42578125" style="403" hidden="1" customWidth="1"/>
    <col min="793" max="796" width="2.5703125" style="403" hidden="1" customWidth="1"/>
    <col min="797" max="797" width="2.42578125" style="403" hidden="1" customWidth="1"/>
    <col min="798" max="801" width="2.5703125" style="403" hidden="1" customWidth="1"/>
    <col min="802" max="807" width="2.42578125" style="403" hidden="1" customWidth="1"/>
    <col min="808" max="808" width="1.5703125" style="403" hidden="1" customWidth="1"/>
    <col min="809" max="1024" width="2.5703125" style="403" hidden="1"/>
    <col min="1025" max="1025" width="1.5703125" style="403" hidden="1" customWidth="1"/>
    <col min="1026" max="1026" width="0.85546875" style="403" hidden="1" customWidth="1"/>
    <col min="1027" max="1042" width="2.5703125" style="403" hidden="1" customWidth="1"/>
    <col min="1043" max="1043" width="4" style="403" hidden="1" customWidth="1"/>
    <col min="1044" max="1047" width="2.5703125" style="403" hidden="1" customWidth="1"/>
    <col min="1048" max="1048" width="2.42578125" style="403" hidden="1" customWidth="1"/>
    <col min="1049" max="1052" width="2.5703125" style="403" hidden="1" customWidth="1"/>
    <col min="1053" max="1053" width="2.42578125" style="403" hidden="1" customWidth="1"/>
    <col min="1054" max="1057" width="2.5703125" style="403" hidden="1" customWidth="1"/>
    <col min="1058" max="1063" width="2.42578125" style="403" hidden="1" customWidth="1"/>
    <col min="1064" max="1064" width="1.5703125" style="403" hidden="1" customWidth="1"/>
    <col min="1065" max="1280" width="2.5703125" style="403" hidden="1"/>
    <col min="1281" max="1281" width="1.5703125" style="403" hidden="1" customWidth="1"/>
    <col min="1282" max="1282" width="0.85546875" style="403" hidden="1" customWidth="1"/>
    <col min="1283" max="1298" width="2.5703125" style="403" hidden="1" customWidth="1"/>
    <col min="1299" max="1299" width="4" style="403" hidden="1" customWidth="1"/>
    <col min="1300" max="1303" width="2.5703125" style="403" hidden="1" customWidth="1"/>
    <col min="1304" max="1304" width="2.42578125" style="403" hidden="1" customWidth="1"/>
    <col min="1305" max="1308" width="2.5703125" style="403" hidden="1" customWidth="1"/>
    <col min="1309" max="1309" width="2.42578125" style="403" hidden="1" customWidth="1"/>
    <col min="1310" max="1313" width="2.5703125" style="403" hidden="1" customWidth="1"/>
    <col min="1314" max="1319" width="2.42578125" style="403" hidden="1" customWidth="1"/>
    <col min="1320" max="1320" width="1.5703125" style="403" hidden="1" customWidth="1"/>
    <col min="1321" max="1536" width="2.5703125" style="403" hidden="1"/>
    <col min="1537" max="1537" width="1.5703125" style="403" hidden="1" customWidth="1"/>
    <col min="1538" max="1538" width="0.85546875" style="403" hidden="1" customWidth="1"/>
    <col min="1539" max="1554" width="2.5703125" style="403" hidden="1" customWidth="1"/>
    <col min="1555" max="1555" width="4" style="403" hidden="1" customWidth="1"/>
    <col min="1556" max="1559" width="2.5703125" style="403" hidden="1" customWidth="1"/>
    <col min="1560" max="1560" width="2.42578125" style="403" hidden="1" customWidth="1"/>
    <col min="1561" max="1564" width="2.5703125" style="403" hidden="1" customWidth="1"/>
    <col min="1565" max="1565" width="2.42578125" style="403" hidden="1" customWidth="1"/>
    <col min="1566" max="1569" width="2.5703125" style="403" hidden="1" customWidth="1"/>
    <col min="1570" max="1575" width="2.42578125" style="403" hidden="1" customWidth="1"/>
    <col min="1576" max="1576" width="1.5703125" style="403" hidden="1" customWidth="1"/>
    <col min="1577" max="1792" width="2.5703125" style="403" hidden="1"/>
    <col min="1793" max="1793" width="1.5703125" style="403" hidden="1" customWidth="1"/>
    <col min="1794" max="1794" width="0.85546875" style="403" hidden="1" customWidth="1"/>
    <col min="1795" max="1810" width="2.5703125" style="403" hidden="1" customWidth="1"/>
    <col min="1811" max="1811" width="4" style="403" hidden="1" customWidth="1"/>
    <col min="1812" max="1815" width="2.5703125" style="403" hidden="1" customWidth="1"/>
    <col min="1816" max="1816" width="2.42578125" style="403" hidden="1" customWidth="1"/>
    <col min="1817" max="1820" width="2.5703125" style="403" hidden="1" customWidth="1"/>
    <col min="1821" max="1821" width="2.42578125" style="403" hidden="1" customWidth="1"/>
    <col min="1822" max="1825" width="2.5703125" style="403" hidden="1" customWidth="1"/>
    <col min="1826" max="1831" width="2.42578125" style="403" hidden="1" customWidth="1"/>
    <col min="1832" max="1832" width="1.5703125" style="403" hidden="1" customWidth="1"/>
    <col min="1833" max="2048" width="2.5703125" style="403" hidden="1"/>
    <col min="2049" max="2049" width="1.5703125" style="403" hidden="1" customWidth="1"/>
    <col min="2050" max="2050" width="0.85546875" style="403" hidden="1" customWidth="1"/>
    <col min="2051" max="2066" width="2.5703125" style="403" hidden="1" customWidth="1"/>
    <col min="2067" max="2067" width="4" style="403" hidden="1" customWidth="1"/>
    <col min="2068" max="2071" width="2.5703125" style="403" hidden="1" customWidth="1"/>
    <col min="2072" max="2072" width="2.42578125" style="403" hidden="1" customWidth="1"/>
    <col min="2073" max="2076" width="2.5703125" style="403" hidden="1" customWidth="1"/>
    <col min="2077" max="2077" width="2.42578125" style="403" hidden="1" customWidth="1"/>
    <col min="2078" max="2081" width="2.5703125" style="403" hidden="1" customWidth="1"/>
    <col min="2082" max="2087" width="2.42578125" style="403" hidden="1" customWidth="1"/>
    <col min="2088" max="2088" width="1.5703125" style="403" hidden="1" customWidth="1"/>
    <col min="2089" max="2304" width="2.5703125" style="403" hidden="1"/>
    <col min="2305" max="2305" width="1.5703125" style="403" hidden="1" customWidth="1"/>
    <col min="2306" max="2306" width="0.85546875" style="403" hidden="1" customWidth="1"/>
    <col min="2307" max="2322" width="2.5703125" style="403" hidden="1" customWidth="1"/>
    <col min="2323" max="2323" width="4" style="403" hidden="1" customWidth="1"/>
    <col min="2324" max="2327" width="2.5703125" style="403" hidden="1" customWidth="1"/>
    <col min="2328" max="2328" width="2.42578125" style="403" hidden="1" customWidth="1"/>
    <col min="2329" max="2332" width="2.5703125" style="403" hidden="1" customWidth="1"/>
    <col min="2333" max="2333" width="2.42578125" style="403" hidden="1" customWidth="1"/>
    <col min="2334" max="2337" width="2.5703125" style="403" hidden="1" customWidth="1"/>
    <col min="2338" max="2343" width="2.42578125" style="403" hidden="1" customWidth="1"/>
    <col min="2344" max="2344" width="1.5703125" style="403" hidden="1" customWidth="1"/>
    <col min="2345" max="2560" width="2.5703125" style="403" hidden="1"/>
    <col min="2561" max="2561" width="1.5703125" style="403" hidden="1" customWidth="1"/>
    <col min="2562" max="2562" width="0.85546875" style="403" hidden="1" customWidth="1"/>
    <col min="2563" max="2578" width="2.5703125" style="403" hidden="1" customWidth="1"/>
    <col min="2579" max="2579" width="4" style="403" hidden="1" customWidth="1"/>
    <col min="2580" max="2583" width="2.5703125" style="403" hidden="1" customWidth="1"/>
    <col min="2584" max="2584" width="2.42578125" style="403" hidden="1" customWidth="1"/>
    <col min="2585" max="2588" width="2.5703125" style="403" hidden="1" customWidth="1"/>
    <col min="2589" max="2589" width="2.42578125" style="403" hidden="1" customWidth="1"/>
    <col min="2590" max="2593" width="2.5703125" style="403" hidden="1" customWidth="1"/>
    <col min="2594" max="2599" width="2.42578125" style="403" hidden="1" customWidth="1"/>
    <col min="2600" max="2600" width="1.5703125" style="403" hidden="1" customWidth="1"/>
    <col min="2601" max="2816" width="2.5703125" style="403" hidden="1"/>
    <col min="2817" max="2817" width="1.5703125" style="403" hidden="1" customWidth="1"/>
    <col min="2818" max="2818" width="0.85546875" style="403" hidden="1" customWidth="1"/>
    <col min="2819" max="2834" width="2.5703125" style="403" hidden="1" customWidth="1"/>
    <col min="2835" max="2835" width="4" style="403" hidden="1" customWidth="1"/>
    <col min="2836" max="2839" width="2.5703125" style="403" hidden="1" customWidth="1"/>
    <col min="2840" max="2840" width="2.42578125" style="403" hidden="1" customWidth="1"/>
    <col min="2841" max="2844" width="2.5703125" style="403" hidden="1" customWidth="1"/>
    <col min="2845" max="2845" width="2.42578125" style="403" hidden="1" customWidth="1"/>
    <col min="2846" max="2849" width="2.5703125" style="403" hidden="1" customWidth="1"/>
    <col min="2850" max="2855" width="2.42578125" style="403" hidden="1" customWidth="1"/>
    <col min="2856" max="2856" width="1.5703125" style="403" hidden="1" customWidth="1"/>
    <col min="2857" max="3072" width="2.5703125" style="403" hidden="1"/>
    <col min="3073" max="3073" width="1.5703125" style="403" hidden="1" customWidth="1"/>
    <col min="3074" max="3074" width="0.85546875" style="403" hidden="1" customWidth="1"/>
    <col min="3075" max="3090" width="2.5703125" style="403" hidden="1" customWidth="1"/>
    <col min="3091" max="3091" width="4" style="403" hidden="1" customWidth="1"/>
    <col min="3092" max="3095" width="2.5703125" style="403" hidden="1" customWidth="1"/>
    <col min="3096" max="3096" width="2.42578125" style="403" hidden="1" customWidth="1"/>
    <col min="3097" max="3100" width="2.5703125" style="403" hidden="1" customWidth="1"/>
    <col min="3101" max="3101" width="2.42578125" style="403" hidden="1" customWidth="1"/>
    <col min="3102" max="3105" width="2.5703125" style="403" hidden="1" customWidth="1"/>
    <col min="3106" max="3111" width="2.42578125" style="403" hidden="1" customWidth="1"/>
    <col min="3112" max="3112" width="1.5703125" style="403" hidden="1" customWidth="1"/>
    <col min="3113" max="3328" width="2.5703125" style="403" hidden="1"/>
    <col min="3329" max="3329" width="1.5703125" style="403" hidden="1" customWidth="1"/>
    <col min="3330" max="3330" width="0.85546875" style="403" hidden="1" customWidth="1"/>
    <col min="3331" max="3346" width="2.5703125" style="403" hidden="1" customWidth="1"/>
    <col min="3347" max="3347" width="4" style="403" hidden="1" customWidth="1"/>
    <col min="3348" max="3351" width="2.5703125" style="403" hidden="1" customWidth="1"/>
    <col min="3352" max="3352" width="2.42578125" style="403" hidden="1" customWidth="1"/>
    <col min="3353" max="3356" width="2.5703125" style="403" hidden="1" customWidth="1"/>
    <col min="3357" max="3357" width="2.42578125" style="403" hidden="1" customWidth="1"/>
    <col min="3358" max="3361" width="2.5703125" style="403" hidden="1" customWidth="1"/>
    <col min="3362" max="3367" width="2.42578125" style="403" hidden="1" customWidth="1"/>
    <col min="3368" max="3368" width="1.5703125" style="403" hidden="1" customWidth="1"/>
    <col min="3369" max="3584" width="2.5703125" style="403" hidden="1"/>
    <col min="3585" max="3585" width="1.5703125" style="403" hidden="1" customWidth="1"/>
    <col min="3586" max="3586" width="0.85546875" style="403" hidden="1" customWidth="1"/>
    <col min="3587" max="3602" width="2.5703125" style="403" hidden="1" customWidth="1"/>
    <col min="3603" max="3603" width="4" style="403" hidden="1" customWidth="1"/>
    <col min="3604" max="3607" width="2.5703125" style="403" hidden="1" customWidth="1"/>
    <col min="3608" max="3608" width="2.42578125" style="403" hidden="1" customWidth="1"/>
    <col min="3609" max="3612" width="2.5703125" style="403" hidden="1" customWidth="1"/>
    <col min="3613" max="3613" width="2.42578125" style="403" hidden="1" customWidth="1"/>
    <col min="3614" max="3617" width="2.5703125" style="403" hidden="1" customWidth="1"/>
    <col min="3618" max="3623" width="2.42578125" style="403" hidden="1" customWidth="1"/>
    <col min="3624" max="3624" width="1.5703125" style="403" hidden="1" customWidth="1"/>
    <col min="3625" max="3840" width="2.5703125" style="403" hidden="1"/>
    <col min="3841" max="3841" width="1.5703125" style="403" hidden="1" customWidth="1"/>
    <col min="3842" max="3842" width="0.85546875" style="403" hidden="1" customWidth="1"/>
    <col min="3843" max="3858" width="2.5703125" style="403" hidden="1" customWidth="1"/>
    <col min="3859" max="3859" width="4" style="403" hidden="1" customWidth="1"/>
    <col min="3860" max="3863" width="2.5703125" style="403" hidden="1" customWidth="1"/>
    <col min="3864" max="3864" width="2.42578125" style="403" hidden="1" customWidth="1"/>
    <col min="3865" max="3868" width="2.5703125" style="403" hidden="1" customWidth="1"/>
    <col min="3869" max="3869" width="2.42578125" style="403" hidden="1" customWidth="1"/>
    <col min="3870" max="3873" width="2.5703125" style="403" hidden="1" customWidth="1"/>
    <col min="3874" max="3879" width="2.42578125" style="403" hidden="1" customWidth="1"/>
    <col min="3880" max="3880" width="1.5703125" style="403" hidden="1" customWidth="1"/>
    <col min="3881" max="4096" width="2.5703125" style="403" hidden="1"/>
    <col min="4097" max="4097" width="1.5703125" style="403" hidden="1" customWidth="1"/>
    <col min="4098" max="4098" width="0.85546875" style="403" hidden="1" customWidth="1"/>
    <col min="4099" max="4114" width="2.5703125" style="403" hidden="1" customWidth="1"/>
    <col min="4115" max="4115" width="4" style="403" hidden="1" customWidth="1"/>
    <col min="4116" max="4119" width="2.5703125" style="403" hidden="1" customWidth="1"/>
    <col min="4120" max="4120" width="2.42578125" style="403" hidden="1" customWidth="1"/>
    <col min="4121" max="4124" width="2.5703125" style="403" hidden="1" customWidth="1"/>
    <col min="4125" max="4125" width="2.42578125" style="403" hidden="1" customWidth="1"/>
    <col min="4126" max="4129" width="2.5703125" style="403" hidden="1" customWidth="1"/>
    <col min="4130" max="4135" width="2.42578125" style="403" hidden="1" customWidth="1"/>
    <col min="4136" max="4136" width="1.5703125" style="403" hidden="1" customWidth="1"/>
    <col min="4137" max="4352" width="2.5703125" style="403" hidden="1"/>
    <col min="4353" max="4353" width="1.5703125" style="403" hidden="1" customWidth="1"/>
    <col min="4354" max="4354" width="0.85546875" style="403" hidden="1" customWidth="1"/>
    <col min="4355" max="4370" width="2.5703125" style="403" hidden="1" customWidth="1"/>
    <col min="4371" max="4371" width="4" style="403" hidden="1" customWidth="1"/>
    <col min="4372" max="4375" width="2.5703125" style="403" hidden="1" customWidth="1"/>
    <col min="4376" max="4376" width="2.42578125" style="403" hidden="1" customWidth="1"/>
    <col min="4377" max="4380" width="2.5703125" style="403" hidden="1" customWidth="1"/>
    <col min="4381" max="4381" width="2.42578125" style="403" hidden="1" customWidth="1"/>
    <col min="4382" max="4385" width="2.5703125" style="403" hidden="1" customWidth="1"/>
    <col min="4386" max="4391" width="2.42578125" style="403" hidden="1" customWidth="1"/>
    <col min="4392" max="4392" width="1.5703125" style="403" hidden="1" customWidth="1"/>
    <col min="4393" max="4608" width="2.5703125" style="403" hidden="1"/>
    <col min="4609" max="4609" width="1.5703125" style="403" hidden="1" customWidth="1"/>
    <col min="4610" max="4610" width="0.85546875" style="403" hidden="1" customWidth="1"/>
    <col min="4611" max="4626" width="2.5703125" style="403" hidden="1" customWidth="1"/>
    <col min="4627" max="4627" width="4" style="403" hidden="1" customWidth="1"/>
    <col min="4628" max="4631" width="2.5703125" style="403" hidden="1" customWidth="1"/>
    <col min="4632" max="4632" width="2.42578125" style="403" hidden="1" customWidth="1"/>
    <col min="4633" max="4636" width="2.5703125" style="403" hidden="1" customWidth="1"/>
    <col min="4637" max="4637" width="2.42578125" style="403" hidden="1" customWidth="1"/>
    <col min="4638" max="4641" width="2.5703125" style="403" hidden="1" customWidth="1"/>
    <col min="4642" max="4647" width="2.42578125" style="403" hidden="1" customWidth="1"/>
    <col min="4648" max="4648" width="1.5703125" style="403" hidden="1" customWidth="1"/>
    <col min="4649" max="4864" width="2.5703125" style="403" hidden="1"/>
    <col min="4865" max="4865" width="1.5703125" style="403" hidden="1" customWidth="1"/>
    <col min="4866" max="4866" width="0.85546875" style="403" hidden="1" customWidth="1"/>
    <col min="4867" max="4882" width="2.5703125" style="403" hidden="1" customWidth="1"/>
    <col min="4883" max="4883" width="4" style="403" hidden="1" customWidth="1"/>
    <col min="4884" max="4887" width="2.5703125" style="403" hidden="1" customWidth="1"/>
    <col min="4888" max="4888" width="2.42578125" style="403" hidden="1" customWidth="1"/>
    <col min="4889" max="4892" width="2.5703125" style="403" hidden="1" customWidth="1"/>
    <col min="4893" max="4893" width="2.42578125" style="403" hidden="1" customWidth="1"/>
    <col min="4894" max="4897" width="2.5703125" style="403" hidden="1" customWidth="1"/>
    <col min="4898" max="4903" width="2.42578125" style="403" hidden="1" customWidth="1"/>
    <col min="4904" max="4904" width="1.5703125" style="403" hidden="1" customWidth="1"/>
    <col min="4905" max="5120" width="2.5703125" style="403" hidden="1"/>
    <col min="5121" max="5121" width="1.5703125" style="403" hidden="1" customWidth="1"/>
    <col min="5122" max="5122" width="0.85546875" style="403" hidden="1" customWidth="1"/>
    <col min="5123" max="5138" width="2.5703125" style="403" hidden="1" customWidth="1"/>
    <col min="5139" max="5139" width="4" style="403" hidden="1" customWidth="1"/>
    <col min="5140" max="5143" width="2.5703125" style="403" hidden="1" customWidth="1"/>
    <col min="5144" max="5144" width="2.42578125" style="403" hidden="1" customWidth="1"/>
    <col min="5145" max="5148" width="2.5703125" style="403" hidden="1" customWidth="1"/>
    <col min="5149" max="5149" width="2.42578125" style="403" hidden="1" customWidth="1"/>
    <col min="5150" max="5153" width="2.5703125" style="403" hidden="1" customWidth="1"/>
    <col min="5154" max="5159" width="2.42578125" style="403" hidden="1" customWidth="1"/>
    <col min="5160" max="5160" width="1.5703125" style="403" hidden="1" customWidth="1"/>
    <col min="5161" max="5376" width="2.5703125" style="403" hidden="1"/>
    <col min="5377" max="5377" width="1.5703125" style="403" hidden="1" customWidth="1"/>
    <col min="5378" max="5378" width="0.85546875" style="403" hidden="1" customWidth="1"/>
    <col min="5379" max="5394" width="2.5703125" style="403" hidden="1" customWidth="1"/>
    <col min="5395" max="5395" width="4" style="403" hidden="1" customWidth="1"/>
    <col min="5396" max="5399" width="2.5703125" style="403" hidden="1" customWidth="1"/>
    <col min="5400" max="5400" width="2.42578125" style="403" hidden="1" customWidth="1"/>
    <col min="5401" max="5404" width="2.5703125" style="403" hidden="1" customWidth="1"/>
    <col min="5405" max="5405" width="2.42578125" style="403" hidden="1" customWidth="1"/>
    <col min="5406" max="5409" width="2.5703125" style="403" hidden="1" customWidth="1"/>
    <col min="5410" max="5415" width="2.42578125" style="403" hidden="1" customWidth="1"/>
    <col min="5416" max="5416" width="1.5703125" style="403" hidden="1" customWidth="1"/>
    <col min="5417" max="5632" width="2.5703125" style="403" hidden="1"/>
    <col min="5633" max="5633" width="1.5703125" style="403" hidden="1" customWidth="1"/>
    <col min="5634" max="5634" width="0.85546875" style="403" hidden="1" customWidth="1"/>
    <col min="5635" max="5650" width="2.5703125" style="403" hidden="1" customWidth="1"/>
    <col min="5651" max="5651" width="4" style="403" hidden="1" customWidth="1"/>
    <col min="5652" max="5655" width="2.5703125" style="403" hidden="1" customWidth="1"/>
    <col min="5656" max="5656" width="2.42578125" style="403" hidden="1" customWidth="1"/>
    <col min="5657" max="5660" width="2.5703125" style="403" hidden="1" customWidth="1"/>
    <col min="5661" max="5661" width="2.42578125" style="403" hidden="1" customWidth="1"/>
    <col min="5662" max="5665" width="2.5703125" style="403" hidden="1" customWidth="1"/>
    <col min="5666" max="5671" width="2.42578125" style="403" hidden="1" customWidth="1"/>
    <col min="5672" max="5672" width="1.5703125" style="403" hidden="1" customWidth="1"/>
    <col min="5673" max="5888" width="2.5703125" style="403" hidden="1"/>
    <col min="5889" max="5889" width="1.5703125" style="403" hidden="1" customWidth="1"/>
    <col min="5890" max="5890" width="0.85546875" style="403" hidden="1" customWidth="1"/>
    <col min="5891" max="5906" width="2.5703125" style="403" hidden="1" customWidth="1"/>
    <col min="5907" max="5907" width="4" style="403" hidden="1" customWidth="1"/>
    <col min="5908" max="5911" width="2.5703125" style="403" hidden="1" customWidth="1"/>
    <col min="5912" max="5912" width="2.42578125" style="403" hidden="1" customWidth="1"/>
    <col min="5913" max="5916" width="2.5703125" style="403" hidden="1" customWidth="1"/>
    <col min="5917" max="5917" width="2.42578125" style="403" hidden="1" customWidth="1"/>
    <col min="5918" max="5921" width="2.5703125" style="403" hidden="1" customWidth="1"/>
    <col min="5922" max="5927" width="2.42578125" style="403" hidden="1" customWidth="1"/>
    <col min="5928" max="5928" width="1.5703125" style="403" hidden="1" customWidth="1"/>
    <col min="5929" max="6144" width="2.5703125" style="403" hidden="1"/>
    <col min="6145" max="6145" width="1.5703125" style="403" hidden="1" customWidth="1"/>
    <col min="6146" max="6146" width="0.85546875" style="403" hidden="1" customWidth="1"/>
    <col min="6147" max="6162" width="2.5703125" style="403" hidden="1" customWidth="1"/>
    <col min="6163" max="6163" width="4" style="403" hidden="1" customWidth="1"/>
    <col min="6164" max="6167" width="2.5703125" style="403" hidden="1" customWidth="1"/>
    <col min="6168" max="6168" width="2.42578125" style="403" hidden="1" customWidth="1"/>
    <col min="6169" max="6172" width="2.5703125" style="403" hidden="1" customWidth="1"/>
    <col min="6173" max="6173" width="2.42578125" style="403" hidden="1" customWidth="1"/>
    <col min="6174" max="6177" width="2.5703125" style="403" hidden="1" customWidth="1"/>
    <col min="6178" max="6183" width="2.42578125" style="403" hidden="1" customWidth="1"/>
    <col min="6184" max="6184" width="1.5703125" style="403" hidden="1" customWidth="1"/>
    <col min="6185" max="6400" width="2.5703125" style="403" hidden="1"/>
    <col min="6401" max="6401" width="1.5703125" style="403" hidden="1" customWidth="1"/>
    <col min="6402" max="6402" width="0.85546875" style="403" hidden="1" customWidth="1"/>
    <col min="6403" max="6418" width="2.5703125" style="403" hidden="1" customWidth="1"/>
    <col min="6419" max="6419" width="4" style="403" hidden="1" customWidth="1"/>
    <col min="6420" max="6423" width="2.5703125" style="403" hidden="1" customWidth="1"/>
    <col min="6424" max="6424" width="2.42578125" style="403" hidden="1" customWidth="1"/>
    <col min="6425" max="6428" width="2.5703125" style="403" hidden="1" customWidth="1"/>
    <col min="6429" max="6429" width="2.42578125" style="403" hidden="1" customWidth="1"/>
    <col min="6430" max="6433" width="2.5703125" style="403" hidden="1" customWidth="1"/>
    <col min="6434" max="6439" width="2.42578125" style="403" hidden="1" customWidth="1"/>
    <col min="6440" max="6440" width="1.5703125" style="403" hidden="1" customWidth="1"/>
    <col min="6441" max="6656" width="2.5703125" style="403" hidden="1"/>
    <col min="6657" max="6657" width="1.5703125" style="403" hidden="1" customWidth="1"/>
    <col min="6658" max="6658" width="0.85546875" style="403" hidden="1" customWidth="1"/>
    <col min="6659" max="6674" width="2.5703125" style="403" hidden="1" customWidth="1"/>
    <col min="6675" max="6675" width="4" style="403" hidden="1" customWidth="1"/>
    <col min="6676" max="6679" width="2.5703125" style="403" hidden="1" customWidth="1"/>
    <col min="6680" max="6680" width="2.42578125" style="403" hidden="1" customWidth="1"/>
    <col min="6681" max="6684" width="2.5703125" style="403" hidden="1" customWidth="1"/>
    <col min="6685" max="6685" width="2.42578125" style="403" hidden="1" customWidth="1"/>
    <col min="6686" max="6689" width="2.5703125" style="403" hidden="1" customWidth="1"/>
    <col min="6690" max="6695" width="2.42578125" style="403" hidden="1" customWidth="1"/>
    <col min="6696" max="6696" width="1.5703125" style="403" hidden="1" customWidth="1"/>
    <col min="6697" max="6912" width="2.5703125" style="403" hidden="1"/>
    <col min="6913" max="6913" width="1.5703125" style="403" hidden="1" customWidth="1"/>
    <col min="6914" max="6914" width="0.85546875" style="403" hidden="1" customWidth="1"/>
    <col min="6915" max="6930" width="2.5703125" style="403" hidden="1" customWidth="1"/>
    <col min="6931" max="6931" width="4" style="403" hidden="1" customWidth="1"/>
    <col min="6932" max="6935" width="2.5703125" style="403" hidden="1" customWidth="1"/>
    <col min="6936" max="6936" width="2.42578125" style="403" hidden="1" customWidth="1"/>
    <col min="6937" max="6940" width="2.5703125" style="403" hidden="1" customWidth="1"/>
    <col min="6941" max="6941" width="2.42578125" style="403" hidden="1" customWidth="1"/>
    <col min="6942" max="6945" width="2.5703125" style="403" hidden="1" customWidth="1"/>
    <col min="6946" max="6951" width="2.42578125" style="403" hidden="1" customWidth="1"/>
    <col min="6952" max="6952" width="1.5703125" style="403" hidden="1" customWidth="1"/>
    <col min="6953" max="7168" width="2.5703125" style="403" hidden="1"/>
    <col min="7169" max="7169" width="1.5703125" style="403" hidden="1" customWidth="1"/>
    <col min="7170" max="7170" width="0.85546875" style="403" hidden="1" customWidth="1"/>
    <col min="7171" max="7186" width="2.5703125" style="403" hidden="1" customWidth="1"/>
    <col min="7187" max="7187" width="4" style="403" hidden="1" customWidth="1"/>
    <col min="7188" max="7191" width="2.5703125" style="403" hidden="1" customWidth="1"/>
    <col min="7192" max="7192" width="2.42578125" style="403" hidden="1" customWidth="1"/>
    <col min="7193" max="7196" width="2.5703125" style="403" hidden="1" customWidth="1"/>
    <col min="7197" max="7197" width="2.42578125" style="403" hidden="1" customWidth="1"/>
    <col min="7198" max="7201" width="2.5703125" style="403" hidden="1" customWidth="1"/>
    <col min="7202" max="7207" width="2.42578125" style="403" hidden="1" customWidth="1"/>
    <col min="7208" max="7208" width="1.5703125" style="403" hidden="1" customWidth="1"/>
    <col min="7209" max="7424" width="2.5703125" style="403" hidden="1"/>
    <col min="7425" max="7425" width="1.5703125" style="403" hidden="1" customWidth="1"/>
    <col min="7426" max="7426" width="0.85546875" style="403" hidden="1" customWidth="1"/>
    <col min="7427" max="7442" width="2.5703125" style="403" hidden="1" customWidth="1"/>
    <col min="7443" max="7443" width="4" style="403" hidden="1" customWidth="1"/>
    <col min="7444" max="7447" width="2.5703125" style="403" hidden="1" customWidth="1"/>
    <col min="7448" max="7448" width="2.42578125" style="403" hidden="1" customWidth="1"/>
    <col min="7449" max="7452" width="2.5703125" style="403" hidden="1" customWidth="1"/>
    <col min="7453" max="7453" width="2.42578125" style="403" hidden="1" customWidth="1"/>
    <col min="7454" max="7457" width="2.5703125" style="403" hidden="1" customWidth="1"/>
    <col min="7458" max="7463" width="2.42578125" style="403" hidden="1" customWidth="1"/>
    <col min="7464" max="7464" width="1.5703125" style="403" hidden="1" customWidth="1"/>
    <col min="7465" max="7680" width="2.5703125" style="403" hidden="1"/>
    <col min="7681" max="7681" width="1.5703125" style="403" hidden="1" customWidth="1"/>
    <col min="7682" max="7682" width="0.85546875" style="403" hidden="1" customWidth="1"/>
    <col min="7683" max="7698" width="2.5703125" style="403" hidden="1" customWidth="1"/>
    <col min="7699" max="7699" width="4" style="403" hidden="1" customWidth="1"/>
    <col min="7700" max="7703" width="2.5703125" style="403" hidden="1" customWidth="1"/>
    <col min="7704" max="7704" width="2.42578125" style="403" hidden="1" customWidth="1"/>
    <col min="7705" max="7708" width="2.5703125" style="403" hidden="1" customWidth="1"/>
    <col min="7709" max="7709" width="2.42578125" style="403" hidden="1" customWidth="1"/>
    <col min="7710" max="7713" width="2.5703125" style="403" hidden="1" customWidth="1"/>
    <col min="7714" max="7719" width="2.42578125" style="403" hidden="1" customWidth="1"/>
    <col min="7720" max="7720" width="1.5703125" style="403" hidden="1" customWidth="1"/>
    <col min="7721" max="7936" width="2.5703125" style="403" hidden="1"/>
    <col min="7937" max="7937" width="1.5703125" style="403" hidden="1" customWidth="1"/>
    <col min="7938" max="7938" width="0.85546875" style="403" hidden="1" customWidth="1"/>
    <col min="7939" max="7954" width="2.5703125" style="403" hidden="1" customWidth="1"/>
    <col min="7955" max="7955" width="4" style="403" hidden="1" customWidth="1"/>
    <col min="7956" max="7959" width="2.5703125" style="403" hidden="1" customWidth="1"/>
    <col min="7960" max="7960" width="2.42578125" style="403" hidden="1" customWidth="1"/>
    <col min="7961" max="7964" width="2.5703125" style="403" hidden="1" customWidth="1"/>
    <col min="7965" max="7965" width="2.42578125" style="403" hidden="1" customWidth="1"/>
    <col min="7966" max="7969" width="2.5703125" style="403" hidden="1" customWidth="1"/>
    <col min="7970" max="7975" width="2.42578125" style="403" hidden="1" customWidth="1"/>
    <col min="7976" max="7976" width="1.5703125" style="403" hidden="1" customWidth="1"/>
    <col min="7977" max="8192" width="2.5703125" style="403" hidden="1"/>
    <col min="8193" max="8193" width="1.5703125" style="403" hidden="1" customWidth="1"/>
    <col min="8194" max="8194" width="0.85546875" style="403" hidden="1" customWidth="1"/>
    <col min="8195" max="8210" width="2.5703125" style="403" hidden="1" customWidth="1"/>
    <col min="8211" max="8211" width="4" style="403" hidden="1" customWidth="1"/>
    <col min="8212" max="8215" width="2.5703125" style="403" hidden="1" customWidth="1"/>
    <col min="8216" max="8216" width="2.42578125" style="403" hidden="1" customWidth="1"/>
    <col min="8217" max="8220" width="2.5703125" style="403" hidden="1" customWidth="1"/>
    <col min="8221" max="8221" width="2.42578125" style="403" hidden="1" customWidth="1"/>
    <col min="8222" max="8225" width="2.5703125" style="403" hidden="1" customWidth="1"/>
    <col min="8226" max="8231" width="2.42578125" style="403" hidden="1" customWidth="1"/>
    <col min="8232" max="8232" width="1.5703125" style="403" hidden="1" customWidth="1"/>
    <col min="8233" max="8448" width="2.5703125" style="403" hidden="1"/>
    <col min="8449" max="8449" width="1.5703125" style="403" hidden="1" customWidth="1"/>
    <col min="8450" max="8450" width="0.85546875" style="403" hidden="1" customWidth="1"/>
    <col min="8451" max="8466" width="2.5703125" style="403" hidden="1" customWidth="1"/>
    <col min="8467" max="8467" width="4" style="403" hidden="1" customWidth="1"/>
    <col min="8468" max="8471" width="2.5703125" style="403" hidden="1" customWidth="1"/>
    <col min="8472" max="8472" width="2.42578125" style="403" hidden="1" customWidth="1"/>
    <col min="8473" max="8476" width="2.5703125" style="403" hidden="1" customWidth="1"/>
    <col min="8477" max="8477" width="2.42578125" style="403" hidden="1" customWidth="1"/>
    <col min="8478" max="8481" width="2.5703125" style="403" hidden="1" customWidth="1"/>
    <col min="8482" max="8487" width="2.42578125" style="403" hidden="1" customWidth="1"/>
    <col min="8488" max="8488" width="1.5703125" style="403" hidden="1" customWidth="1"/>
    <col min="8489" max="8704" width="2.5703125" style="403" hidden="1"/>
    <col min="8705" max="8705" width="1.5703125" style="403" hidden="1" customWidth="1"/>
    <col min="8706" max="8706" width="0.85546875" style="403" hidden="1" customWidth="1"/>
    <col min="8707" max="8722" width="2.5703125" style="403" hidden="1" customWidth="1"/>
    <col min="8723" max="8723" width="4" style="403" hidden="1" customWidth="1"/>
    <col min="8724" max="8727" width="2.5703125" style="403" hidden="1" customWidth="1"/>
    <col min="8728" max="8728" width="2.42578125" style="403" hidden="1" customWidth="1"/>
    <col min="8729" max="8732" width="2.5703125" style="403" hidden="1" customWidth="1"/>
    <col min="8733" max="8733" width="2.42578125" style="403" hidden="1" customWidth="1"/>
    <col min="8734" max="8737" width="2.5703125" style="403" hidden="1" customWidth="1"/>
    <col min="8738" max="8743" width="2.42578125" style="403" hidden="1" customWidth="1"/>
    <col min="8744" max="8744" width="1.5703125" style="403" hidden="1" customWidth="1"/>
    <col min="8745" max="8960" width="2.5703125" style="403" hidden="1"/>
    <col min="8961" max="8961" width="1.5703125" style="403" hidden="1" customWidth="1"/>
    <col min="8962" max="8962" width="0.85546875" style="403" hidden="1" customWidth="1"/>
    <col min="8963" max="8978" width="2.5703125" style="403" hidden="1" customWidth="1"/>
    <col min="8979" max="8979" width="4" style="403" hidden="1" customWidth="1"/>
    <col min="8980" max="8983" width="2.5703125" style="403" hidden="1" customWidth="1"/>
    <col min="8984" max="8984" width="2.42578125" style="403" hidden="1" customWidth="1"/>
    <col min="8985" max="8988" width="2.5703125" style="403" hidden="1" customWidth="1"/>
    <col min="8989" max="8989" width="2.42578125" style="403" hidden="1" customWidth="1"/>
    <col min="8990" max="8993" width="2.5703125" style="403" hidden="1" customWidth="1"/>
    <col min="8994" max="8999" width="2.42578125" style="403" hidden="1" customWidth="1"/>
    <col min="9000" max="9000" width="1.5703125" style="403" hidden="1" customWidth="1"/>
    <col min="9001" max="9216" width="2.5703125" style="403" hidden="1"/>
    <col min="9217" max="9217" width="1.5703125" style="403" hidden="1" customWidth="1"/>
    <col min="9218" max="9218" width="0.85546875" style="403" hidden="1" customWidth="1"/>
    <col min="9219" max="9234" width="2.5703125" style="403" hidden="1" customWidth="1"/>
    <col min="9235" max="9235" width="4" style="403" hidden="1" customWidth="1"/>
    <col min="9236" max="9239" width="2.5703125" style="403" hidden="1" customWidth="1"/>
    <col min="9240" max="9240" width="2.42578125" style="403" hidden="1" customWidth="1"/>
    <col min="9241" max="9244" width="2.5703125" style="403" hidden="1" customWidth="1"/>
    <col min="9245" max="9245" width="2.42578125" style="403" hidden="1" customWidth="1"/>
    <col min="9246" max="9249" width="2.5703125" style="403" hidden="1" customWidth="1"/>
    <col min="9250" max="9255" width="2.42578125" style="403" hidden="1" customWidth="1"/>
    <col min="9256" max="9256" width="1.5703125" style="403" hidden="1" customWidth="1"/>
    <col min="9257" max="9472" width="2.5703125" style="403" hidden="1"/>
    <col min="9473" max="9473" width="1.5703125" style="403" hidden="1" customWidth="1"/>
    <col min="9474" max="9474" width="0.85546875" style="403" hidden="1" customWidth="1"/>
    <col min="9475" max="9490" width="2.5703125" style="403" hidden="1" customWidth="1"/>
    <col min="9491" max="9491" width="4" style="403" hidden="1" customWidth="1"/>
    <col min="9492" max="9495" width="2.5703125" style="403" hidden="1" customWidth="1"/>
    <col min="9496" max="9496" width="2.42578125" style="403" hidden="1" customWidth="1"/>
    <col min="9497" max="9500" width="2.5703125" style="403" hidden="1" customWidth="1"/>
    <col min="9501" max="9501" width="2.42578125" style="403" hidden="1" customWidth="1"/>
    <col min="9502" max="9505" width="2.5703125" style="403" hidden="1" customWidth="1"/>
    <col min="9506" max="9511" width="2.42578125" style="403" hidden="1" customWidth="1"/>
    <col min="9512" max="9512" width="1.5703125" style="403" hidden="1" customWidth="1"/>
    <col min="9513" max="9728" width="2.5703125" style="403" hidden="1"/>
    <col min="9729" max="9729" width="1.5703125" style="403" hidden="1" customWidth="1"/>
    <col min="9730" max="9730" width="0.85546875" style="403" hidden="1" customWidth="1"/>
    <col min="9731" max="9746" width="2.5703125" style="403" hidden="1" customWidth="1"/>
    <col min="9747" max="9747" width="4" style="403" hidden="1" customWidth="1"/>
    <col min="9748" max="9751" width="2.5703125" style="403" hidden="1" customWidth="1"/>
    <col min="9752" max="9752" width="2.42578125" style="403" hidden="1" customWidth="1"/>
    <col min="9753" max="9756" width="2.5703125" style="403" hidden="1" customWidth="1"/>
    <col min="9757" max="9757" width="2.42578125" style="403" hidden="1" customWidth="1"/>
    <col min="9758" max="9761" width="2.5703125" style="403" hidden="1" customWidth="1"/>
    <col min="9762" max="9767" width="2.42578125" style="403" hidden="1" customWidth="1"/>
    <col min="9768" max="9768" width="1.5703125" style="403" hidden="1" customWidth="1"/>
    <col min="9769" max="9984" width="2.5703125" style="403" hidden="1"/>
    <col min="9985" max="9985" width="1.5703125" style="403" hidden="1" customWidth="1"/>
    <col min="9986" max="9986" width="0.85546875" style="403" hidden="1" customWidth="1"/>
    <col min="9987" max="10002" width="2.5703125" style="403" hidden="1" customWidth="1"/>
    <col min="10003" max="10003" width="4" style="403" hidden="1" customWidth="1"/>
    <col min="10004" max="10007" width="2.5703125" style="403" hidden="1" customWidth="1"/>
    <col min="10008" max="10008" width="2.42578125" style="403" hidden="1" customWidth="1"/>
    <col min="10009" max="10012" width="2.5703125" style="403" hidden="1" customWidth="1"/>
    <col min="10013" max="10013" width="2.42578125" style="403" hidden="1" customWidth="1"/>
    <col min="10014" max="10017" width="2.5703125" style="403" hidden="1" customWidth="1"/>
    <col min="10018" max="10023" width="2.42578125" style="403" hidden="1" customWidth="1"/>
    <col min="10024" max="10024" width="1.5703125" style="403" hidden="1" customWidth="1"/>
    <col min="10025" max="10240" width="2.5703125" style="403" hidden="1"/>
    <col min="10241" max="10241" width="1.5703125" style="403" hidden="1" customWidth="1"/>
    <col min="10242" max="10242" width="0.85546875" style="403" hidden="1" customWidth="1"/>
    <col min="10243" max="10258" width="2.5703125" style="403" hidden="1" customWidth="1"/>
    <col min="10259" max="10259" width="4" style="403" hidden="1" customWidth="1"/>
    <col min="10260" max="10263" width="2.5703125" style="403" hidden="1" customWidth="1"/>
    <col min="10264" max="10264" width="2.42578125" style="403" hidden="1" customWidth="1"/>
    <col min="10265" max="10268" width="2.5703125" style="403" hidden="1" customWidth="1"/>
    <col min="10269" max="10269" width="2.42578125" style="403" hidden="1" customWidth="1"/>
    <col min="10270" max="10273" width="2.5703125" style="403" hidden="1" customWidth="1"/>
    <col min="10274" max="10279" width="2.42578125" style="403" hidden="1" customWidth="1"/>
    <col min="10280" max="10280" width="1.5703125" style="403" hidden="1" customWidth="1"/>
    <col min="10281" max="10496" width="2.5703125" style="403" hidden="1"/>
    <col min="10497" max="10497" width="1.5703125" style="403" hidden="1" customWidth="1"/>
    <col min="10498" max="10498" width="0.85546875" style="403" hidden="1" customWidth="1"/>
    <col min="10499" max="10514" width="2.5703125" style="403" hidden="1" customWidth="1"/>
    <col min="10515" max="10515" width="4" style="403" hidden="1" customWidth="1"/>
    <col min="10516" max="10519" width="2.5703125" style="403" hidden="1" customWidth="1"/>
    <col min="10520" max="10520" width="2.42578125" style="403" hidden="1" customWidth="1"/>
    <col min="10521" max="10524" width="2.5703125" style="403" hidden="1" customWidth="1"/>
    <col min="10525" max="10525" width="2.42578125" style="403" hidden="1" customWidth="1"/>
    <col min="10526" max="10529" width="2.5703125" style="403" hidden="1" customWidth="1"/>
    <col min="10530" max="10535" width="2.42578125" style="403" hidden="1" customWidth="1"/>
    <col min="10536" max="10536" width="1.5703125" style="403" hidden="1" customWidth="1"/>
    <col min="10537" max="10752" width="2.5703125" style="403" hidden="1"/>
    <col min="10753" max="10753" width="1.5703125" style="403" hidden="1" customWidth="1"/>
    <col min="10754" max="10754" width="0.85546875" style="403" hidden="1" customWidth="1"/>
    <col min="10755" max="10770" width="2.5703125" style="403" hidden="1" customWidth="1"/>
    <col min="10771" max="10771" width="4" style="403" hidden="1" customWidth="1"/>
    <col min="10772" max="10775" width="2.5703125" style="403" hidden="1" customWidth="1"/>
    <col min="10776" max="10776" width="2.42578125" style="403" hidden="1" customWidth="1"/>
    <col min="10777" max="10780" width="2.5703125" style="403" hidden="1" customWidth="1"/>
    <col min="10781" max="10781" width="2.42578125" style="403" hidden="1" customWidth="1"/>
    <col min="10782" max="10785" width="2.5703125" style="403" hidden="1" customWidth="1"/>
    <col min="10786" max="10791" width="2.42578125" style="403" hidden="1" customWidth="1"/>
    <col min="10792" max="10792" width="1.5703125" style="403" hidden="1" customWidth="1"/>
    <col min="10793" max="11008" width="2.5703125" style="403" hidden="1"/>
    <col min="11009" max="11009" width="1.5703125" style="403" hidden="1" customWidth="1"/>
    <col min="11010" max="11010" width="0.85546875" style="403" hidden="1" customWidth="1"/>
    <col min="11011" max="11026" width="2.5703125" style="403" hidden="1" customWidth="1"/>
    <col min="11027" max="11027" width="4" style="403" hidden="1" customWidth="1"/>
    <col min="11028" max="11031" width="2.5703125" style="403" hidden="1" customWidth="1"/>
    <col min="11032" max="11032" width="2.42578125" style="403" hidden="1" customWidth="1"/>
    <col min="11033" max="11036" width="2.5703125" style="403" hidden="1" customWidth="1"/>
    <col min="11037" max="11037" width="2.42578125" style="403" hidden="1" customWidth="1"/>
    <col min="11038" max="11041" width="2.5703125" style="403" hidden="1" customWidth="1"/>
    <col min="11042" max="11047" width="2.42578125" style="403" hidden="1" customWidth="1"/>
    <col min="11048" max="11048" width="1.5703125" style="403" hidden="1" customWidth="1"/>
    <col min="11049" max="11264" width="2.5703125" style="403" hidden="1"/>
    <col min="11265" max="11265" width="1.5703125" style="403" hidden="1" customWidth="1"/>
    <col min="11266" max="11266" width="0.85546875" style="403" hidden="1" customWidth="1"/>
    <col min="11267" max="11282" width="2.5703125" style="403" hidden="1" customWidth="1"/>
    <col min="11283" max="11283" width="4" style="403" hidden="1" customWidth="1"/>
    <col min="11284" max="11287" width="2.5703125" style="403" hidden="1" customWidth="1"/>
    <col min="11288" max="11288" width="2.42578125" style="403" hidden="1" customWidth="1"/>
    <col min="11289" max="11292" width="2.5703125" style="403" hidden="1" customWidth="1"/>
    <col min="11293" max="11293" width="2.42578125" style="403" hidden="1" customWidth="1"/>
    <col min="11294" max="11297" width="2.5703125" style="403" hidden="1" customWidth="1"/>
    <col min="11298" max="11303" width="2.42578125" style="403" hidden="1" customWidth="1"/>
    <col min="11304" max="11304" width="1.5703125" style="403" hidden="1" customWidth="1"/>
    <col min="11305" max="11520" width="2.5703125" style="403" hidden="1"/>
    <col min="11521" max="11521" width="1.5703125" style="403" hidden="1" customWidth="1"/>
    <col min="11522" max="11522" width="0.85546875" style="403" hidden="1" customWidth="1"/>
    <col min="11523" max="11538" width="2.5703125" style="403" hidden="1" customWidth="1"/>
    <col min="11539" max="11539" width="4" style="403" hidden="1" customWidth="1"/>
    <col min="11540" max="11543" width="2.5703125" style="403" hidden="1" customWidth="1"/>
    <col min="11544" max="11544" width="2.42578125" style="403" hidden="1" customWidth="1"/>
    <col min="11545" max="11548" width="2.5703125" style="403" hidden="1" customWidth="1"/>
    <col min="11549" max="11549" width="2.42578125" style="403" hidden="1" customWidth="1"/>
    <col min="11550" max="11553" width="2.5703125" style="403" hidden="1" customWidth="1"/>
    <col min="11554" max="11559" width="2.42578125" style="403" hidden="1" customWidth="1"/>
    <col min="11560" max="11560" width="1.5703125" style="403" hidden="1" customWidth="1"/>
    <col min="11561" max="11776" width="2.5703125" style="403" hidden="1"/>
    <col min="11777" max="11777" width="1.5703125" style="403" hidden="1" customWidth="1"/>
    <col min="11778" max="11778" width="0.85546875" style="403" hidden="1" customWidth="1"/>
    <col min="11779" max="11794" width="2.5703125" style="403" hidden="1" customWidth="1"/>
    <col min="11795" max="11795" width="4" style="403" hidden="1" customWidth="1"/>
    <col min="11796" max="11799" width="2.5703125" style="403" hidden="1" customWidth="1"/>
    <col min="11800" max="11800" width="2.42578125" style="403" hidden="1" customWidth="1"/>
    <col min="11801" max="11804" width="2.5703125" style="403" hidden="1" customWidth="1"/>
    <col min="11805" max="11805" width="2.42578125" style="403" hidden="1" customWidth="1"/>
    <col min="11806" max="11809" width="2.5703125" style="403" hidden="1" customWidth="1"/>
    <col min="11810" max="11815" width="2.42578125" style="403" hidden="1" customWidth="1"/>
    <col min="11816" max="11816" width="1.5703125" style="403" hidden="1" customWidth="1"/>
    <col min="11817" max="12032" width="2.5703125" style="403" hidden="1"/>
    <col min="12033" max="12033" width="1.5703125" style="403" hidden="1" customWidth="1"/>
    <col min="12034" max="12034" width="0.85546875" style="403" hidden="1" customWidth="1"/>
    <col min="12035" max="12050" width="2.5703125" style="403" hidden="1" customWidth="1"/>
    <col min="12051" max="12051" width="4" style="403" hidden="1" customWidth="1"/>
    <col min="12052" max="12055" width="2.5703125" style="403" hidden="1" customWidth="1"/>
    <col min="12056" max="12056" width="2.42578125" style="403" hidden="1" customWidth="1"/>
    <col min="12057" max="12060" width="2.5703125" style="403" hidden="1" customWidth="1"/>
    <col min="12061" max="12061" width="2.42578125" style="403" hidden="1" customWidth="1"/>
    <col min="12062" max="12065" width="2.5703125" style="403" hidden="1" customWidth="1"/>
    <col min="12066" max="12071" width="2.42578125" style="403" hidden="1" customWidth="1"/>
    <col min="12072" max="12072" width="1.5703125" style="403" hidden="1" customWidth="1"/>
    <col min="12073" max="12288" width="2.5703125" style="403" hidden="1"/>
    <col min="12289" max="12289" width="1.5703125" style="403" hidden="1" customWidth="1"/>
    <col min="12290" max="12290" width="0.85546875" style="403" hidden="1" customWidth="1"/>
    <col min="12291" max="12306" width="2.5703125" style="403" hidden="1" customWidth="1"/>
    <col min="12307" max="12307" width="4" style="403" hidden="1" customWidth="1"/>
    <col min="12308" max="12311" width="2.5703125" style="403" hidden="1" customWidth="1"/>
    <col min="12312" max="12312" width="2.42578125" style="403" hidden="1" customWidth="1"/>
    <col min="12313" max="12316" width="2.5703125" style="403" hidden="1" customWidth="1"/>
    <col min="12317" max="12317" width="2.42578125" style="403" hidden="1" customWidth="1"/>
    <col min="12318" max="12321" width="2.5703125" style="403" hidden="1" customWidth="1"/>
    <col min="12322" max="12327" width="2.42578125" style="403" hidden="1" customWidth="1"/>
    <col min="12328" max="12328" width="1.5703125" style="403" hidden="1" customWidth="1"/>
    <col min="12329" max="12544" width="2.5703125" style="403" hidden="1"/>
    <col min="12545" max="12545" width="1.5703125" style="403" hidden="1" customWidth="1"/>
    <col min="12546" max="12546" width="0.85546875" style="403" hidden="1" customWidth="1"/>
    <col min="12547" max="12562" width="2.5703125" style="403" hidden="1" customWidth="1"/>
    <col min="12563" max="12563" width="4" style="403" hidden="1" customWidth="1"/>
    <col min="12564" max="12567" width="2.5703125" style="403" hidden="1" customWidth="1"/>
    <col min="12568" max="12568" width="2.42578125" style="403" hidden="1" customWidth="1"/>
    <col min="12569" max="12572" width="2.5703125" style="403" hidden="1" customWidth="1"/>
    <col min="12573" max="12573" width="2.42578125" style="403" hidden="1" customWidth="1"/>
    <col min="12574" max="12577" width="2.5703125" style="403" hidden="1" customWidth="1"/>
    <col min="12578" max="12583" width="2.42578125" style="403" hidden="1" customWidth="1"/>
    <col min="12584" max="12584" width="1.5703125" style="403" hidden="1" customWidth="1"/>
    <col min="12585" max="12800" width="2.5703125" style="403" hidden="1"/>
    <col min="12801" max="12801" width="1.5703125" style="403" hidden="1" customWidth="1"/>
    <col min="12802" max="12802" width="0.85546875" style="403" hidden="1" customWidth="1"/>
    <col min="12803" max="12818" width="2.5703125" style="403" hidden="1" customWidth="1"/>
    <col min="12819" max="12819" width="4" style="403" hidden="1" customWidth="1"/>
    <col min="12820" max="12823" width="2.5703125" style="403" hidden="1" customWidth="1"/>
    <col min="12824" max="12824" width="2.42578125" style="403" hidden="1" customWidth="1"/>
    <col min="12825" max="12828" width="2.5703125" style="403" hidden="1" customWidth="1"/>
    <col min="12829" max="12829" width="2.42578125" style="403" hidden="1" customWidth="1"/>
    <col min="12830" max="12833" width="2.5703125" style="403" hidden="1" customWidth="1"/>
    <col min="12834" max="12839" width="2.42578125" style="403" hidden="1" customWidth="1"/>
    <col min="12840" max="12840" width="1.5703125" style="403" hidden="1" customWidth="1"/>
    <col min="12841" max="13056" width="2.5703125" style="403" hidden="1"/>
    <col min="13057" max="13057" width="1.5703125" style="403" hidden="1" customWidth="1"/>
    <col min="13058" max="13058" width="0.85546875" style="403" hidden="1" customWidth="1"/>
    <col min="13059" max="13074" width="2.5703125" style="403" hidden="1" customWidth="1"/>
    <col min="13075" max="13075" width="4" style="403" hidden="1" customWidth="1"/>
    <col min="13076" max="13079" width="2.5703125" style="403" hidden="1" customWidth="1"/>
    <col min="13080" max="13080" width="2.42578125" style="403" hidden="1" customWidth="1"/>
    <col min="13081" max="13084" width="2.5703125" style="403" hidden="1" customWidth="1"/>
    <col min="13085" max="13085" width="2.42578125" style="403" hidden="1" customWidth="1"/>
    <col min="13086" max="13089" width="2.5703125" style="403" hidden="1" customWidth="1"/>
    <col min="13090" max="13095" width="2.42578125" style="403" hidden="1" customWidth="1"/>
    <col min="13096" max="13096" width="1.5703125" style="403" hidden="1" customWidth="1"/>
    <col min="13097" max="13312" width="2.5703125" style="403" hidden="1"/>
    <col min="13313" max="13313" width="1.5703125" style="403" hidden="1" customWidth="1"/>
    <col min="13314" max="13314" width="0.85546875" style="403" hidden="1" customWidth="1"/>
    <col min="13315" max="13330" width="2.5703125" style="403" hidden="1" customWidth="1"/>
    <col min="13331" max="13331" width="4" style="403" hidden="1" customWidth="1"/>
    <col min="13332" max="13335" width="2.5703125" style="403" hidden="1" customWidth="1"/>
    <col min="13336" max="13336" width="2.42578125" style="403" hidden="1" customWidth="1"/>
    <col min="13337" max="13340" width="2.5703125" style="403" hidden="1" customWidth="1"/>
    <col min="13341" max="13341" width="2.42578125" style="403" hidden="1" customWidth="1"/>
    <col min="13342" max="13345" width="2.5703125" style="403" hidden="1" customWidth="1"/>
    <col min="13346" max="13351" width="2.42578125" style="403" hidden="1" customWidth="1"/>
    <col min="13352" max="13352" width="1.5703125" style="403" hidden="1" customWidth="1"/>
    <col min="13353" max="13568" width="2.5703125" style="403" hidden="1"/>
    <col min="13569" max="13569" width="1.5703125" style="403" hidden="1" customWidth="1"/>
    <col min="13570" max="13570" width="0.85546875" style="403" hidden="1" customWidth="1"/>
    <col min="13571" max="13586" width="2.5703125" style="403" hidden="1" customWidth="1"/>
    <col min="13587" max="13587" width="4" style="403" hidden="1" customWidth="1"/>
    <col min="13588" max="13591" width="2.5703125" style="403" hidden="1" customWidth="1"/>
    <col min="13592" max="13592" width="2.42578125" style="403" hidden="1" customWidth="1"/>
    <col min="13593" max="13596" width="2.5703125" style="403" hidden="1" customWidth="1"/>
    <col min="13597" max="13597" width="2.42578125" style="403" hidden="1" customWidth="1"/>
    <col min="13598" max="13601" width="2.5703125" style="403" hidden="1" customWidth="1"/>
    <col min="13602" max="13607" width="2.42578125" style="403" hidden="1" customWidth="1"/>
    <col min="13608" max="13608" width="1.5703125" style="403" hidden="1" customWidth="1"/>
    <col min="13609" max="13824" width="2.5703125" style="403" hidden="1"/>
    <col min="13825" max="13825" width="1.5703125" style="403" hidden="1" customWidth="1"/>
    <col min="13826" max="13826" width="0.85546875" style="403" hidden="1" customWidth="1"/>
    <col min="13827" max="13842" width="2.5703125" style="403" hidden="1" customWidth="1"/>
    <col min="13843" max="13843" width="4" style="403" hidden="1" customWidth="1"/>
    <col min="13844" max="13847" width="2.5703125" style="403" hidden="1" customWidth="1"/>
    <col min="13848" max="13848" width="2.42578125" style="403" hidden="1" customWidth="1"/>
    <col min="13849" max="13852" width="2.5703125" style="403" hidden="1" customWidth="1"/>
    <col min="13853" max="13853" width="2.42578125" style="403" hidden="1" customWidth="1"/>
    <col min="13854" max="13857" width="2.5703125" style="403" hidden="1" customWidth="1"/>
    <col min="13858" max="13863" width="2.42578125" style="403" hidden="1" customWidth="1"/>
    <col min="13864" max="13864" width="1.5703125" style="403" hidden="1" customWidth="1"/>
    <col min="13865" max="14080" width="2.5703125" style="403" hidden="1"/>
    <col min="14081" max="14081" width="1.5703125" style="403" hidden="1" customWidth="1"/>
    <col min="14082" max="14082" width="0.85546875" style="403" hidden="1" customWidth="1"/>
    <col min="14083" max="14098" width="2.5703125" style="403" hidden="1" customWidth="1"/>
    <col min="14099" max="14099" width="4" style="403" hidden="1" customWidth="1"/>
    <col min="14100" max="14103" width="2.5703125" style="403" hidden="1" customWidth="1"/>
    <col min="14104" max="14104" width="2.42578125" style="403" hidden="1" customWidth="1"/>
    <col min="14105" max="14108" width="2.5703125" style="403" hidden="1" customWidth="1"/>
    <col min="14109" max="14109" width="2.42578125" style="403" hidden="1" customWidth="1"/>
    <col min="14110" max="14113" width="2.5703125" style="403" hidden="1" customWidth="1"/>
    <col min="14114" max="14119" width="2.42578125" style="403" hidden="1" customWidth="1"/>
    <col min="14120" max="14120" width="1.5703125" style="403" hidden="1" customWidth="1"/>
    <col min="14121" max="14336" width="2.5703125" style="403" hidden="1"/>
    <col min="14337" max="14337" width="1.5703125" style="403" hidden="1" customWidth="1"/>
    <col min="14338" max="14338" width="0.85546875" style="403" hidden="1" customWidth="1"/>
    <col min="14339" max="14354" width="2.5703125" style="403" hidden="1" customWidth="1"/>
    <col min="14355" max="14355" width="4" style="403" hidden="1" customWidth="1"/>
    <col min="14356" max="14359" width="2.5703125" style="403" hidden="1" customWidth="1"/>
    <col min="14360" max="14360" width="2.42578125" style="403" hidden="1" customWidth="1"/>
    <col min="14361" max="14364" width="2.5703125" style="403" hidden="1" customWidth="1"/>
    <col min="14365" max="14365" width="2.42578125" style="403" hidden="1" customWidth="1"/>
    <col min="14366" max="14369" width="2.5703125" style="403" hidden="1" customWidth="1"/>
    <col min="14370" max="14375" width="2.42578125" style="403" hidden="1" customWidth="1"/>
    <col min="14376" max="14376" width="1.5703125" style="403" hidden="1" customWidth="1"/>
    <col min="14377" max="14592" width="2.5703125" style="403" hidden="1"/>
    <col min="14593" max="14593" width="1.5703125" style="403" hidden="1" customWidth="1"/>
    <col min="14594" max="14594" width="0.85546875" style="403" hidden="1" customWidth="1"/>
    <col min="14595" max="14610" width="2.5703125" style="403" hidden="1" customWidth="1"/>
    <col min="14611" max="14611" width="4" style="403" hidden="1" customWidth="1"/>
    <col min="14612" max="14615" width="2.5703125" style="403" hidden="1" customWidth="1"/>
    <col min="14616" max="14616" width="2.42578125" style="403" hidden="1" customWidth="1"/>
    <col min="14617" max="14620" width="2.5703125" style="403" hidden="1" customWidth="1"/>
    <col min="14621" max="14621" width="2.42578125" style="403" hidden="1" customWidth="1"/>
    <col min="14622" max="14625" width="2.5703125" style="403" hidden="1" customWidth="1"/>
    <col min="14626" max="14631" width="2.42578125" style="403" hidden="1" customWidth="1"/>
    <col min="14632" max="14632" width="1.5703125" style="403" hidden="1" customWidth="1"/>
    <col min="14633" max="14848" width="2.5703125" style="403" hidden="1"/>
    <col min="14849" max="14849" width="1.5703125" style="403" hidden="1" customWidth="1"/>
    <col min="14850" max="14850" width="0.85546875" style="403" hidden="1" customWidth="1"/>
    <col min="14851" max="14866" width="2.5703125" style="403" hidden="1" customWidth="1"/>
    <col min="14867" max="14867" width="4" style="403" hidden="1" customWidth="1"/>
    <col min="14868" max="14871" width="2.5703125" style="403" hidden="1" customWidth="1"/>
    <col min="14872" max="14872" width="2.42578125" style="403" hidden="1" customWidth="1"/>
    <col min="14873" max="14876" width="2.5703125" style="403" hidden="1" customWidth="1"/>
    <col min="14877" max="14877" width="2.42578125" style="403" hidden="1" customWidth="1"/>
    <col min="14878" max="14881" width="2.5703125" style="403" hidden="1" customWidth="1"/>
    <col min="14882" max="14887" width="2.42578125" style="403" hidden="1" customWidth="1"/>
    <col min="14888" max="14888" width="1.5703125" style="403" hidden="1" customWidth="1"/>
    <col min="14889" max="15104" width="2.5703125" style="403" hidden="1"/>
    <col min="15105" max="15105" width="1.5703125" style="403" hidden="1" customWidth="1"/>
    <col min="15106" max="15106" width="0.85546875" style="403" hidden="1" customWidth="1"/>
    <col min="15107" max="15122" width="2.5703125" style="403" hidden="1" customWidth="1"/>
    <col min="15123" max="15123" width="4" style="403" hidden="1" customWidth="1"/>
    <col min="15124" max="15127" width="2.5703125" style="403" hidden="1" customWidth="1"/>
    <col min="15128" max="15128" width="2.42578125" style="403" hidden="1" customWidth="1"/>
    <col min="15129" max="15132" width="2.5703125" style="403" hidden="1" customWidth="1"/>
    <col min="15133" max="15133" width="2.42578125" style="403" hidden="1" customWidth="1"/>
    <col min="15134" max="15137" width="2.5703125" style="403" hidden="1" customWidth="1"/>
    <col min="15138" max="15143" width="2.42578125" style="403" hidden="1" customWidth="1"/>
    <col min="15144" max="15144" width="1.5703125" style="403" hidden="1" customWidth="1"/>
    <col min="15145" max="15360" width="2.5703125" style="403" hidden="1"/>
    <col min="15361" max="15361" width="1.5703125" style="403" hidden="1" customWidth="1"/>
    <col min="15362" max="15362" width="0.85546875" style="403" hidden="1" customWidth="1"/>
    <col min="15363" max="15378" width="2.5703125" style="403" hidden="1" customWidth="1"/>
    <col min="15379" max="15379" width="4" style="403" hidden="1" customWidth="1"/>
    <col min="15380" max="15383" width="2.5703125" style="403" hidden="1" customWidth="1"/>
    <col min="15384" max="15384" width="2.42578125" style="403" hidden="1" customWidth="1"/>
    <col min="15385" max="15388" width="2.5703125" style="403" hidden="1" customWidth="1"/>
    <col min="15389" max="15389" width="2.42578125" style="403" hidden="1" customWidth="1"/>
    <col min="15390" max="15393" width="2.5703125" style="403" hidden="1" customWidth="1"/>
    <col min="15394" max="15399" width="2.42578125" style="403" hidden="1" customWidth="1"/>
    <col min="15400" max="15400" width="1.5703125" style="403" hidden="1" customWidth="1"/>
    <col min="15401" max="15616" width="2.5703125" style="403" hidden="1"/>
    <col min="15617" max="15617" width="1.5703125" style="403" hidden="1" customWidth="1"/>
    <col min="15618" max="15618" width="0.85546875" style="403" hidden="1" customWidth="1"/>
    <col min="15619" max="15634" width="2.5703125" style="403" hidden="1" customWidth="1"/>
    <col min="15635" max="15635" width="4" style="403" hidden="1" customWidth="1"/>
    <col min="15636" max="15639" width="2.5703125" style="403" hidden="1" customWidth="1"/>
    <col min="15640" max="15640" width="2.42578125" style="403" hidden="1" customWidth="1"/>
    <col min="15641" max="15644" width="2.5703125" style="403" hidden="1" customWidth="1"/>
    <col min="15645" max="15645" width="2.42578125" style="403" hidden="1" customWidth="1"/>
    <col min="15646" max="15649" width="2.5703125" style="403" hidden="1" customWidth="1"/>
    <col min="15650" max="15655" width="2.42578125" style="403" hidden="1" customWidth="1"/>
    <col min="15656" max="15656" width="1.5703125" style="403" hidden="1" customWidth="1"/>
    <col min="15657" max="15872" width="2.5703125" style="403" hidden="1"/>
    <col min="15873" max="15873" width="1.5703125" style="403" hidden="1" customWidth="1"/>
    <col min="15874" max="15874" width="0.85546875" style="403" hidden="1" customWidth="1"/>
    <col min="15875" max="15890" width="2.5703125" style="403" hidden="1" customWidth="1"/>
    <col min="15891" max="15891" width="4" style="403" hidden="1" customWidth="1"/>
    <col min="15892" max="15895" width="2.5703125" style="403" hidden="1" customWidth="1"/>
    <col min="15896" max="15896" width="2.42578125" style="403" hidden="1" customWidth="1"/>
    <col min="15897" max="15900" width="2.5703125" style="403" hidden="1" customWidth="1"/>
    <col min="15901" max="15901" width="2.42578125" style="403" hidden="1" customWidth="1"/>
    <col min="15902" max="15905" width="2.5703125" style="403" hidden="1" customWidth="1"/>
    <col min="15906" max="15911" width="2.42578125" style="403" hidden="1" customWidth="1"/>
    <col min="15912" max="15912" width="1.5703125" style="403" hidden="1" customWidth="1"/>
    <col min="15913" max="16128" width="2.5703125" style="403" hidden="1"/>
    <col min="16129" max="16129" width="1.5703125" style="403" hidden="1" customWidth="1"/>
    <col min="16130" max="16130" width="0.85546875" style="403" hidden="1" customWidth="1"/>
    <col min="16131" max="16146" width="2.5703125" style="403" hidden="1" customWidth="1"/>
    <col min="16147" max="16147" width="4" style="403" hidden="1" customWidth="1"/>
    <col min="16148" max="16151" width="2.5703125" style="403" hidden="1" customWidth="1"/>
    <col min="16152" max="16152" width="2.42578125" style="403" hidden="1" customWidth="1"/>
    <col min="16153" max="16156" width="2.5703125" style="403" hidden="1" customWidth="1"/>
    <col min="16157" max="16157" width="2.42578125" style="403" hidden="1" customWidth="1"/>
    <col min="16158" max="16161" width="2.5703125" style="403" hidden="1" customWidth="1"/>
    <col min="16162" max="16167" width="2.42578125" style="403" hidden="1" customWidth="1"/>
    <col min="16168" max="16168" width="1.5703125" style="403" hidden="1" customWidth="1"/>
    <col min="16169" max="16384" width="2.5703125" style="403" hidden="1"/>
  </cols>
  <sheetData>
    <row r="1" spans="1:40" ht="12.95" customHeight="1">
      <c r="A1" s="2677" t="s">
        <v>1279</v>
      </c>
      <c r="B1" s="2677"/>
      <c r="C1" s="2677"/>
      <c r="D1" s="2677"/>
      <c r="E1" s="2677"/>
      <c r="F1" s="2677"/>
      <c r="G1" s="2677"/>
      <c r="H1" s="2677"/>
      <c r="I1" s="2677"/>
      <c r="J1" s="2677"/>
      <c r="K1" s="2677"/>
      <c r="L1" s="2677"/>
      <c r="M1" s="2677"/>
      <c r="N1" s="2677"/>
      <c r="O1" s="2677"/>
      <c r="P1" s="2677"/>
      <c r="Q1" s="2677"/>
      <c r="R1" s="2677"/>
      <c r="S1" s="2677"/>
      <c r="T1" s="2677"/>
      <c r="U1" s="2677"/>
      <c r="V1" s="2677"/>
      <c r="W1" s="2677"/>
      <c r="X1" s="2677"/>
      <c r="Y1" s="2677"/>
      <c r="Z1" s="2677"/>
      <c r="AA1" s="2677"/>
      <c r="AB1" s="2677"/>
      <c r="AC1" s="2677"/>
      <c r="AD1" s="2677"/>
      <c r="AE1" s="2677"/>
      <c r="AF1" s="2677"/>
      <c r="AG1" s="2677"/>
      <c r="AH1" s="2677"/>
      <c r="AI1" s="2677"/>
      <c r="AJ1" s="2677"/>
      <c r="AK1" s="2677"/>
      <c r="AL1" s="2677"/>
      <c r="AM1" s="2677"/>
      <c r="AN1" s="2677"/>
    </row>
    <row r="2" spans="1:40" ht="12.95" customHeight="1" thickBot="1">
      <c r="A2" s="2678"/>
      <c r="B2" s="2678"/>
      <c r="C2" s="2678"/>
      <c r="D2" s="2678"/>
      <c r="E2" s="2678"/>
      <c r="F2" s="2678"/>
      <c r="G2" s="2678"/>
      <c r="H2" s="2678"/>
      <c r="I2" s="2678"/>
      <c r="J2" s="2678"/>
      <c r="K2" s="2678"/>
      <c r="L2" s="2678"/>
      <c r="M2" s="2678"/>
      <c r="N2" s="2678"/>
      <c r="O2" s="2678"/>
      <c r="P2" s="2678"/>
      <c r="Q2" s="2678"/>
      <c r="R2" s="2678"/>
      <c r="S2" s="2678"/>
      <c r="T2" s="2678"/>
      <c r="U2" s="2678"/>
      <c r="V2" s="2678"/>
      <c r="W2" s="2678"/>
      <c r="X2" s="2678"/>
      <c r="Y2" s="2678"/>
      <c r="Z2" s="2678"/>
      <c r="AA2" s="2678"/>
      <c r="AB2" s="2678"/>
      <c r="AC2" s="2678"/>
      <c r="AD2" s="2678"/>
      <c r="AE2" s="2678"/>
      <c r="AF2" s="2678"/>
      <c r="AG2" s="2678"/>
      <c r="AH2" s="2678"/>
      <c r="AI2" s="2678"/>
      <c r="AJ2" s="2678"/>
      <c r="AK2" s="2678"/>
      <c r="AL2" s="2678"/>
      <c r="AM2" s="2678"/>
      <c r="AN2" s="2678"/>
    </row>
    <row r="3" spans="1:40" ht="12.95" customHeight="1" thickTop="1">
      <c r="A3" s="403" t="str">
        <f>+A1</f>
        <v>V. BASIS AND CREDITS : 4% FEDERAL AND STATE CREDIT</v>
      </c>
      <c r="C3" s="101"/>
      <c r="D3" s="101"/>
      <c r="E3" s="101"/>
      <c r="F3" s="101"/>
      <c r="G3" s="101"/>
      <c r="H3" s="101"/>
      <c r="I3" s="101"/>
      <c r="J3" s="404"/>
      <c r="K3" s="404"/>
      <c r="L3" s="404"/>
      <c r="M3" s="404"/>
      <c r="N3" s="404"/>
      <c r="O3" s="404"/>
      <c r="P3" s="404"/>
      <c r="Q3" s="404"/>
      <c r="R3" s="404"/>
      <c r="S3" s="404"/>
      <c r="T3" s="404"/>
      <c r="U3" s="404"/>
      <c r="V3" s="404"/>
      <c r="W3" s="404"/>
      <c r="X3" s="404"/>
      <c r="Y3" s="404"/>
      <c r="Z3" s="404"/>
      <c r="AA3" s="404"/>
      <c r="AB3" s="404"/>
      <c r="AC3" s="404"/>
      <c r="AD3" s="404"/>
      <c r="AE3" s="404"/>
      <c r="AF3" s="404"/>
      <c r="AG3" s="404"/>
      <c r="AH3" s="404"/>
      <c r="AI3" s="404"/>
      <c r="AJ3" s="404"/>
      <c r="AK3" s="404"/>
      <c r="AL3" s="404"/>
      <c r="AM3" s="404"/>
      <c r="AN3" s="404"/>
    </row>
    <row r="4" spans="1:40" ht="12.95" customHeight="1">
      <c r="A4" s="405"/>
    </row>
    <row r="5" spans="1:40" ht="12.95" customHeight="1">
      <c r="A5" s="405" t="s">
        <v>318</v>
      </c>
      <c r="C5" s="405" t="s">
        <v>122</v>
      </c>
      <c r="F5" s="405"/>
    </row>
    <row r="6" spans="1:40" ht="12.95" customHeight="1">
      <c r="A6" s="405"/>
      <c r="C6" s="403" t="s">
        <v>1237</v>
      </c>
    </row>
    <row r="7" spans="1:40" ht="12.95" customHeight="1">
      <c r="B7" s="406"/>
      <c r="C7" s="407"/>
      <c r="D7" s="407"/>
      <c r="E7" s="407"/>
      <c r="F7" s="407"/>
      <c r="G7" s="407"/>
      <c r="H7" s="407"/>
      <c r="I7" s="407"/>
      <c r="J7" s="407"/>
      <c r="K7" s="407"/>
      <c r="L7" s="407"/>
      <c r="M7" s="407"/>
      <c r="N7" s="407"/>
      <c r="O7" s="407"/>
      <c r="P7" s="407"/>
      <c r="Q7" s="407"/>
      <c r="R7" s="407"/>
      <c r="S7" s="407"/>
      <c r="T7" s="2657" t="str">
        <f xml:space="preserve"> IF(T25=100%,'Sources and Basis Breakdown'!G2,'Sources and Basis Breakdown'!F2)</f>
        <v>30% PVC for New Const/
Rehabilitation
DDA/QCT
Building(s)</v>
      </c>
      <c r="U7" s="2657"/>
      <c r="V7" s="2657"/>
      <c r="W7" s="2657"/>
      <c r="X7" s="2657"/>
      <c r="Y7" s="2657" t="str">
        <f>IF(T25=100%,"",'Sources and Basis Breakdown'!G2)</f>
        <v>30% PVC for New Const/
Rehabilitation
NON-DDA/
NON-QCT Building(s)</v>
      </c>
      <c r="Z7" s="2657"/>
      <c r="AA7" s="2657"/>
      <c r="AB7" s="2657"/>
      <c r="AC7" s="2657"/>
      <c r="AD7" s="2657" t="str">
        <f xml:space="preserve"> IF(T25=100%, 'Sources and Basis Breakdown'!J2,'Sources and Basis Breakdown'!I2)</f>
        <v>30% PVC for Acquisition
DDA/QCT Building(s)</v>
      </c>
      <c r="AE7" s="2657"/>
      <c r="AF7" s="2657"/>
      <c r="AG7" s="2657"/>
      <c r="AH7" s="2657"/>
      <c r="AI7" s="2657" t="str">
        <f>IF(T25=100%,"",'Sources and Basis Breakdown'!J2)</f>
        <v>30% PVC for Acquisition
NON-DDA/
NON-QCT Building(s)</v>
      </c>
      <c r="AJ7" s="2657"/>
      <c r="AK7" s="2657"/>
      <c r="AL7" s="2657"/>
      <c r="AM7" s="2657"/>
    </row>
    <row r="8" spans="1:40" ht="12.95" customHeight="1">
      <c r="B8" s="408"/>
      <c r="T8" s="2657"/>
      <c r="U8" s="2657"/>
      <c r="V8" s="2657"/>
      <c r="W8" s="2657"/>
      <c r="X8" s="2657"/>
      <c r="Y8" s="2657"/>
      <c r="Z8" s="2657"/>
      <c r="AA8" s="2657"/>
      <c r="AB8" s="2657"/>
      <c r="AC8" s="2657"/>
      <c r="AD8" s="2657"/>
      <c r="AE8" s="2657"/>
      <c r="AF8" s="2657"/>
      <c r="AG8" s="2657"/>
      <c r="AH8" s="2657"/>
      <c r="AI8" s="2657"/>
      <c r="AJ8" s="2657"/>
      <c r="AK8" s="2657"/>
      <c r="AL8" s="2657"/>
      <c r="AM8" s="2657"/>
    </row>
    <row r="9" spans="1:40" ht="12.95" customHeight="1">
      <c r="B9" s="408"/>
      <c r="T9" s="2657"/>
      <c r="U9" s="2657"/>
      <c r="V9" s="2657"/>
      <c r="W9" s="2657"/>
      <c r="X9" s="2657"/>
      <c r="Y9" s="2657"/>
      <c r="Z9" s="2657"/>
      <c r="AA9" s="2657"/>
      <c r="AB9" s="2657"/>
      <c r="AC9" s="2657"/>
      <c r="AD9" s="2657"/>
      <c r="AE9" s="2657"/>
      <c r="AF9" s="2657"/>
      <c r="AG9" s="2657"/>
      <c r="AH9" s="2657"/>
      <c r="AI9" s="2657"/>
      <c r="AJ9" s="2657"/>
      <c r="AK9" s="2657"/>
      <c r="AL9" s="2657"/>
      <c r="AM9" s="2657"/>
    </row>
    <row r="10" spans="1:40" ht="12.95" customHeight="1">
      <c r="B10" s="409"/>
      <c r="C10" s="410"/>
      <c r="D10" s="410"/>
      <c r="E10" s="410"/>
      <c r="F10" s="410"/>
      <c r="G10" s="410"/>
      <c r="H10" s="410"/>
      <c r="I10" s="410"/>
      <c r="J10" s="410"/>
      <c r="K10" s="410"/>
      <c r="L10" s="410"/>
      <c r="M10" s="410"/>
      <c r="N10" s="410"/>
      <c r="O10" s="410"/>
      <c r="P10" s="410"/>
      <c r="Q10" s="410"/>
      <c r="R10" s="410"/>
      <c r="S10" s="410"/>
      <c r="T10" s="2657"/>
      <c r="U10" s="2657"/>
      <c r="V10" s="2657"/>
      <c r="W10" s="2657"/>
      <c r="X10" s="2657"/>
      <c r="Y10" s="2657"/>
      <c r="Z10" s="2657"/>
      <c r="AA10" s="2657"/>
      <c r="AB10" s="2657"/>
      <c r="AC10" s="2657"/>
      <c r="AD10" s="2657"/>
      <c r="AE10" s="2657"/>
      <c r="AF10" s="2657"/>
      <c r="AG10" s="2657"/>
      <c r="AH10" s="2657"/>
      <c r="AI10" s="2657"/>
      <c r="AJ10" s="2657"/>
      <c r="AK10" s="2657"/>
      <c r="AL10" s="2657"/>
      <c r="AM10" s="2657"/>
    </row>
    <row r="11" spans="1:40" ht="12.95" customHeight="1">
      <c r="B11" s="2643" t="s">
        <v>374</v>
      </c>
      <c r="C11" s="2644"/>
      <c r="D11" s="2644"/>
      <c r="E11" s="2644"/>
      <c r="F11" s="2644"/>
      <c r="G11" s="2644"/>
      <c r="H11" s="2644"/>
      <c r="I11" s="2644"/>
      <c r="J11" s="2644"/>
      <c r="K11" s="2644"/>
      <c r="L11" s="2644"/>
      <c r="M11" s="2644"/>
      <c r="N11" s="2644"/>
      <c r="O11" s="2644"/>
      <c r="P11" s="2644"/>
      <c r="Q11" s="2644"/>
      <c r="R11" s="2644"/>
      <c r="S11" s="2645"/>
      <c r="T11" s="2679">
        <f>IF('Sources and Basis Breakdown'!F107=0,'Sources and Basis Breakdown'!E107,'Sources and Basis Breakdown'!F107)</f>
        <v>71312045</v>
      </c>
      <c r="U11" s="2680"/>
      <c r="V11" s="2680"/>
      <c r="W11" s="2680"/>
      <c r="X11" s="2680"/>
      <c r="Y11" s="2679">
        <f>IF(Y7="",0,IF('Sources and Basis Breakdown'!G107+'Sources and Basis Breakdown'!F107='Sources and Basis Breakdown'!E107,'Sources and Basis Breakdown'!G107,0))</f>
        <v>0</v>
      </c>
      <c r="Z11" s="2680"/>
      <c r="AA11" s="2680"/>
      <c r="AB11" s="2680"/>
      <c r="AC11" s="2680"/>
      <c r="AD11" s="2680">
        <f>IF('Sources and Basis Breakdown'!I107=0,'Sources and Basis Breakdown'!H107,'Sources and Basis Breakdown'!I107)</f>
        <v>0</v>
      </c>
      <c r="AE11" s="2680"/>
      <c r="AF11" s="2680"/>
      <c r="AG11" s="2680"/>
      <c r="AH11" s="2680"/>
      <c r="AI11" s="2680">
        <f>IF(Y7="",0,IF('Sources and Basis Breakdown'!I107+'Sources and Basis Breakdown'!J107='Sources and Basis Breakdown'!H107,'Sources and Basis Breakdown'!J107,0))</f>
        <v>0</v>
      </c>
      <c r="AJ11" s="2680"/>
      <c r="AK11" s="2680"/>
      <c r="AL11" s="2680"/>
      <c r="AM11" s="2680"/>
    </row>
    <row r="12" spans="1:40" ht="12.95" customHeight="1">
      <c r="B12" s="2681" t="s">
        <v>497</v>
      </c>
      <c r="C12" s="1306"/>
      <c r="D12" s="1306"/>
      <c r="E12" s="1306"/>
      <c r="F12" s="1306"/>
      <c r="G12" s="1306"/>
      <c r="H12" s="1306"/>
      <c r="I12" s="1306"/>
      <c r="J12" s="1306"/>
      <c r="K12" s="1306"/>
      <c r="L12" s="1306"/>
      <c r="M12" s="1306"/>
      <c r="N12" s="1306"/>
      <c r="O12" s="1306"/>
      <c r="P12" s="1306"/>
      <c r="Q12" s="1306"/>
      <c r="R12" s="1306"/>
      <c r="S12" s="2682"/>
      <c r="T12" s="2672"/>
      <c r="U12" s="2673"/>
      <c r="V12" s="2673"/>
      <c r="W12" s="2673"/>
      <c r="X12" s="2674"/>
      <c r="Y12" s="2672"/>
      <c r="Z12" s="2673"/>
      <c r="AA12" s="2673"/>
      <c r="AB12" s="2673"/>
      <c r="AC12" s="2674"/>
      <c r="AD12" s="2672"/>
      <c r="AE12" s="2673"/>
      <c r="AF12" s="2673"/>
      <c r="AG12" s="2673"/>
      <c r="AH12" s="2674"/>
      <c r="AI12" s="2672"/>
      <c r="AJ12" s="2673"/>
      <c r="AK12" s="2673"/>
      <c r="AL12" s="2673"/>
      <c r="AM12" s="2674"/>
    </row>
    <row r="13" spans="1:40" ht="12.95" customHeight="1">
      <c r="B13" s="436"/>
      <c r="C13" s="2683" t="s">
        <v>498</v>
      </c>
      <c r="D13" s="2683"/>
      <c r="E13" s="2683"/>
      <c r="F13" s="2683"/>
      <c r="G13" s="2683"/>
      <c r="H13" s="2683"/>
      <c r="I13" s="2683"/>
      <c r="J13" s="2683"/>
      <c r="K13" s="2683"/>
      <c r="L13" s="2683"/>
      <c r="M13" s="2683"/>
      <c r="N13" s="2683"/>
      <c r="O13" s="2683"/>
      <c r="P13" s="2683"/>
      <c r="Q13" s="2683"/>
      <c r="R13" s="2683"/>
      <c r="S13" s="2684"/>
      <c r="T13" s="2675">
        <v>0</v>
      </c>
      <c r="U13" s="2676"/>
      <c r="V13" s="2676"/>
      <c r="W13" s="2676"/>
      <c r="X13" s="2676"/>
      <c r="Y13" s="2675"/>
      <c r="Z13" s="2676"/>
      <c r="AA13" s="2676"/>
      <c r="AB13" s="2676"/>
      <c r="AC13" s="2676"/>
      <c r="AD13" s="2676"/>
      <c r="AE13" s="2676"/>
      <c r="AF13" s="2676"/>
      <c r="AG13" s="2676"/>
      <c r="AH13" s="2676"/>
      <c r="AI13" s="2676"/>
      <c r="AJ13" s="2676"/>
      <c r="AK13" s="2676"/>
      <c r="AL13" s="2676"/>
      <c r="AM13" s="2676"/>
    </row>
    <row r="14" spans="1:40" ht="12.95" customHeight="1">
      <c r="B14" s="436"/>
      <c r="C14" s="2683" t="s">
        <v>499</v>
      </c>
      <c r="D14" s="2683"/>
      <c r="E14" s="2683"/>
      <c r="F14" s="2683"/>
      <c r="G14" s="2683"/>
      <c r="H14" s="2683"/>
      <c r="I14" s="2683"/>
      <c r="J14" s="2683"/>
      <c r="K14" s="2683"/>
      <c r="L14" s="2683"/>
      <c r="M14" s="2683"/>
      <c r="N14" s="2683"/>
      <c r="O14" s="2683"/>
      <c r="P14" s="2683"/>
      <c r="Q14" s="2683"/>
      <c r="R14" s="2683"/>
      <c r="S14" s="2684"/>
      <c r="T14" s="2665">
        <v>0</v>
      </c>
      <c r="U14" s="2666"/>
      <c r="V14" s="2666"/>
      <c r="W14" s="2666"/>
      <c r="X14" s="2666"/>
      <c r="Y14" s="2665"/>
      <c r="Z14" s="2666"/>
      <c r="AA14" s="2666"/>
      <c r="AB14" s="2666"/>
      <c r="AC14" s="2666"/>
      <c r="AD14" s="2666"/>
      <c r="AE14" s="2666"/>
      <c r="AF14" s="2666"/>
      <c r="AG14" s="2666"/>
      <c r="AH14" s="2666"/>
      <c r="AI14" s="2666"/>
      <c r="AJ14" s="2666"/>
      <c r="AK14" s="2666"/>
      <c r="AL14" s="2666"/>
      <c r="AM14" s="2666"/>
    </row>
    <row r="15" spans="1:40" ht="12.95" customHeight="1">
      <c r="B15" s="436"/>
      <c r="C15" s="2683" t="s">
        <v>500</v>
      </c>
      <c r="D15" s="2683"/>
      <c r="E15" s="2683"/>
      <c r="F15" s="2683"/>
      <c r="G15" s="2683"/>
      <c r="H15" s="2683"/>
      <c r="I15" s="2683"/>
      <c r="J15" s="2683"/>
      <c r="K15" s="2683"/>
      <c r="L15" s="2683"/>
      <c r="M15" s="2683"/>
      <c r="N15" s="2683"/>
      <c r="O15" s="2683"/>
      <c r="P15" s="2683"/>
      <c r="Q15" s="2683"/>
      <c r="R15" s="2683"/>
      <c r="S15" s="2684"/>
      <c r="T15" s="2665">
        <v>0</v>
      </c>
      <c r="U15" s="2666"/>
      <c r="V15" s="2666"/>
      <c r="W15" s="2666"/>
      <c r="X15" s="2666"/>
      <c r="Y15" s="2665"/>
      <c r="Z15" s="2666"/>
      <c r="AA15" s="2666"/>
      <c r="AB15" s="2666"/>
      <c r="AC15" s="2666"/>
      <c r="AD15" s="2666"/>
      <c r="AE15" s="2666"/>
      <c r="AF15" s="2666"/>
      <c r="AG15" s="2666"/>
      <c r="AH15" s="2666"/>
      <c r="AI15" s="2666"/>
      <c r="AJ15" s="2666"/>
      <c r="AK15" s="2666"/>
      <c r="AL15" s="2666"/>
      <c r="AM15" s="2666"/>
    </row>
    <row r="16" spans="1:40" ht="12.95" customHeight="1">
      <c r="B16" s="436"/>
      <c r="C16" s="2683" t="s">
        <v>805</v>
      </c>
      <c r="D16" s="2683"/>
      <c r="E16" s="2683"/>
      <c r="F16" s="2683"/>
      <c r="G16" s="2683"/>
      <c r="H16" s="2683"/>
      <c r="I16" s="2683"/>
      <c r="J16" s="2683"/>
      <c r="K16" s="2683"/>
      <c r="L16" s="2683"/>
      <c r="M16" s="2683"/>
      <c r="N16" s="2683"/>
      <c r="O16" s="2683"/>
      <c r="P16" s="2683"/>
      <c r="Q16" s="2683"/>
      <c r="R16" s="2683"/>
      <c r="S16" s="2684"/>
      <c r="T16" s="2665">
        <v>0</v>
      </c>
      <c r="U16" s="2666"/>
      <c r="V16" s="2666"/>
      <c r="W16" s="2666"/>
      <c r="X16" s="2666"/>
      <c r="Y16" s="2665"/>
      <c r="Z16" s="2666"/>
      <c r="AA16" s="2666"/>
      <c r="AB16" s="2666"/>
      <c r="AC16" s="2666"/>
      <c r="AD16" s="2666"/>
      <c r="AE16" s="2666"/>
      <c r="AF16" s="2666"/>
      <c r="AG16" s="2666"/>
      <c r="AH16" s="2666"/>
      <c r="AI16" s="2666"/>
      <c r="AJ16" s="2666"/>
      <c r="AK16" s="2666"/>
      <c r="AL16" s="2666"/>
      <c r="AM16" s="2666"/>
    </row>
    <row r="17" spans="1:40" ht="12.95" customHeight="1">
      <c r="B17" s="436"/>
      <c r="C17" s="2683" t="s">
        <v>501</v>
      </c>
      <c r="D17" s="2683"/>
      <c r="E17" s="2683"/>
      <c r="F17" s="2683"/>
      <c r="G17" s="2683"/>
      <c r="H17" s="2683"/>
      <c r="I17" s="2683"/>
      <c r="J17" s="2683"/>
      <c r="K17" s="2683"/>
      <c r="L17" s="2683"/>
      <c r="M17" s="2683"/>
      <c r="N17" s="2683"/>
      <c r="O17" s="2683"/>
      <c r="P17" s="2683"/>
      <c r="Q17" s="2683"/>
      <c r="R17" s="2683"/>
      <c r="S17" s="2684"/>
      <c r="T17" s="2665">
        <v>0</v>
      </c>
      <c r="U17" s="2666"/>
      <c r="V17" s="2666"/>
      <c r="W17" s="2666"/>
      <c r="X17" s="2666"/>
      <c r="Y17" s="2665"/>
      <c r="Z17" s="2666"/>
      <c r="AA17" s="2666"/>
      <c r="AB17" s="2666"/>
      <c r="AC17" s="2666"/>
      <c r="AD17" s="2666"/>
      <c r="AE17" s="2666"/>
      <c r="AF17" s="2666"/>
      <c r="AG17" s="2666"/>
      <c r="AH17" s="2666"/>
      <c r="AI17" s="2666"/>
      <c r="AJ17" s="2666"/>
      <c r="AK17" s="2666"/>
      <c r="AL17" s="2666"/>
      <c r="AM17" s="2666"/>
    </row>
    <row r="18" spans="1:40" ht="12.95" customHeight="1">
      <c r="A18"/>
      <c r="B18" s="1152"/>
      <c r="C18" s="1408" t="s">
        <v>960</v>
      </c>
      <c r="D18" s="1408"/>
      <c r="E18" s="1408"/>
      <c r="F18" s="1408"/>
      <c r="G18" s="1408"/>
      <c r="H18" s="1408"/>
      <c r="I18" s="1408"/>
      <c r="J18" s="1408"/>
      <c r="K18" s="1408"/>
      <c r="L18" s="1408"/>
      <c r="M18" s="1408"/>
      <c r="N18" s="1408"/>
      <c r="O18" s="1408"/>
      <c r="P18" s="1408"/>
      <c r="Q18" s="1408"/>
      <c r="R18" s="1408"/>
      <c r="S18" s="1409"/>
      <c r="T18" s="2665">
        <v>0</v>
      </c>
      <c r="U18" s="2666"/>
      <c r="V18" s="2666"/>
      <c r="W18" s="2666"/>
      <c r="X18" s="2666"/>
      <c r="Y18" s="2665"/>
      <c r="Z18" s="2666"/>
      <c r="AA18" s="2666"/>
      <c r="AB18" s="2666"/>
      <c r="AC18" s="2666"/>
      <c r="AD18" s="2666"/>
      <c r="AE18" s="2666"/>
      <c r="AF18" s="2666"/>
      <c r="AG18" s="2666"/>
      <c r="AH18" s="2666"/>
      <c r="AI18" s="2666"/>
      <c r="AJ18" s="2666"/>
      <c r="AK18" s="2666"/>
      <c r="AL18" s="2666"/>
      <c r="AM18" s="2666"/>
    </row>
    <row r="19" spans="1:40" ht="12.95" customHeight="1">
      <c r="B19" s="1152"/>
      <c r="C19" s="1408" t="s">
        <v>960</v>
      </c>
      <c r="D19" s="1408"/>
      <c r="E19" s="1408"/>
      <c r="F19" s="1408"/>
      <c r="G19" s="1408"/>
      <c r="H19" s="1408"/>
      <c r="I19" s="1408"/>
      <c r="J19" s="1408"/>
      <c r="K19" s="1408"/>
      <c r="L19" s="1408"/>
      <c r="M19" s="1408"/>
      <c r="N19" s="1408"/>
      <c r="O19" s="1408"/>
      <c r="P19" s="1408"/>
      <c r="Q19" s="1408"/>
      <c r="R19" s="1408"/>
      <c r="S19" s="1409"/>
      <c r="T19" s="2665">
        <v>0</v>
      </c>
      <c r="U19" s="2666"/>
      <c r="V19" s="2666"/>
      <c r="W19" s="2666"/>
      <c r="X19" s="2666"/>
      <c r="Y19" s="2665"/>
      <c r="Z19" s="2666"/>
      <c r="AA19" s="2666"/>
      <c r="AB19" s="2666"/>
      <c r="AC19" s="2666"/>
      <c r="AD19" s="2666"/>
      <c r="AE19" s="2666"/>
      <c r="AF19" s="2666"/>
      <c r="AG19" s="2666"/>
      <c r="AH19" s="2666"/>
      <c r="AI19" s="2666"/>
      <c r="AJ19" s="2666"/>
      <c r="AK19" s="2666"/>
      <c r="AL19" s="2666"/>
      <c r="AM19" s="2666"/>
    </row>
    <row r="20" spans="1:40" ht="12.95" customHeight="1">
      <c r="B20" s="2643" t="s">
        <v>502</v>
      </c>
      <c r="C20" s="2644"/>
      <c r="D20" s="2644"/>
      <c r="E20" s="2644"/>
      <c r="F20" s="2644"/>
      <c r="G20" s="2644"/>
      <c r="H20" s="2644"/>
      <c r="I20" s="2644"/>
      <c r="J20" s="2644"/>
      <c r="K20" s="2644"/>
      <c r="L20" s="2644"/>
      <c r="M20" s="2644"/>
      <c r="N20" s="2644"/>
      <c r="O20" s="2644"/>
      <c r="P20" s="2644"/>
      <c r="Q20" s="2644"/>
      <c r="R20" s="2644"/>
      <c r="S20" s="2645"/>
      <c r="T20" s="2656">
        <f>SUM(T13:X19)</f>
        <v>0</v>
      </c>
      <c r="U20" s="2637"/>
      <c r="V20" s="2637"/>
      <c r="W20" s="2637"/>
      <c r="X20" s="2637"/>
      <c r="Y20" s="2656">
        <f>SUM(Y13:AC19)</f>
        <v>0</v>
      </c>
      <c r="Z20" s="2637"/>
      <c r="AA20" s="2637"/>
      <c r="AB20" s="2637"/>
      <c r="AC20" s="2637"/>
      <c r="AD20" s="2647">
        <f>SUM(AD13:AH19)</f>
        <v>0</v>
      </c>
      <c r="AE20" s="2655"/>
      <c r="AF20" s="2655"/>
      <c r="AG20" s="2655"/>
      <c r="AH20" s="2656"/>
      <c r="AI20" s="2647">
        <f>SUM(AI13:AM19)</f>
        <v>0</v>
      </c>
      <c r="AJ20" s="2655"/>
      <c r="AK20" s="2655"/>
      <c r="AL20" s="2655"/>
      <c r="AM20" s="2656"/>
    </row>
    <row r="21" spans="1:40" ht="12.95" customHeight="1">
      <c r="B21" s="2643" t="s">
        <v>1262</v>
      </c>
      <c r="C21" s="2644"/>
      <c r="D21" s="2644"/>
      <c r="E21" s="2644"/>
      <c r="F21" s="2644"/>
      <c r="G21" s="2644"/>
      <c r="H21" s="2644"/>
      <c r="I21" s="2644"/>
      <c r="J21" s="2644"/>
      <c r="K21" s="2644"/>
      <c r="L21" s="2644"/>
      <c r="M21" s="2644"/>
      <c r="N21" s="2644"/>
      <c r="O21" s="2644"/>
      <c r="P21" s="2644"/>
      <c r="Q21" s="2644"/>
      <c r="R21" s="2644"/>
      <c r="S21" s="2645"/>
      <c r="T21" s="2665">
        <v>0</v>
      </c>
      <c r="U21" s="2666"/>
      <c r="V21" s="2666"/>
      <c r="W21" s="2666"/>
      <c r="X21" s="2666"/>
      <c r="Y21" s="2665"/>
      <c r="Z21" s="2666"/>
      <c r="AA21" s="2666"/>
      <c r="AB21" s="2666"/>
      <c r="AC21" s="2666"/>
      <c r="AD21" s="2672"/>
      <c r="AE21" s="2673"/>
      <c r="AF21" s="2673"/>
      <c r="AG21" s="2673"/>
      <c r="AH21" s="2674"/>
      <c r="AI21" s="2672"/>
      <c r="AJ21" s="2673"/>
      <c r="AK21" s="2673"/>
      <c r="AL21" s="2673"/>
      <c r="AM21" s="2674"/>
    </row>
    <row r="22" spans="1:40" ht="12.95" customHeight="1">
      <c r="B22" s="2643" t="s">
        <v>503</v>
      </c>
      <c r="C22" s="2644"/>
      <c r="D22" s="2644"/>
      <c r="E22" s="2644"/>
      <c r="F22" s="2644"/>
      <c r="G22" s="2644"/>
      <c r="H22" s="2644"/>
      <c r="I22" s="2644"/>
      <c r="J22" s="2644"/>
      <c r="K22" s="2644"/>
      <c r="L22" s="2644"/>
      <c r="M22" s="2644"/>
      <c r="N22" s="2644"/>
      <c r="O22" s="2644"/>
      <c r="P22" s="2644"/>
      <c r="Q22" s="2644"/>
      <c r="R22" s="2644"/>
      <c r="S22" s="2645"/>
      <c r="T22" s="2661">
        <f>(ABS(T20)+ABS(T21))*-1</f>
        <v>0</v>
      </c>
      <c r="U22" s="2662"/>
      <c r="V22" s="2662"/>
      <c r="W22" s="2662"/>
      <c r="X22" s="2662"/>
      <c r="Y22" s="2661">
        <f>(Y20+Y21)*-1</f>
        <v>0</v>
      </c>
      <c r="Z22" s="2662"/>
      <c r="AA22" s="2662"/>
      <c r="AB22" s="2662"/>
      <c r="AC22" s="2662"/>
      <c r="AD22" s="2663">
        <f>(AD20)*-1</f>
        <v>0</v>
      </c>
      <c r="AE22" s="2664"/>
      <c r="AF22" s="2664"/>
      <c r="AG22" s="2664"/>
      <c r="AH22" s="2661"/>
      <c r="AI22" s="2663">
        <f>(AI20)*-1</f>
        <v>0</v>
      </c>
      <c r="AJ22" s="2664"/>
      <c r="AK22" s="2664"/>
      <c r="AL22" s="2664"/>
      <c r="AM22" s="2661"/>
    </row>
    <row r="23" spans="1:40" ht="12.95" customHeight="1">
      <c r="B23" s="2643" t="s">
        <v>504</v>
      </c>
      <c r="C23" s="2644"/>
      <c r="D23" s="2644"/>
      <c r="E23" s="2644"/>
      <c r="F23" s="2644"/>
      <c r="G23" s="2644"/>
      <c r="H23" s="2644"/>
      <c r="I23" s="2644"/>
      <c r="J23" s="2644"/>
      <c r="K23" s="2644"/>
      <c r="L23" s="2644"/>
      <c r="M23" s="2644"/>
      <c r="N23" s="2644"/>
      <c r="O23" s="2644"/>
      <c r="P23" s="2644"/>
      <c r="Q23" s="2644"/>
      <c r="R23" s="2644"/>
      <c r="S23" s="2645"/>
      <c r="T23" s="2656">
        <f>T11+T22</f>
        <v>71312045</v>
      </c>
      <c r="U23" s="2637"/>
      <c r="V23" s="2637"/>
      <c r="W23" s="2637"/>
      <c r="X23" s="2637"/>
      <c r="Y23" s="2656">
        <f>Y11+Y22</f>
        <v>0</v>
      </c>
      <c r="Z23" s="2637"/>
      <c r="AA23" s="2637"/>
      <c r="AB23" s="2637"/>
      <c r="AC23" s="2637"/>
      <c r="AD23" s="2656">
        <f>AD11+AD22</f>
        <v>0</v>
      </c>
      <c r="AE23" s="2637"/>
      <c r="AF23" s="2637"/>
      <c r="AG23" s="2637"/>
      <c r="AH23" s="2637"/>
      <c r="AI23" s="2656">
        <f>AI11+AI22</f>
        <v>0</v>
      </c>
      <c r="AJ23" s="2637"/>
      <c r="AK23" s="2637"/>
      <c r="AL23" s="2637"/>
      <c r="AM23" s="2637"/>
    </row>
    <row r="24" spans="1:40" ht="12.95" customHeight="1">
      <c r="B24" s="2643" t="s">
        <v>961</v>
      </c>
      <c r="C24" s="2644"/>
      <c r="D24" s="2644"/>
      <c r="E24" s="2644"/>
      <c r="F24" s="2644"/>
      <c r="G24" s="2644"/>
      <c r="H24" s="2644"/>
      <c r="I24" s="2644"/>
      <c r="J24" s="2644"/>
      <c r="K24" s="2644"/>
      <c r="L24" s="2644"/>
      <c r="M24" s="2644"/>
      <c r="N24" s="2644"/>
      <c r="O24" s="2644"/>
      <c r="P24" s="2644"/>
      <c r="Q24" s="2644"/>
      <c r="R24" s="2644"/>
      <c r="S24" s="2645"/>
      <c r="T24" s="2647">
        <f>Application!AJ1053</f>
        <v>180323171.09999999</v>
      </c>
      <c r="U24" s="2655"/>
      <c r="V24" s="2655"/>
      <c r="W24" s="2655"/>
      <c r="X24" s="2655"/>
      <c r="Y24" s="2655"/>
      <c r="Z24" s="2655"/>
      <c r="AA24" s="2655"/>
      <c r="AB24" s="2655"/>
      <c r="AC24" s="2655"/>
      <c r="AD24" s="2655"/>
      <c r="AE24" s="2655"/>
      <c r="AF24" s="2655"/>
      <c r="AG24" s="2655"/>
      <c r="AH24" s="2655"/>
      <c r="AI24" s="2655"/>
      <c r="AJ24" s="2655"/>
      <c r="AK24" s="2655"/>
      <c r="AL24" s="2655"/>
      <c r="AM24" s="2656"/>
    </row>
    <row r="25" spans="1:40" ht="12.95" customHeight="1">
      <c r="B25" s="2687" t="s">
        <v>1263</v>
      </c>
      <c r="C25" s="2688"/>
      <c r="D25" s="2688"/>
      <c r="E25" s="2688"/>
      <c r="F25" s="2688"/>
      <c r="G25" s="2688"/>
      <c r="H25" s="2688"/>
      <c r="I25" s="2688"/>
      <c r="J25" s="2688"/>
      <c r="K25" s="2688"/>
      <c r="L25" s="2688"/>
      <c r="M25" s="2688"/>
      <c r="N25" s="2688"/>
      <c r="O25" s="2688"/>
      <c r="P25" s="2688"/>
      <c r="Q25" s="2688"/>
      <c r="R25" s="2688"/>
      <c r="S25" s="2689"/>
      <c r="T25" s="2669">
        <f>IF(OR(Application!T196="yes",Application!T195="yes"),1.3,1)</f>
        <v>1.3</v>
      </c>
      <c r="U25" s="2670"/>
      <c r="V25" s="2670"/>
      <c r="W25" s="2670"/>
      <c r="X25" s="2670"/>
      <c r="Y25" s="2669">
        <v>1</v>
      </c>
      <c r="Z25" s="2670"/>
      <c r="AA25" s="2670"/>
      <c r="AB25" s="2670"/>
      <c r="AC25" s="2670"/>
      <c r="AD25" s="2669">
        <v>1</v>
      </c>
      <c r="AE25" s="2670"/>
      <c r="AF25" s="2670"/>
      <c r="AG25" s="2670"/>
      <c r="AH25" s="2671"/>
      <c r="AI25" s="2669">
        <v>1</v>
      </c>
      <c r="AJ25" s="2670"/>
      <c r="AK25" s="2670"/>
      <c r="AL25" s="2670"/>
      <c r="AM25" s="2671"/>
    </row>
    <row r="26" spans="1:40" ht="12.95" customHeight="1">
      <c r="B26" s="2643" t="s">
        <v>505</v>
      </c>
      <c r="C26" s="2644"/>
      <c r="D26" s="2644"/>
      <c r="E26" s="2644"/>
      <c r="F26" s="2644"/>
      <c r="G26" s="2644"/>
      <c r="H26" s="2644"/>
      <c r="I26" s="2644"/>
      <c r="J26" s="2644"/>
      <c r="K26" s="2644"/>
      <c r="L26" s="2644"/>
      <c r="M26" s="2644"/>
      <c r="N26" s="2644"/>
      <c r="O26" s="2644"/>
      <c r="P26" s="2644"/>
      <c r="Q26" s="2644"/>
      <c r="R26" s="2644"/>
      <c r="S26" s="2645"/>
      <c r="T26" s="2656">
        <f>T23*T25</f>
        <v>92705658.5</v>
      </c>
      <c r="U26" s="2637"/>
      <c r="V26" s="2637"/>
      <c r="W26" s="2637"/>
      <c r="X26" s="2637"/>
      <c r="Y26" s="2656">
        <f>Y23*Y25</f>
        <v>0</v>
      </c>
      <c r="Z26" s="2637"/>
      <c r="AA26" s="2637"/>
      <c r="AB26" s="2637"/>
      <c r="AC26" s="2637"/>
      <c r="AD26" s="2656">
        <f>AD23*AD25</f>
        <v>0</v>
      </c>
      <c r="AE26" s="2637"/>
      <c r="AF26" s="2637"/>
      <c r="AG26" s="2637"/>
      <c r="AH26" s="2637"/>
      <c r="AI26" s="2656">
        <f>AI23*AI25</f>
        <v>0</v>
      </c>
      <c r="AJ26" s="2637"/>
      <c r="AK26" s="2637"/>
      <c r="AL26" s="2637"/>
      <c r="AM26" s="2637"/>
    </row>
    <row r="27" spans="1:40" ht="12.95" customHeight="1">
      <c r="A27" s="411"/>
      <c r="B27" s="2690" t="s">
        <v>425</v>
      </c>
      <c r="C27" s="2691"/>
      <c r="D27" s="2691"/>
      <c r="E27" s="2691"/>
      <c r="F27" s="2691"/>
      <c r="G27" s="2691"/>
      <c r="H27" s="2691"/>
      <c r="I27" s="2691"/>
      <c r="J27" s="2691"/>
      <c r="K27" s="2691"/>
      <c r="L27" s="2691"/>
      <c r="M27" s="2691"/>
      <c r="N27" s="2691"/>
      <c r="O27" s="2691"/>
      <c r="P27" s="2691"/>
      <c r="Q27" s="2691"/>
      <c r="R27" s="2691"/>
      <c r="S27" s="2692"/>
      <c r="T27" s="2667">
        <f>Application!$AG$445</f>
        <v>1</v>
      </c>
      <c r="U27" s="2668"/>
      <c r="V27" s="2668"/>
      <c r="W27" s="2668"/>
      <c r="X27" s="2668"/>
      <c r="Y27" s="2667">
        <f>Application!$AG$445</f>
        <v>1</v>
      </c>
      <c r="Z27" s="2668"/>
      <c r="AA27" s="2668"/>
      <c r="AB27" s="2668"/>
      <c r="AC27" s="2668"/>
      <c r="AD27" s="2667">
        <f>Application!$AG$445</f>
        <v>1</v>
      </c>
      <c r="AE27" s="2668"/>
      <c r="AF27" s="2668"/>
      <c r="AG27" s="2668"/>
      <c r="AH27" s="2668"/>
      <c r="AI27" s="2667">
        <f>Application!$AG$445</f>
        <v>1</v>
      </c>
      <c r="AJ27" s="2668"/>
      <c r="AK27" s="2668"/>
      <c r="AL27" s="2668"/>
      <c r="AM27" s="2668"/>
    </row>
    <row r="28" spans="1:40" ht="12.95" customHeight="1">
      <c r="A28" s="405"/>
      <c r="B28" s="2643" t="s">
        <v>506</v>
      </c>
      <c r="C28" s="2644"/>
      <c r="D28" s="2644"/>
      <c r="E28" s="2644"/>
      <c r="F28" s="2644"/>
      <c r="G28" s="2644"/>
      <c r="H28" s="2644"/>
      <c r="I28" s="2644"/>
      <c r="J28" s="2644"/>
      <c r="K28" s="2644"/>
      <c r="L28" s="2644"/>
      <c r="M28" s="2644"/>
      <c r="N28" s="2644"/>
      <c r="O28" s="2644"/>
      <c r="P28" s="2644"/>
      <c r="Q28" s="2644"/>
      <c r="R28" s="2644"/>
      <c r="S28" s="2645"/>
      <c r="T28" s="2656">
        <f>IF(ISERROR((T26*T27)),0,(T26*T27))</f>
        <v>92705658.5</v>
      </c>
      <c r="U28" s="2637"/>
      <c r="V28" s="2637"/>
      <c r="W28" s="2637"/>
      <c r="X28" s="2637"/>
      <c r="Y28" s="2656">
        <f>IF(ISERROR((Y26*Y27)),0,(Y26*Y27))</f>
        <v>0</v>
      </c>
      <c r="Z28" s="2637"/>
      <c r="AA28" s="2637"/>
      <c r="AB28" s="2637"/>
      <c r="AC28" s="2637"/>
      <c r="AD28" s="2656">
        <f>IF(ISERROR((AD26*AD27)),0,(AD26*AD27))</f>
        <v>0</v>
      </c>
      <c r="AE28" s="2637"/>
      <c r="AF28" s="2637"/>
      <c r="AG28" s="2637"/>
      <c r="AH28" s="2637"/>
      <c r="AI28" s="2656">
        <f>IF(ISERROR((AI26*AI27)),0,(AI26*AI27))</f>
        <v>0</v>
      </c>
      <c r="AJ28" s="2637"/>
      <c r="AK28" s="2637"/>
      <c r="AL28" s="2637"/>
      <c r="AM28" s="2637"/>
    </row>
    <row r="29" spans="1:40" ht="12.95" customHeight="1">
      <c r="B29" s="2643" t="s">
        <v>523</v>
      </c>
      <c r="C29" s="2644"/>
      <c r="D29" s="2644"/>
      <c r="E29" s="2644"/>
      <c r="F29" s="2644"/>
      <c r="G29" s="2644"/>
      <c r="H29" s="2644"/>
      <c r="I29" s="2644"/>
      <c r="J29" s="2644"/>
      <c r="K29" s="2644"/>
      <c r="L29" s="2644"/>
      <c r="M29" s="2644"/>
      <c r="N29" s="2644"/>
      <c r="O29" s="2644"/>
      <c r="P29" s="2644"/>
      <c r="Q29" s="2644"/>
      <c r="R29" s="2644"/>
      <c r="S29" s="2645"/>
      <c r="T29" s="2647">
        <f>T28+Y28+AD28+AI28</f>
        <v>92705658.5</v>
      </c>
      <c r="U29" s="2655"/>
      <c r="V29" s="2655"/>
      <c r="W29" s="2655"/>
      <c r="X29" s="2655"/>
      <c r="Y29" s="2655"/>
      <c r="Z29" s="2655"/>
      <c r="AA29" s="2655"/>
      <c r="AB29" s="2655"/>
      <c r="AC29" s="2655"/>
      <c r="AD29" s="2655"/>
      <c r="AE29" s="2655"/>
      <c r="AF29" s="2655"/>
      <c r="AG29" s="2655"/>
      <c r="AH29" s="2655"/>
      <c r="AI29" s="2655"/>
      <c r="AJ29" s="2655"/>
      <c r="AK29" s="2655"/>
      <c r="AL29" s="2655"/>
      <c r="AM29" s="2656"/>
    </row>
    <row r="30" spans="1:40" ht="12.95" customHeight="1">
      <c r="B30" s="2660" t="s">
        <v>1265</v>
      </c>
      <c r="C30" s="2660"/>
      <c r="D30" s="2660"/>
      <c r="E30" s="2660"/>
      <c r="F30" s="2660"/>
      <c r="G30" s="2660"/>
      <c r="H30" s="2660"/>
      <c r="I30" s="2660"/>
      <c r="J30" s="2660"/>
      <c r="K30" s="2660"/>
      <c r="L30" s="2660"/>
      <c r="M30" s="2660"/>
      <c r="N30" s="2660"/>
      <c r="O30" s="2660"/>
      <c r="P30" s="2660"/>
      <c r="Q30" s="2660"/>
      <c r="R30" s="2660"/>
      <c r="S30" s="2660"/>
      <c r="T30" s="2660"/>
      <c r="U30" s="2660"/>
      <c r="V30" s="2660"/>
      <c r="W30" s="2660"/>
      <c r="X30" s="2660"/>
      <c r="Y30" s="2660"/>
      <c r="Z30" s="2660"/>
      <c r="AA30" s="2660"/>
      <c r="AB30" s="2660"/>
      <c r="AC30" s="2660"/>
      <c r="AD30" s="2660"/>
      <c r="AE30" s="2660"/>
      <c r="AF30" s="2660"/>
      <c r="AG30" s="2660"/>
      <c r="AH30" s="2660"/>
      <c r="AI30" s="2660"/>
      <c r="AJ30" s="2660"/>
      <c r="AK30" s="2660"/>
      <c r="AL30" s="2660"/>
      <c r="AM30" s="2660"/>
    </row>
    <row r="31" spans="1:40" ht="12.95" customHeight="1">
      <c r="B31" s="2660" t="s">
        <v>1264</v>
      </c>
      <c r="C31" s="2660"/>
      <c r="D31" s="2660"/>
      <c r="E31" s="2660"/>
      <c r="F31" s="2660"/>
      <c r="G31" s="2660"/>
      <c r="H31" s="2660"/>
      <c r="I31" s="2660"/>
      <c r="J31" s="2660"/>
      <c r="K31" s="2660"/>
      <c r="L31" s="2660"/>
      <c r="M31" s="2660"/>
      <c r="N31" s="2660"/>
      <c r="O31" s="2660"/>
      <c r="P31" s="2660"/>
      <c r="Q31" s="2660"/>
      <c r="R31" s="2660"/>
      <c r="S31" s="2660"/>
      <c r="T31" s="2660"/>
      <c r="U31" s="2660"/>
      <c r="V31" s="2660"/>
      <c r="W31" s="2660"/>
      <c r="X31" s="2660"/>
      <c r="Y31" s="2660"/>
      <c r="Z31" s="2660"/>
      <c r="AA31" s="2660"/>
      <c r="AB31" s="2660"/>
      <c r="AC31" s="2660"/>
      <c r="AD31" s="2660"/>
      <c r="AE31" s="2660"/>
      <c r="AF31" s="2660"/>
      <c r="AG31" s="2660"/>
      <c r="AH31" s="2660"/>
      <c r="AI31" s="2660"/>
      <c r="AJ31" s="2660"/>
      <c r="AK31" s="2660"/>
      <c r="AL31" s="2660"/>
      <c r="AM31" s="2660"/>
      <c r="AN31" s="519"/>
    </row>
    <row r="32" spans="1:40" ht="12.95" customHeight="1">
      <c r="B32" s="435"/>
      <c r="C32" s="512" t="s">
        <v>386</v>
      </c>
      <c r="D32" s="435"/>
      <c r="E32" s="435"/>
      <c r="F32" s="435"/>
      <c r="G32" s="435"/>
      <c r="H32" s="435"/>
      <c r="I32" s="435"/>
      <c r="J32" s="435"/>
      <c r="K32" s="435"/>
      <c r="L32" s="435"/>
      <c r="M32" s="435"/>
      <c r="N32" s="435"/>
      <c r="O32" s="435"/>
      <c r="P32" s="435"/>
      <c r="Q32" s="435"/>
      <c r="R32" s="435"/>
      <c r="S32" s="435"/>
      <c r="T32" s="435"/>
      <c r="U32" s="435"/>
      <c r="V32" s="435"/>
      <c r="W32" s="435"/>
      <c r="X32" s="435"/>
      <c r="Y32" s="435"/>
      <c r="Z32" s="435"/>
      <c r="AA32" s="435"/>
      <c r="AB32" s="435"/>
      <c r="AC32" s="435"/>
      <c r="AD32" s="435"/>
      <c r="AE32" s="435"/>
      <c r="AF32" s="435"/>
      <c r="AG32" s="435"/>
      <c r="AH32" s="435"/>
      <c r="AI32" s="435"/>
      <c r="AJ32" s="435"/>
      <c r="AK32" s="435"/>
      <c r="AL32" s="435"/>
      <c r="AM32" s="435"/>
    </row>
    <row r="34" spans="1:76" ht="12.95" customHeight="1">
      <c r="A34" s="405" t="s">
        <v>576</v>
      </c>
      <c r="C34" s="405" t="s">
        <v>568</v>
      </c>
    </row>
    <row r="35" spans="1:76" ht="12.95" customHeight="1">
      <c r="B35" s="406"/>
      <c r="C35" s="407"/>
      <c r="D35" s="407"/>
      <c r="E35" s="407"/>
      <c r="F35" s="407"/>
      <c r="G35" s="407"/>
      <c r="H35" s="407"/>
      <c r="I35" s="407"/>
      <c r="J35" s="407"/>
      <c r="K35" s="407"/>
      <c r="L35" s="407"/>
      <c r="M35" s="407"/>
      <c r="N35" s="407"/>
      <c r="O35" s="407"/>
      <c r="P35" s="407"/>
      <c r="Q35" s="407"/>
      <c r="R35" s="407"/>
      <c r="S35" s="407"/>
      <c r="T35" s="407"/>
      <c r="U35" s="407"/>
      <c r="V35" s="407"/>
      <c r="W35" s="407"/>
      <c r="X35" s="412"/>
      <c r="Y35" s="2657" t="s">
        <v>1153</v>
      </c>
      <c r="Z35" s="2657"/>
      <c r="AA35" s="2657"/>
      <c r="AB35" s="2657"/>
      <c r="AC35" s="2657"/>
      <c r="AD35" s="2658" t="s">
        <v>368</v>
      </c>
      <c r="AE35" s="2658"/>
      <c r="AF35" s="2658"/>
      <c r="AG35" s="2658"/>
      <c r="AH35" s="2658"/>
    </row>
    <row r="36" spans="1:76" ht="12.95" customHeight="1">
      <c r="B36" s="408"/>
      <c r="X36" s="413"/>
      <c r="Y36" s="2657"/>
      <c r="Z36" s="2657"/>
      <c r="AA36" s="2657"/>
      <c r="AB36" s="2657"/>
      <c r="AC36" s="2657"/>
      <c r="AD36" s="2658"/>
      <c r="AE36" s="2658"/>
      <c r="AF36" s="2658"/>
      <c r="AG36" s="2658"/>
      <c r="AH36" s="2658"/>
    </row>
    <row r="37" spans="1:76" ht="12.95" customHeight="1">
      <c r="B37" s="409"/>
      <c r="C37" s="410"/>
      <c r="D37" s="410"/>
      <c r="E37" s="410"/>
      <c r="F37" s="410"/>
      <c r="G37" s="410"/>
      <c r="H37" s="410"/>
      <c r="I37" s="410"/>
      <c r="J37" s="410"/>
      <c r="K37" s="410"/>
      <c r="L37" s="410"/>
      <c r="M37" s="410"/>
      <c r="N37" s="410"/>
      <c r="O37" s="410"/>
      <c r="P37" s="410"/>
      <c r="Q37" s="410"/>
      <c r="R37" s="410"/>
      <c r="S37" s="410"/>
      <c r="T37" s="410"/>
      <c r="U37" s="410"/>
      <c r="V37" s="410"/>
      <c r="W37" s="410"/>
      <c r="X37" s="414"/>
      <c r="Y37" s="2657"/>
      <c r="Z37" s="2657"/>
      <c r="AA37" s="2657"/>
      <c r="AB37" s="2657"/>
      <c r="AC37" s="2657"/>
      <c r="AD37" s="2658"/>
      <c r="AE37" s="2658"/>
      <c r="AF37" s="2658"/>
      <c r="AG37" s="2658"/>
      <c r="AH37" s="2658"/>
    </row>
    <row r="38" spans="1:76" ht="12.95" customHeight="1">
      <c r="A38" s="405"/>
      <c r="B38" s="2643" t="s">
        <v>506</v>
      </c>
      <c r="C38" s="2644"/>
      <c r="D38" s="2644"/>
      <c r="E38" s="2644"/>
      <c r="F38" s="2644"/>
      <c r="G38" s="2644"/>
      <c r="H38" s="2644"/>
      <c r="I38" s="2644"/>
      <c r="J38" s="2644"/>
      <c r="K38" s="2644"/>
      <c r="L38" s="2644"/>
      <c r="M38" s="2644"/>
      <c r="N38" s="2644"/>
      <c r="O38" s="2644"/>
      <c r="P38" s="2644"/>
      <c r="Q38" s="2644"/>
      <c r="R38" s="2644"/>
      <c r="S38" s="2644"/>
      <c r="T38" s="2644"/>
      <c r="U38" s="2644"/>
      <c r="V38" s="2644"/>
      <c r="W38" s="2644"/>
      <c r="X38" s="2645"/>
      <c r="Y38" s="2637">
        <f>IF(T24&gt;=(T23+Y23+AD23+AI23),T28+Y28,0)</f>
        <v>92705658.5</v>
      </c>
      <c r="Z38" s="2637"/>
      <c r="AA38" s="2637"/>
      <c r="AB38" s="2637"/>
      <c r="AC38" s="2637"/>
      <c r="AD38" s="2637">
        <f>IF(T24&gt;=(T23+Y23+AD23+AI23),AD28+AI28,0)</f>
        <v>0</v>
      </c>
      <c r="AE38" s="2637"/>
      <c r="AF38" s="2637"/>
      <c r="AG38" s="2637"/>
      <c r="AH38" s="2637"/>
    </row>
    <row r="39" spans="1:76" ht="12.95" customHeight="1">
      <c r="B39" s="2643" t="s">
        <v>1690</v>
      </c>
      <c r="C39" s="2644"/>
      <c r="D39" s="2644"/>
      <c r="E39" s="2644"/>
      <c r="F39" s="2644"/>
      <c r="G39" s="2644"/>
      <c r="H39" s="2644"/>
      <c r="I39" s="2644"/>
      <c r="J39" s="2644"/>
      <c r="K39" s="2644"/>
      <c r="L39" s="2644"/>
      <c r="M39" s="2644"/>
      <c r="N39" s="2644"/>
      <c r="O39" s="2644"/>
      <c r="P39" s="2644"/>
      <c r="Q39" s="2644"/>
      <c r="R39" s="2644"/>
      <c r="S39" s="2644"/>
      <c r="T39" s="2644"/>
      <c r="U39" s="2644"/>
      <c r="V39" s="2644"/>
      <c r="W39" s="2644"/>
      <c r="X39" s="2645"/>
      <c r="Y39" s="2659">
        <v>0.04</v>
      </c>
      <c r="Z39" s="2659"/>
      <c r="AA39" s="2659"/>
      <c r="AB39" s="2659"/>
      <c r="AC39" s="2659"/>
      <c r="AD39" s="2659">
        <v>0.04</v>
      </c>
      <c r="AE39" s="2659"/>
      <c r="AF39" s="2659"/>
      <c r="AG39" s="2659"/>
      <c r="AH39" s="2659"/>
    </row>
    <row r="40" spans="1:76" ht="12.95" customHeight="1">
      <c r="A40" s="405"/>
      <c r="B40" s="2643" t="s">
        <v>642</v>
      </c>
      <c r="C40" s="2644"/>
      <c r="D40" s="2644"/>
      <c r="E40" s="2644"/>
      <c r="F40" s="2644"/>
      <c r="G40" s="2644"/>
      <c r="H40" s="2644"/>
      <c r="I40" s="2644"/>
      <c r="J40" s="2644"/>
      <c r="K40" s="2644"/>
      <c r="L40" s="2644"/>
      <c r="M40" s="2644"/>
      <c r="N40" s="2644"/>
      <c r="O40" s="2644"/>
      <c r="P40" s="2644"/>
      <c r="Q40" s="2644"/>
      <c r="R40" s="2644"/>
      <c r="S40" s="2644"/>
      <c r="T40" s="2644"/>
      <c r="U40" s="2644"/>
      <c r="V40" s="2644"/>
      <c r="W40" s="2644"/>
      <c r="X40" s="2645"/>
      <c r="Y40" s="2637">
        <f>ROUND(Y38*Y39,0)</f>
        <v>3708226</v>
      </c>
      <c r="Z40" s="2637"/>
      <c r="AA40" s="2637"/>
      <c r="AB40" s="2637"/>
      <c r="AC40" s="2637"/>
      <c r="AD40" s="2656">
        <f>ROUND(AD38*AD39,0)</f>
        <v>0</v>
      </c>
      <c r="AE40" s="2637"/>
      <c r="AF40" s="2637"/>
      <c r="AG40" s="2637"/>
      <c r="AH40" s="2637"/>
    </row>
    <row r="41" spans="1:76" ht="12.95" customHeight="1">
      <c r="B41" s="2643" t="s">
        <v>643</v>
      </c>
      <c r="C41" s="2644"/>
      <c r="D41" s="2644"/>
      <c r="E41" s="2644"/>
      <c r="F41" s="2644"/>
      <c r="G41" s="2644"/>
      <c r="H41" s="2644"/>
      <c r="I41" s="2644"/>
      <c r="J41" s="2644"/>
      <c r="K41" s="2644"/>
      <c r="L41" s="2644"/>
      <c r="M41" s="2644"/>
      <c r="N41" s="2644"/>
      <c r="O41" s="2644"/>
      <c r="P41" s="2644"/>
      <c r="Q41" s="2644"/>
      <c r="R41" s="2644"/>
      <c r="S41" s="2644"/>
      <c r="T41" s="2644"/>
      <c r="U41" s="2644"/>
      <c r="V41" s="2644"/>
      <c r="W41" s="2644"/>
      <c r="X41" s="2645"/>
      <c r="Y41" s="2647">
        <f>Y40+AD40</f>
        <v>3708226</v>
      </c>
      <c r="Z41" s="2655"/>
      <c r="AA41" s="2655"/>
      <c r="AB41" s="2655"/>
      <c r="AC41" s="2655"/>
      <c r="AD41" s="2655"/>
      <c r="AE41" s="2655"/>
      <c r="AF41" s="2655"/>
      <c r="AG41" s="2655"/>
      <c r="AH41" s="2656"/>
    </row>
    <row r="42" spans="1:76" ht="12.95" customHeight="1">
      <c r="A42" s="405"/>
      <c r="B42" s="931"/>
      <c r="C42" s="931"/>
      <c r="D42" s="931"/>
      <c r="E42" s="931"/>
      <c r="F42" s="931"/>
      <c r="G42" s="931"/>
      <c r="H42" s="931"/>
      <c r="I42" s="931"/>
      <c r="J42" s="931"/>
      <c r="K42" s="931"/>
      <c r="L42" s="931"/>
      <c r="M42" s="931"/>
      <c r="N42" s="931"/>
      <c r="O42" s="931"/>
      <c r="P42" s="931"/>
      <c r="Q42" s="931"/>
      <c r="R42" s="931"/>
      <c r="S42" s="931"/>
      <c r="T42" s="931"/>
      <c r="U42" s="931"/>
      <c r="V42" s="931"/>
      <c r="W42" s="931"/>
      <c r="X42" s="931"/>
      <c r="Y42" s="931"/>
      <c r="Z42" s="931"/>
      <c r="AA42" s="931"/>
      <c r="AB42" s="931"/>
      <c r="AC42" s="931"/>
      <c r="AD42" s="931"/>
      <c r="AE42" s="931"/>
      <c r="AF42" s="931"/>
      <c r="AG42" s="931"/>
      <c r="AH42" s="931"/>
    </row>
    <row r="43" spans="1:76" ht="12.95" customHeight="1">
      <c r="B43" s="415"/>
      <c r="C43" s="415"/>
      <c r="D43" s="415"/>
      <c r="E43" s="415"/>
      <c r="F43" s="415"/>
      <c r="G43" s="415"/>
      <c r="H43" s="415"/>
      <c r="I43" s="415"/>
      <c r="J43" s="415"/>
      <c r="K43" s="415"/>
      <c r="L43" s="415"/>
      <c r="M43" s="415"/>
      <c r="N43" s="415"/>
      <c r="O43" s="415"/>
      <c r="P43" s="415"/>
      <c r="Q43" s="415"/>
      <c r="R43" s="415"/>
      <c r="S43" s="415"/>
      <c r="T43" s="415"/>
      <c r="U43" s="415"/>
      <c r="V43" s="415"/>
      <c r="W43" s="415"/>
      <c r="X43" s="415"/>
      <c r="Y43" s="415"/>
      <c r="Z43" s="415"/>
      <c r="AA43" s="415"/>
      <c r="AB43" s="415"/>
      <c r="AC43" s="415"/>
      <c r="AD43" s="415"/>
      <c r="AE43" s="415"/>
      <c r="AF43" s="415"/>
      <c r="AG43" s="415"/>
      <c r="AH43" s="415"/>
    </row>
    <row r="44" spans="1:76" s="205" customFormat="1" ht="12.95" customHeight="1" thickBot="1">
      <c r="A44" s="2654" t="s">
        <v>1275</v>
      </c>
      <c r="B44" s="2654"/>
      <c r="C44" s="2654"/>
      <c r="D44" s="2654"/>
      <c r="E44" s="2654"/>
      <c r="F44" s="2654"/>
      <c r="G44" s="2654"/>
      <c r="H44" s="2654"/>
      <c r="I44" s="2654"/>
      <c r="J44" s="2654"/>
      <c r="K44" s="2654"/>
      <c r="L44" s="2654"/>
      <c r="M44" s="2654"/>
      <c r="N44" s="2654"/>
      <c r="O44" s="2654"/>
      <c r="P44" s="2654"/>
      <c r="Q44" s="2654"/>
      <c r="R44" s="2654"/>
      <c r="S44" s="2654"/>
      <c r="T44" s="2654"/>
      <c r="U44" s="2654"/>
      <c r="V44" s="2654"/>
      <c r="W44" s="2654"/>
      <c r="X44" s="2654"/>
      <c r="Y44" s="2654"/>
      <c r="Z44" s="2654"/>
      <c r="AA44" s="2654"/>
      <c r="AB44" s="2654"/>
      <c r="AC44" s="2654"/>
      <c r="AD44" s="2654"/>
      <c r="AE44" s="2654"/>
      <c r="AF44" s="2654"/>
      <c r="AG44" s="2654"/>
      <c r="AH44" s="2654"/>
      <c r="AI44" s="2654"/>
      <c r="AJ44" s="2654"/>
      <c r="AK44" s="2654"/>
      <c r="AL44" s="2654"/>
      <c r="AM44" s="2654"/>
      <c r="AN44" s="2654"/>
      <c r="AO44" s="2654"/>
      <c r="AP44" s="2654"/>
      <c r="AQ44" s="2654"/>
      <c r="AR44" s="2654"/>
      <c r="AS44" s="2654"/>
      <c r="AT44" s="2654"/>
      <c r="AU44" s="2654"/>
      <c r="AV44" s="2654"/>
      <c r="AW44" s="2654"/>
      <c r="AX44" s="2654"/>
      <c r="AY44" s="2654"/>
      <c r="AZ44" s="2654"/>
      <c r="BA44" s="2654"/>
      <c r="BB44" s="2654"/>
      <c r="BC44" s="2654"/>
      <c r="BD44" s="2654"/>
      <c r="BE44" s="2654"/>
      <c r="BF44" s="2654"/>
      <c r="BG44" s="2654"/>
      <c r="BH44" s="2654"/>
      <c r="BI44" s="2654"/>
      <c r="BJ44" s="2654"/>
      <c r="BK44" s="2654"/>
      <c r="BL44" s="2654"/>
      <c r="BM44" s="2654"/>
      <c r="BN44" s="2654"/>
      <c r="BO44" s="2654"/>
      <c r="BP44" s="2654"/>
      <c r="BQ44" s="2654"/>
      <c r="BR44" s="2654"/>
      <c r="BS44" s="2654"/>
      <c r="BT44" s="2654"/>
      <c r="BU44" s="2654"/>
      <c r="BV44" s="2654"/>
      <c r="BW44" s="2654"/>
      <c r="BX44" s="2654"/>
    </row>
    <row r="45" spans="1:76" s="205" customFormat="1" ht="12.95" customHeight="1" thickTop="1"/>
    <row r="46" spans="1:76" ht="12.95" customHeight="1">
      <c r="A46" s="405" t="s">
        <v>586</v>
      </c>
      <c r="C46" s="405" t="s">
        <v>281</v>
      </c>
    </row>
    <row r="47" spans="1:76" ht="12.95" customHeight="1">
      <c r="D47" s="405" t="s">
        <v>282</v>
      </c>
      <c r="AB47" s="2651">
        <f>'Sources and Uses Budget'!B105-MAX(IF('Sources and Uses Budget'!B15="",0,'Sources and Uses Budget'!B15),IF(Application!AG394="",0,Application!AG394))</f>
        <v>86190738</v>
      </c>
      <c r="AC47" s="2652"/>
      <c r="AD47" s="2652"/>
      <c r="AE47" s="2652"/>
      <c r="AF47" s="2653"/>
    </row>
    <row r="48" spans="1:76" ht="12.95" customHeight="1">
      <c r="D48" s="405" t="s">
        <v>21</v>
      </c>
      <c r="AB48" s="2651">
        <f>Application!AO639-MAX(IF('Sources and Uses Budget'!B15="",0,'Sources and Uses Budget'!B15),IF(Application!AG394="",0,Application!AG394))</f>
        <v>51814543</v>
      </c>
      <c r="AC48" s="2652"/>
      <c r="AD48" s="2652"/>
      <c r="AE48" s="2652"/>
      <c r="AF48" s="2653"/>
    </row>
    <row r="49" spans="1:76" ht="12.95" customHeight="1">
      <c r="D49" s="405" t="s">
        <v>91</v>
      </c>
      <c r="AB49" s="2651">
        <f>AB47-AB48</f>
        <v>34376195</v>
      </c>
      <c r="AC49" s="2652"/>
      <c r="AD49" s="2652"/>
      <c r="AE49" s="2652"/>
      <c r="AF49" s="2653"/>
    </row>
    <row r="50" spans="1:76" ht="12.95" customHeight="1">
      <c r="D50" s="405" t="s">
        <v>681</v>
      </c>
      <c r="AA50" s="416"/>
      <c r="AB50" s="2639">
        <v>0.92715559999999997</v>
      </c>
      <c r="AC50" s="2640"/>
      <c r="AD50" s="2640"/>
      <c r="AE50" s="2640"/>
      <c r="AF50" s="2641"/>
    </row>
    <row r="51" spans="1:76" s="418" customFormat="1" ht="12.95" customHeight="1">
      <c r="A51" s="403"/>
      <c r="B51" s="403"/>
      <c r="C51" s="403"/>
      <c r="D51" s="403"/>
      <c r="E51" s="2650" t="s">
        <v>1849</v>
      </c>
      <c r="F51" s="2650"/>
      <c r="G51" s="2650"/>
      <c r="H51" s="2650"/>
      <c r="I51" s="2650"/>
      <c r="J51" s="2650"/>
      <c r="K51" s="2650"/>
      <c r="L51" s="2650"/>
      <c r="M51" s="2650"/>
      <c r="N51" s="2650"/>
      <c r="O51" s="2650"/>
      <c r="P51" s="2650"/>
      <c r="Q51" s="2650"/>
      <c r="R51" s="2650"/>
      <c r="S51" s="2650"/>
      <c r="T51" s="2650"/>
      <c r="U51" s="2650"/>
      <c r="V51" s="2650"/>
      <c r="W51" s="2650"/>
      <c r="X51" s="2650"/>
      <c r="Y51" s="2650"/>
      <c r="Z51" s="2650"/>
      <c r="AA51" s="417"/>
      <c r="AB51" s="417"/>
      <c r="AC51" s="417"/>
      <c r="AD51" s="417"/>
      <c r="AE51" s="417"/>
      <c r="AF51" s="417"/>
      <c r="AG51" s="403"/>
      <c r="AH51" s="403"/>
      <c r="AI51" s="403"/>
      <c r="AJ51" s="403"/>
      <c r="AK51" s="403"/>
      <c r="AL51" s="403"/>
      <c r="AM51" s="403"/>
      <c r="AN51" s="403"/>
    </row>
    <row r="52" spans="1:76" s="418" customFormat="1" ht="12.95" customHeight="1">
      <c r="A52" s="403"/>
      <c r="B52" s="403"/>
      <c r="C52" s="403"/>
      <c r="D52" s="403"/>
      <c r="E52" s="2650"/>
      <c r="F52" s="2650"/>
      <c r="G52" s="2650"/>
      <c r="H52" s="2650"/>
      <c r="I52" s="2650"/>
      <c r="J52" s="2650"/>
      <c r="K52" s="2650"/>
      <c r="L52" s="2650"/>
      <c r="M52" s="2650"/>
      <c r="N52" s="2650"/>
      <c r="O52" s="2650"/>
      <c r="P52" s="2650"/>
      <c r="Q52" s="2650"/>
      <c r="R52" s="2650"/>
      <c r="S52" s="2650"/>
      <c r="T52" s="2650"/>
      <c r="U52" s="2650"/>
      <c r="V52" s="2650"/>
      <c r="W52" s="2650"/>
      <c r="X52" s="2650"/>
      <c r="Y52" s="2650"/>
      <c r="Z52" s="2650"/>
      <c r="AA52" s="419"/>
      <c r="AB52" s="419"/>
      <c r="AC52" s="419"/>
      <c r="AD52" s="419"/>
      <c r="AE52" s="419"/>
      <c r="AF52" s="419"/>
      <c r="AG52" s="420"/>
      <c r="AH52" s="403"/>
      <c r="AI52" s="403"/>
      <c r="AJ52" s="403"/>
      <c r="AK52" s="403"/>
      <c r="AL52" s="403"/>
      <c r="AM52" s="403"/>
      <c r="AN52" s="403"/>
    </row>
    <row r="53" spans="1:76" ht="12.95" customHeight="1">
      <c r="E53" s="417"/>
      <c r="F53" s="417"/>
      <c r="G53" s="417"/>
      <c r="H53" s="417"/>
      <c r="I53" s="417"/>
      <c r="J53" s="417"/>
      <c r="K53" s="417"/>
      <c r="L53" s="417"/>
      <c r="M53" s="417"/>
      <c r="N53" s="417"/>
      <c r="O53" s="417"/>
      <c r="P53" s="417"/>
      <c r="Q53" s="417"/>
      <c r="R53" s="417"/>
      <c r="S53" s="417"/>
      <c r="T53" s="417"/>
      <c r="U53" s="417"/>
      <c r="V53" s="417"/>
      <c r="W53" s="417"/>
      <c r="X53" s="417"/>
      <c r="Y53" s="417"/>
      <c r="Z53" s="417"/>
    </row>
    <row r="54" spans="1:76" ht="12.95" customHeight="1">
      <c r="D54" s="405" t="s">
        <v>331</v>
      </c>
      <c r="AB54" s="2651">
        <f>ROUND(IF(ISERROR((AB49/AB50)),0,(AB49/AB50)),0)</f>
        <v>37077050</v>
      </c>
      <c r="AC54" s="2652"/>
      <c r="AD54" s="2652"/>
      <c r="AE54" s="2652"/>
      <c r="AF54" s="2653"/>
    </row>
    <row r="55" spans="1:76" ht="12.95" customHeight="1">
      <c r="D55" s="405" t="s">
        <v>332</v>
      </c>
      <c r="AB55" s="2651">
        <f>(AB54/10)</f>
        <v>3707705</v>
      </c>
      <c r="AC55" s="2652"/>
      <c r="AD55" s="2652"/>
      <c r="AE55" s="2652"/>
      <c r="AF55" s="2653"/>
    </row>
    <row r="56" spans="1:76" ht="12.95" customHeight="1">
      <c r="D56" s="405" t="s">
        <v>756</v>
      </c>
      <c r="AB56" s="2651">
        <f>ROUND((IF((Y41&lt;AB55),Y41,AB55)),0)</f>
        <v>3707705</v>
      </c>
      <c r="AC56" s="2652"/>
      <c r="AD56" s="2652"/>
      <c r="AE56" s="2652"/>
      <c r="AF56" s="2653"/>
    </row>
    <row r="57" spans="1:76" ht="12.95" customHeight="1">
      <c r="D57" s="405" t="s">
        <v>755</v>
      </c>
      <c r="AB57" s="2651">
        <f>ROUND((10*AB56*AB50),0)</f>
        <v>34376195</v>
      </c>
      <c r="AC57" s="2652"/>
      <c r="AD57" s="2652"/>
      <c r="AE57" s="2652"/>
      <c r="AF57" s="2653"/>
    </row>
    <row r="58" spans="1:76" ht="12.95" customHeight="1">
      <c r="D58" s="405"/>
      <c r="AB58" s="424"/>
      <c r="AC58" s="424"/>
      <c r="AD58" s="424"/>
      <c r="AE58" s="424"/>
      <c r="AF58" s="424"/>
    </row>
    <row r="59" spans="1:76" ht="12.95" customHeight="1">
      <c r="D59" s="405" t="s">
        <v>754</v>
      </c>
      <c r="AB59" s="2635">
        <f>AB49-AB57</f>
        <v>0</v>
      </c>
      <c r="AC59" s="2635"/>
      <c r="AD59" s="2635"/>
      <c r="AE59" s="2635"/>
      <c r="AF59" s="2635"/>
    </row>
    <row r="60" spans="1:76" ht="12.95" customHeight="1">
      <c r="D60" s="405"/>
      <c r="AB60" s="424"/>
      <c r="AC60" s="424"/>
      <c r="AD60" s="424"/>
      <c r="AE60" s="424"/>
      <c r="AF60" s="424"/>
    </row>
    <row r="61" spans="1:76" s="205" customFormat="1" ht="12.95" customHeight="1" thickBot="1">
      <c r="A61" s="2654" t="str">
        <f>IF(Application!AP205="yes","Farmworker State Credit", "State Credit" )</f>
        <v>State Credit</v>
      </c>
      <c r="B61" s="2654"/>
      <c r="C61" s="2654"/>
      <c r="D61" s="2654"/>
      <c r="E61" s="2654"/>
      <c r="F61" s="2654"/>
      <c r="G61" s="2654"/>
      <c r="H61" s="2654"/>
      <c r="I61" s="2654"/>
      <c r="J61" s="2654"/>
      <c r="K61" s="2654"/>
      <c r="L61" s="2654"/>
      <c r="M61" s="2654"/>
      <c r="N61" s="2654"/>
      <c r="O61" s="2654"/>
      <c r="P61" s="2654"/>
      <c r="Q61" s="2654"/>
      <c r="R61" s="2654"/>
      <c r="S61" s="2654"/>
      <c r="T61" s="2654"/>
      <c r="U61" s="2654"/>
      <c r="V61" s="2654"/>
      <c r="W61" s="2654"/>
      <c r="X61" s="2654"/>
      <c r="Y61" s="2654"/>
      <c r="Z61" s="2654"/>
      <c r="AA61" s="2654"/>
      <c r="AB61" s="2654"/>
      <c r="AC61" s="2654"/>
      <c r="AD61" s="2654"/>
      <c r="AE61" s="2654"/>
      <c r="AF61" s="2654"/>
      <c r="AG61" s="2654"/>
      <c r="AH61" s="2654"/>
      <c r="AI61" s="2654"/>
      <c r="AJ61" s="2654"/>
      <c r="AK61" s="2654"/>
      <c r="AL61" s="2654"/>
      <c r="AM61" s="2654"/>
      <c r="AN61" s="2654"/>
      <c r="AO61" s="2654"/>
      <c r="AP61" s="2654"/>
      <c r="AQ61" s="2654"/>
      <c r="AR61" s="2654"/>
      <c r="AS61" s="2654"/>
      <c r="AT61" s="2654"/>
      <c r="AU61" s="2654"/>
      <c r="AV61" s="2654"/>
      <c r="AW61" s="2654"/>
      <c r="AX61" s="2654"/>
      <c r="AY61" s="2654"/>
      <c r="AZ61" s="2654"/>
      <c r="BA61" s="2654"/>
      <c r="BB61" s="2654"/>
      <c r="BC61" s="2654"/>
      <c r="BD61" s="2654"/>
      <c r="BE61" s="2654"/>
      <c r="BF61" s="2654"/>
      <c r="BG61" s="2654"/>
      <c r="BH61" s="2654"/>
      <c r="BI61" s="2654"/>
      <c r="BJ61" s="2654"/>
      <c r="BK61" s="2654"/>
      <c r="BL61" s="2654"/>
      <c r="BM61" s="2654"/>
      <c r="BN61" s="2654"/>
      <c r="BO61" s="2654"/>
      <c r="BP61" s="2654"/>
      <c r="BQ61" s="2654"/>
      <c r="BR61" s="2654"/>
      <c r="BS61" s="2654"/>
      <c r="BT61" s="2654"/>
      <c r="BU61" s="2654"/>
      <c r="BV61" s="2654"/>
      <c r="BW61" s="2654"/>
      <c r="BX61" s="2654"/>
    </row>
    <row r="62" spans="1:76" s="205" customFormat="1" ht="12.95" customHeight="1" thickTop="1"/>
    <row r="63" spans="1:76" ht="12.95" customHeight="1">
      <c r="A63" s="405" t="s">
        <v>589</v>
      </c>
      <c r="C63" s="206" t="s">
        <v>1247</v>
      </c>
      <c r="Y63" s="2646" t="s">
        <v>983</v>
      </c>
      <c r="Z63" s="2646"/>
      <c r="AA63" s="2646"/>
      <c r="AB63" s="2646"/>
      <c r="AC63" s="2646"/>
      <c r="AD63" s="2646" t="s">
        <v>368</v>
      </c>
      <c r="AE63" s="2646"/>
      <c r="AF63" s="2646"/>
      <c r="AG63" s="2646"/>
      <c r="AH63" s="2646"/>
    </row>
    <row r="64" spans="1:76" ht="12.95" customHeight="1">
      <c r="C64" s="405"/>
      <c r="D64" s="378" t="s">
        <v>1248</v>
      </c>
      <c r="E64" s="421"/>
      <c r="F64" s="421"/>
      <c r="G64" s="421"/>
      <c r="H64" s="421"/>
      <c r="I64" s="421"/>
      <c r="J64" s="421"/>
      <c r="K64" s="421"/>
      <c r="L64" s="421"/>
      <c r="M64" s="421"/>
      <c r="N64" s="421"/>
      <c r="O64" s="421"/>
      <c r="P64" s="421"/>
      <c r="Q64" s="421"/>
      <c r="R64" s="421"/>
      <c r="S64" s="421"/>
      <c r="T64" s="421"/>
      <c r="U64" s="421"/>
      <c r="V64" s="421"/>
      <c r="W64" s="421"/>
      <c r="X64" s="421"/>
      <c r="Y64" s="2647">
        <f>IF(Application!$Z$205="(select)",0,((T23*T27)+Y28))</f>
        <v>0</v>
      </c>
      <c r="Z64" s="2648"/>
      <c r="AA64" s="2648"/>
      <c r="AB64" s="2648"/>
      <c r="AC64" s="2649"/>
      <c r="AD64" s="2647">
        <f>IF(AND(OR(Application!D211="At-Risk",Application!D211="At-Risk and Special Needs"),Application!M358="yes"),AD28+AI28,0)</f>
        <v>0</v>
      </c>
      <c r="AE64" s="2648"/>
      <c r="AF64" s="2648"/>
      <c r="AG64" s="2648"/>
      <c r="AH64" s="2649"/>
    </row>
    <row r="65" spans="1:36" ht="12.95" customHeight="1">
      <c r="C65" s="405"/>
      <c r="E65" s="1018" t="s">
        <v>1847</v>
      </c>
      <c r="F65" s="440"/>
      <c r="G65" s="440"/>
      <c r="H65" s="440"/>
      <c r="I65" s="440"/>
      <c r="J65" s="440"/>
      <c r="K65" s="440"/>
      <c r="L65" s="440"/>
      <c r="M65" s="440"/>
      <c r="N65" s="440"/>
      <c r="O65" s="440"/>
      <c r="P65" s="440"/>
      <c r="Q65" s="440"/>
      <c r="R65" s="440"/>
      <c r="S65" s="440"/>
      <c r="T65" s="440"/>
      <c r="U65" s="440"/>
      <c r="V65" s="440"/>
      <c r="W65" s="440"/>
      <c r="X65" s="440"/>
      <c r="Y65" s="440"/>
      <c r="Z65" s="440"/>
      <c r="AA65" s="440"/>
      <c r="AB65" s="440"/>
      <c r="AC65" s="440"/>
      <c r="AD65" s="440"/>
      <c r="AE65" s="440"/>
      <c r="AF65" s="440"/>
      <c r="AG65" s="440"/>
      <c r="AH65" s="440"/>
      <c r="AI65" s="440"/>
      <c r="AJ65" s="440"/>
    </row>
    <row r="66" spans="1:36" ht="22.5" customHeight="1">
      <c r="C66" s="405"/>
      <c r="E66" s="1018" t="s">
        <v>1848</v>
      </c>
      <c r="F66" s="440"/>
      <c r="G66" s="440"/>
      <c r="H66" s="440"/>
      <c r="I66" s="440"/>
      <c r="J66" s="440"/>
      <c r="K66" s="440"/>
      <c r="L66" s="440"/>
      <c r="M66" s="440"/>
      <c r="N66" s="440"/>
      <c r="O66" s="440"/>
      <c r="P66" s="440"/>
      <c r="Q66" s="440"/>
      <c r="R66" s="440"/>
      <c r="S66" s="440"/>
      <c r="T66" s="440"/>
      <c r="U66" s="440"/>
      <c r="V66" s="440"/>
      <c r="W66" s="440"/>
      <c r="X66" s="440"/>
      <c r="Y66" s="440"/>
      <c r="Z66" s="440"/>
      <c r="AA66" s="440"/>
      <c r="AB66" s="440"/>
      <c r="AC66" s="440"/>
      <c r="AD66" s="440"/>
      <c r="AE66" s="440"/>
      <c r="AF66" s="440"/>
      <c r="AG66" s="440"/>
      <c r="AH66" s="440"/>
      <c r="AI66" s="440"/>
      <c r="AJ66" s="440"/>
    </row>
    <row r="67" spans="1:36" ht="12.95" customHeight="1">
      <c r="C67" s="405"/>
      <c r="D67" s="405" t="s">
        <v>269</v>
      </c>
      <c r="E67" s="422"/>
      <c r="F67" s="422"/>
      <c r="G67" s="422"/>
      <c r="H67" s="422"/>
      <c r="I67" s="422"/>
      <c r="J67" s="422"/>
      <c r="K67" s="422"/>
      <c r="L67" s="422"/>
      <c r="M67" s="422"/>
      <c r="N67" s="422"/>
      <c r="O67" s="422"/>
      <c r="P67" s="422"/>
      <c r="Q67" s="422"/>
      <c r="R67" s="422"/>
      <c r="S67" s="422"/>
      <c r="T67" s="422"/>
      <c r="U67" s="422"/>
      <c r="V67" s="422"/>
      <c r="W67" s="422"/>
      <c r="X67" s="422"/>
      <c r="Y67" s="2636" cm="1">
        <f t="array" ref="Y67">_xlfn.IFS(OR(Application!Z205="State Farmworker Credit",Application!Z205="$500M (Farmworker Housing)"),0.75,Application!Z205="15% set-aside",0.13,Application!Z205="15% set-aside with qualifying low value rehab",0.95,Application!Z205="$500M",0.3,TRUE,0)</f>
        <v>0</v>
      </c>
      <c r="Z67" s="2636"/>
      <c r="AA67" s="2636"/>
      <c r="AB67" s="2636"/>
      <c r="AC67" s="2636"/>
      <c r="AD67" s="2636" cm="1">
        <f t="array" ref="AD67">_xlfn.IFS(Application!Z205="15% set-aside with qualifying low value rehab", 0.95,OR(Application!D211="At-Risk",'Points System'!B13="Yes"),0.13,TRUE,0)</f>
        <v>0</v>
      </c>
      <c r="AE67" s="2636"/>
      <c r="AF67" s="2636"/>
      <c r="AG67" s="2636"/>
      <c r="AH67" s="2636"/>
    </row>
    <row r="68" spans="1:36" ht="12.95" customHeight="1">
      <c r="C68" s="405"/>
      <c r="D68" s="206" t="s">
        <v>2227</v>
      </c>
      <c r="Y68" s="2637">
        <f>ROUND(Y64*Y67,0)</f>
        <v>0</v>
      </c>
      <c r="Z68" s="2638"/>
      <c r="AA68" s="2638"/>
      <c r="AB68" s="2638"/>
      <c r="AC68" s="2638"/>
      <c r="AD68" s="2637">
        <f>ROUND(AD64*AD67,0)</f>
        <v>0</v>
      </c>
      <c r="AE68" s="2638"/>
      <c r="AF68" s="2638"/>
      <c r="AG68" s="2638"/>
      <c r="AH68" s="2638"/>
    </row>
    <row r="69" spans="1:36" ht="12.95" customHeight="1">
      <c r="C69" s="405"/>
      <c r="D69" s="206" t="s">
        <v>2228</v>
      </c>
      <c r="Y69" s="2637">
        <f>IF(OR(Application!Z205="State Farmworker Credit",Application!Z205="$500M (Farmworker Housing)"),Y68+AD68,MIN(Y68+AD68,200000*(Application!G753+Application!O777)))</f>
        <v>0</v>
      </c>
      <c r="Z69" s="2637"/>
      <c r="AA69" s="2637"/>
      <c r="AB69" s="2637"/>
      <c r="AC69" s="2637"/>
      <c r="AD69" s="2637"/>
      <c r="AE69" s="2637"/>
      <c r="AF69" s="2637"/>
      <c r="AG69" s="2637"/>
      <c r="AH69" s="2637"/>
    </row>
    <row r="70" spans="1:36" ht="12.95" customHeight="1">
      <c r="C70" s="405"/>
      <c r="E70" s="405"/>
      <c r="AB70" s="423"/>
      <c r="AC70" s="423"/>
      <c r="AD70" s="423"/>
      <c r="AE70" s="423"/>
      <c r="AF70" s="423"/>
    </row>
    <row r="71" spans="1:36" ht="12.95" customHeight="1">
      <c r="A71" s="405" t="s">
        <v>590</v>
      </c>
      <c r="C71" s="206" t="s">
        <v>283</v>
      </c>
    </row>
    <row r="72" spans="1:36" ht="12.95" customHeight="1">
      <c r="A72" s="405"/>
      <c r="C72" s="405"/>
      <c r="D72" s="206" t="s">
        <v>1249</v>
      </c>
      <c r="AB72" s="2639"/>
      <c r="AC72" s="2640"/>
      <c r="AD72" s="2640"/>
      <c r="AE72" s="2640"/>
      <c r="AF72" s="2641"/>
    </row>
    <row r="73" spans="1:36" ht="12.95" customHeight="1">
      <c r="A73" s="405"/>
      <c r="C73" s="405"/>
      <c r="D73" s="405"/>
      <c r="E73" s="2642" t="s">
        <v>1250</v>
      </c>
      <c r="F73" s="2642"/>
      <c r="G73" s="2642"/>
      <c r="H73" s="2642"/>
      <c r="I73" s="2642"/>
      <c r="J73" s="2642"/>
      <c r="K73" s="2642"/>
      <c r="L73" s="2642"/>
      <c r="M73" s="2642"/>
      <c r="N73" s="2642"/>
      <c r="O73" s="2642"/>
      <c r="P73" s="2642"/>
      <c r="Q73" s="2642"/>
      <c r="R73" s="2642"/>
      <c r="S73" s="2642"/>
      <c r="T73" s="2642"/>
      <c r="U73" s="2642"/>
      <c r="V73" s="2642"/>
      <c r="W73" s="2642"/>
      <c r="X73" s="2642"/>
      <c r="Y73" s="2642"/>
      <c r="Z73" s="2642"/>
      <c r="AA73" s="2642"/>
      <c r="AB73" s="439"/>
      <c r="AC73" s="439"/>
    </row>
    <row r="74" spans="1:36" ht="12.95" customHeight="1">
      <c r="A74" s="405"/>
      <c r="C74" s="405"/>
      <c r="D74" s="405"/>
      <c r="E74" s="2642"/>
      <c r="F74" s="2642"/>
      <c r="G74" s="2642"/>
      <c r="H74" s="2642"/>
      <c r="I74" s="2642"/>
      <c r="J74" s="2642"/>
      <c r="K74" s="2642"/>
      <c r="L74" s="2642"/>
      <c r="M74" s="2642"/>
      <c r="N74" s="2642"/>
      <c r="O74" s="2642"/>
      <c r="P74" s="2642"/>
      <c r="Q74" s="2642"/>
      <c r="R74" s="2642"/>
      <c r="S74" s="2642"/>
      <c r="T74" s="2642"/>
      <c r="U74" s="2642"/>
      <c r="V74" s="2642"/>
      <c r="W74" s="2642"/>
      <c r="X74" s="2642"/>
      <c r="Y74" s="2642"/>
      <c r="Z74" s="2642"/>
      <c r="AA74" s="2642"/>
      <c r="AB74" s="439"/>
      <c r="AC74" s="439"/>
    </row>
    <row r="75" spans="1:36" ht="12.95" customHeight="1">
      <c r="A75" s="405"/>
      <c r="C75" s="405"/>
      <c r="D75" s="405"/>
      <c r="E75" s="2642"/>
      <c r="F75" s="2642"/>
      <c r="G75" s="2642"/>
      <c r="H75" s="2642"/>
      <c r="I75" s="2642"/>
      <c r="J75" s="2642"/>
      <c r="K75" s="2642"/>
      <c r="L75" s="2642"/>
      <c r="M75" s="2642"/>
      <c r="N75" s="2642"/>
      <c r="O75" s="2642"/>
      <c r="P75" s="2642"/>
      <c r="Q75" s="2642"/>
      <c r="R75" s="2642"/>
      <c r="S75" s="2642"/>
      <c r="T75" s="2642"/>
      <c r="U75" s="2642"/>
      <c r="V75" s="2642"/>
      <c r="W75" s="2642"/>
      <c r="X75" s="2642"/>
      <c r="Y75" s="2642"/>
      <c r="Z75" s="2642"/>
      <c r="AA75" s="2642"/>
      <c r="AB75" s="439"/>
      <c r="AC75" s="439"/>
    </row>
    <row r="76" spans="1:36" ht="12.95" customHeight="1">
      <c r="A76" s="405"/>
      <c r="C76" s="405"/>
      <c r="D76" s="405"/>
      <c r="E76" s="425"/>
      <c r="F76" s="425"/>
      <c r="G76" s="425"/>
      <c r="H76" s="425"/>
      <c r="I76" s="425"/>
      <c r="J76" s="425"/>
      <c r="K76" s="425"/>
      <c r="L76" s="425"/>
      <c r="M76" s="425"/>
      <c r="N76" s="425"/>
      <c r="O76" s="425"/>
      <c r="P76" s="425"/>
      <c r="Q76" s="425"/>
      <c r="R76" s="425"/>
      <c r="S76" s="425"/>
      <c r="T76" s="425"/>
      <c r="U76" s="425"/>
      <c r="V76" s="425"/>
      <c r="W76" s="425"/>
      <c r="X76" s="425"/>
      <c r="Y76" s="425"/>
      <c r="Z76" s="425"/>
      <c r="AA76" s="361"/>
      <c r="AB76" s="361"/>
      <c r="AC76" s="361"/>
    </row>
    <row r="77" spans="1:36" ht="12.95" customHeight="1">
      <c r="C77" s="405"/>
      <c r="D77" s="206" t="s">
        <v>1251</v>
      </c>
      <c r="AB77" s="2630">
        <f>ROUND(IF(ISERROR((AB59/AB72)),0,(AB59/AB72)),0)</f>
        <v>0</v>
      </c>
      <c r="AC77" s="2630"/>
      <c r="AD77" s="2630"/>
      <c r="AE77" s="2630"/>
      <c r="AF77" s="2630"/>
    </row>
    <row r="78" spans="1:36" ht="12.95" customHeight="1">
      <c r="C78" s="405"/>
      <c r="D78" s="206" t="s">
        <v>1252</v>
      </c>
      <c r="AB78" s="2631">
        <f>ROUNDUP(MIN(Y69,AB77),0)</f>
        <v>0</v>
      </c>
      <c r="AC78" s="2632"/>
      <c r="AD78" s="2632"/>
      <c r="AE78" s="2632"/>
      <c r="AF78" s="2633"/>
    </row>
    <row r="79" spans="1:36" ht="12.95" customHeight="1">
      <c r="C79" s="405"/>
      <c r="D79" s="206" t="s">
        <v>1253</v>
      </c>
      <c r="AB79" s="2634">
        <f>AB78*AB72</f>
        <v>0</v>
      </c>
      <c r="AC79" s="2634"/>
      <c r="AD79" s="2634"/>
      <c r="AE79" s="2634"/>
      <c r="AF79" s="2634"/>
    </row>
    <row r="80" spans="1:36" ht="12.95" customHeight="1">
      <c r="C80" s="405"/>
      <c r="D80" s="405"/>
      <c r="AB80" s="426"/>
      <c r="AC80" s="426"/>
      <c r="AD80" s="426"/>
      <c r="AE80" s="426"/>
      <c r="AF80" s="426"/>
    </row>
    <row r="81" spans="1:78" ht="12.95" customHeight="1">
      <c r="D81" s="405" t="s">
        <v>754</v>
      </c>
      <c r="AB81" s="2635">
        <f>AB49-(AB57+AB79)</f>
        <v>0</v>
      </c>
      <c r="AC81" s="2635"/>
      <c r="AD81" s="2635"/>
      <c r="AE81" s="2635"/>
      <c r="AF81" s="2635"/>
    </row>
    <row r="82" spans="1:78" ht="12.95" customHeight="1">
      <c r="F82" s="523"/>
      <c r="J82" s="523" t="str">
        <f>IF(AB81&gt;0,"FUNDING GAP MUST NOT EXCEED ZERO","")</f>
        <v/>
      </c>
    </row>
    <row r="83" spans="1:78" ht="12.95" customHeight="1">
      <c r="D83" s="524"/>
    </row>
    <row r="84" spans="1:78" ht="12.95" customHeight="1" thickBot="1">
      <c r="A84" s="2654"/>
      <c r="B84" s="2654"/>
      <c r="C84" s="2654"/>
      <c r="D84" s="2654"/>
      <c r="E84" s="2654"/>
      <c r="F84" s="2654"/>
      <c r="G84" s="2654"/>
      <c r="H84" s="2654"/>
      <c r="I84" s="2654"/>
      <c r="J84" s="2654"/>
      <c r="K84" s="2654"/>
      <c r="L84" s="2654"/>
      <c r="M84" s="2654"/>
      <c r="N84" s="2654"/>
      <c r="O84" s="2654"/>
      <c r="P84" s="2654"/>
      <c r="Q84" s="2654"/>
      <c r="R84" s="2654"/>
      <c r="S84" s="2654"/>
      <c r="T84" s="2654"/>
      <c r="U84" s="2654"/>
      <c r="V84" s="2654"/>
      <c r="W84" s="2654"/>
      <c r="X84" s="2654"/>
      <c r="Y84" s="2654"/>
      <c r="Z84" s="2654"/>
      <c r="AA84" s="2654"/>
      <c r="AB84" s="2654"/>
      <c r="AC84" s="2654"/>
      <c r="AD84" s="2654"/>
      <c r="AE84" s="2654"/>
      <c r="AF84" s="2654"/>
      <c r="AG84" s="2654"/>
      <c r="AH84" s="2654"/>
      <c r="AI84" s="2654"/>
      <c r="AJ84" s="2654"/>
      <c r="AK84" s="2654"/>
      <c r="AL84" s="2654"/>
      <c r="AM84" s="2654"/>
      <c r="AN84" s="2654"/>
      <c r="AO84" s="2654"/>
      <c r="AP84" s="2654"/>
      <c r="AQ84" s="2654"/>
      <c r="AR84" s="2654"/>
      <c r="AS84" s="2654"/>
      <c r="AT84" s="2654"/>
      <c r="AU84" s="2654"/>
      <c r="AV84" s="2654"/>
      <c r="AW84" s="2654"/>
      <c r="AX84" s="2654"/>
      <c r="AY84" s="2654"/>
      <c r="AZ84" s="2654"/>
      <c r="BA84" s="2654"/>
      <c r="BB84" s="2654"/>
      <c r="BC84" s="2654"/>
      <c r="BD84" s="2654"/>
      <c r="BE84" s="2654"/>
      <c r="BF84" s="2654"/>
      <c r="BG84" s="2654"/>
      <c r="BH84" s="2654"/>
      <c r="BI84" s="2654"/>
      <c r="BJ84" s="2654"/>
      <c r="BK84" s="2654"/>
      <c r="BL84" s="2654"/>
      <c r="BM84" s="2654"/>
      <c r="BN84" s="2654"/>
      <c r="BO84" s="2654"/>
      <c r="BP84" s="2654"/>
      <c r="BQ84" s="2654"/>
      <c r="BR84" s="2654"/>
      <c r="BS84" s="2654"/>
      <c r="BT84" s="2654"/>
      <c r="BU84" s="2654"/>
      <c r="BV84" s="2654"/>
      <c r="BW84" s="2654"/>
      <c r="BX84" s="2654"/>
    </row>
    <row r="85" spans="1:78" ht="12.95" customHeight="1" thickTop="1"/>
    <row r="86" spans="1:78" ht="12.95" customHeight="1">
      <c r="A86" s="405"/>
      <c r="C86" s="206"/>
    </row>
    <row r="87" spans="1:78" ht="12.95" customHeight="1">
      <c r="D87" s="206"/>
      <c r="AB87" s="2686"/>
      <c r="AC87" s="2686"/>
      <c r="AD87" s="2686"/>
      <c r="AE87" s="2686"/>
      <c r="AF87" s="2686"/>
    </row>
    <row r="88" spans="1:78" ht="12.95" customHeight="1" thickBot="1">
      <c r="D88" s="206"/>
      <c r="AB88" s="2685"/>
      <c r="AC88" s="2685"/>
      <c r="AD88" s="2685"/>
      <c r="AE88" s="2685"/>
      <c r="AF88" s="2685"/>
      <c r="AO88" s="522"/>
      <c r="AP88" s="522"/>
      <c r="AQ88" s="522"/>
      <c r="AR88" s="522"/>
      <c r="AS88" s="522"/>
      <c r="AT88" s="522"/>
      <c r="AU88" s="522"/>
      <c r="AV88" s="522"/>
      <c r="AW88" s="522"/>
      <c r="AX88" s="522"/>
      <c r="AY88" s="522"/>
      <c r="AZ88" s="522"/>
      <c r="BA88" s="522"/>
      <c r="BB88" s="522"/>
      <c r="BC88" s="522"/>
      <c r="BD88" s="522"/>
      <c r="BE88" s="522"/>
      <c r="BF88" s="522"/>
      <c r="BG88" s="522"/>
      <c r="BH88" s="522"/>
      <c r="BI88" s="522"/>
      <c r="BJ88" s="522"/>
      <c r="BK88" s="522"/>
      <c r="BL88" s="522"/>
      <c r="BM88" s="522"/>
      <c r="BN88" s="522"/>
      <c r="BO88" s="522"/>
      <c r="BP88" s="522"/>
      <c r="BQ88" s="522"/>
      <c r="BR88" s="522"/>
      <c r="BS88" s="522"/>
      <c r="BT88" s="522"/>
      <c r="BU88" s="522"/>
      <c r="BV88" s="522"/>
      <c r="BW88" s="522"/>
      <c r="BX88" s="522"/>
      <c r="BY88" s="522"/>
      <c r="BZ88" s="522"/>
    </row>
    <row r="89" spans="1:78" ht="12.95" customHeight="1" thickTop="1"/>
  </sheetData>
  <sheetProtection algorithmName="SHA-512" hashValue="Ozp0JcLS8Ad+MKfIDKYwLzxgKer7KTR3Ibh34CcQ+GBsI2KA16dLqlCvW/JdYSPiMK3c0XBe2GNpB1jAf8ETrQ==" saltValue="OXZBnsgKaPChqpwQBRQHSw==" spinCount="100000" sheet="1" objects="1" scenarios="1"/>
  <mergeCells count="139">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7:AF77"/>
    <mergeCell ref="AB78:AF78"/>
    <mergeCell ref="AB79:AF79"/>
    <mergeCell ref="AB81:AF81"/>
    <mergeCell ref="Y67:AC67"/>
    <mergeCell ref="AD67:AH67"/>
    <mergeCell ref="Y68:AC68"/>
    <mergeCell ref="AD68:AH68"/>
    <mergeCell ref="AB72:AF72"/>
    <mergeCell ref="E73:AA75"/>
    <mergeCell ref="Y69:AH69"/>
  </mergeCells>
  <conditionalFormatting sqref="B18:B19">
    <cfRule type="expression" dxfId="3" priority="3">
      <formula>AND($T$18&gt;0,OR($C$18="",$C$18="Subtract (specify other ineligible amounts):"))</formula>
    </cfRule>
  </conditionalFormatting>
  <conditionalFormatting sqref="C18:S19">
    <cfRule type="expression" dxfId="2" priority="1">
      <formula>AND(T18&gt;0,OR(C18="",C18="Subtract (specify other ineligible amounts):"))</formula>
    </cfRule>
  </conditionalFormatting>
  <conditionalFormatting sqref="AB59:AF60 AB81:AF81">
    <cfRule type="cellIs" dxfId="1"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1"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workbookViewId="0">
      <selection activeCell="L32" sqref="L32"/>
    </sheetView>
  </sheetViews>
  <sheetFormatPr defaultColWidth="9.140625" defaultRowHeight="14.25" zeroHeight="1"/>
  <cols>
    <col min="1" max="2" width="15.7109375" style="305" customWidth="1"/>
    <col min="3" max="3" width="11" style="305" customWidth="1"/>
    <col min="4" max="4" width="15.7109375" style="305" customWidth="1"/>
    <col min="5" max="5" width="3.7109375" style="305" customWidth="1"/>
    <col min="6" max="7" width="15.7109375" style="305" customWidth="1"/>
    <col min="8" max="8" width="3.7109375" style="305" customWidth="1"/>
    <col min="9" max="10" width="15.7109375" style="305" customWidth="1"/>
    <col min="11" max="11" width="3.28515625" style="305" customWidth="1"/>
    <col min="12" max="17" width="15.7109375" style="305" customWidth="1"/>
    <col min="18" max="16384" width="9.140625" style="305"/>
  </cols>
  <sheetData>
    <row r="1" spans="1:12">
      <c r="A1" s="2693" t="s">
        <v>909</v>
      </c>
      <c r="B1" s="2693"/>
      <c r="C1" s="2693"/>
      <c r="D1" s="2693"/>
      <c r="E1" s="2693"/>
      <c r="F1" s="2693"/>
      <c r="G1" s="2693"/>
      <c r="H1" s="2693"/>
      <c r="I1" s="2693"/>
      <c r="J1" s="2693"/>
      <c r="K1" s="205"/>
      <c r="L1" s="205"/>
    </row>
    <row r="2" spans="1:12">
      <c r="A2" s="211"/>
      <c r="B2" s="211"/>
      <c r="C2" s="211"/>
      <c r="D2" s="211"/>
      <c r="E2" s="211"/>
      <c r="F2" s="211"/>
      <c r="G2" s="211"/>
      <c r="H2" s="211"/>
      <c r="I2" s="211"/>
      <c r="J2" s="211"/>
    </row>
    <row r="3" spans="1:12" ht="100.5">
      <c r="A3" s="427" t="s">
        <v>910</v>
      </c>
      <c r="B3" s="427" t="s">
        <v>2256</v>
      </c>
      <c r="C3" s="427" t="s">
        <v>2257</v>
      </c>
      <c r="D3" s="1148" t="s">
        <v>2258</v>
      </c>
      <c r="E3" s="205"/>
      <c r="F3" s="1148" t="s">
        <v>911</v>
      </c>
      <c r="G3" s="427" t="s">
        <v>912</v>
      </c>
      <c r="H3" s="428"/>
      <c r="I3" s="427" t="s">
        <v>913</v>
      </c>
      <c r="J3" s="427" t="s">
        <v>914</v>
      </c>
      <c r="K3" s="205"/>
      <c r="L3" s="306"/>
    </row>
    <row r="4" spans="1:12">
      <c r="A4" s="429" t="str">
        <f>Application!B718</f>
        <v>SRO/Studio</v>
      </c>
      <c r="B4" s="1084">
        <f>Application!G718</f>
        <v>24</v>
      </c>
      <c r="C4" s="1164"/>
      <c r="D4" s="429">
        <f>Application!O718</f>
        <v>728</v>
      </c>
      <c r="E4" s="430"/>
      <c r="F4" s="1085"/>
      <c r="G4" s="429">
        <f>F4*B4</f>
        <v>0</v>
      </c>
      <c r="H4" s="430"/>
      <c r="I4" s="429" t="str">
        <f t="shared" ref="I4:I27" si="0">IF(F4=0,"",(F4-D4))</f>
        <v/>
      </c>
      <c r="J4" s="429" t="str">
        <f t="shared" ref="J4:J27" si="1">IF(F4=0,"",(I4*B4))</f>
        <v/>
      </c>
      <c r="K4" s="205"/>
      <c r="L4" s="306"/>
    </row>
    <row r="5" spans="1:12">
      <c r="A5" s="429" t="str">
        <f>Application!B719</f>
        <v>SRO/Studio</v>
      </c>
      <c r="B5" s="1084">
        <f>Application!G719</f>
        <v>24</v>
      </c>
      <c r="C5" s="1164"/>
      <c r="D5" s="429">
        <f>Application!O719</f>
        <v>1213</v>
      </c>
      <c r="E5" s="430"/>
      <c r="F5" s="1085"/>
      <c r="G5" s="429">
        <f t="shared" ref="G5:G38" si="2">F5*B5</f>
        <v>0</v>
      </c>
      <c r="H5" s="430"/>
      <c r="I5" s="429" t="str">
        <f t="shared" si="0"/>
        <v/>
      </c>
      <c r="J5" s="429" t="str">
        <f t="shared" si="1"/>
        <v/>
      </c>
      <c r="K5" s="205"/>
      <c r="L5" s="306"/>
    </row>
    <row r="6" spans="1:12">
      <c r="A6" s="429" t="str">
        <f>Application!B720</f>
        <v>SRO/Studio</v>
      </c>
      <c r="B6" s="1084">
        <f>Application!G720</f>
        <v>53</v>
      </c>
      <c r="C6" s="1164"/>
      <c r="D6" s="429">
        <f>Application!O720</f>
        <v>1456</v>
      </c>
      <c r="E6" s="430"/>
      <c r="F6" s="1085"/>
      <c r="G6" s="429">
        <f t="shared" si="2"/>
        <v>0</v>
      </c>
      <c r="H6" s="430"/>
      <c r="I6" s="429" t="str">
        <f t="shared" si="0"/>
        <v/>
      </c>
      <c r="J6" s="429" t="str">
        <f t="shared" si="1"/>
        <v/>
      </c>
      <c r="K6" s="205"/>
      <c r="L6" s="306"/>
    </row>
    <row r="7" spans="1:12">
      <c r="A7" s="429" t="str">
        <f>Application!B721</f>
        <v>1 Bedroom</v>
      </c>
      <c r="B7" s="1084">
        <f>Application!G721</f>
        <v>36</v>
      </c>
      <c r="C7" s="1164"/>
      <c r="D7" s="429">
        <f>Application!O721</f>
        <v>1560</v>
      </c>
      <c r="E7" s="430"/>
      <c r="F7" s="1085"/>
      <c r="G7" s="429">
        <f t="shared" si="2"/>
        <v>0</v>
      </c>
      <c r="H7" s="430"/>
      <c r="I7" s="429" t="str">
        <f t="shared" si="0"/>
        <v/>
      </c>
      <c r="J7" s="429" t="str">
        <f t="shared" si="1"/>
        <v/>
      </c>
      <c r="K7" s="205"/>
      <c r="L7" s="306"/>
    </row>
    <row r="8" spans="1:12">
      <c r="A8" s="429" t="str">
        <f>Application!B722</f>
        <v>2 Bedrooms</v>
      </c>
      <c r="B8" s="1084">
        <f>Application!G722</f>
        <v>37</v>
      </c>
      <c r="C8" s="1164"/>
      <c r="D8" s="429">
        <f>Application!O722</f>
        <v>1872</v>
      </c>
      <c r="E8" s="430"/>
      <c r="F8" s="1085"/>
      <c r="G8" s="429">
        <f t="shared" si="2"/>
        <v>0</v>
      </c>
      <c r="H8" s="430"/>
      <c r="I8" s="429" t="str">
        <f t="shared" si="0"/>
        <v/>
      </c>
      <c r="J8" s="429" t="str">
        <f t="shared" si="1"/>
        <v/>
      </c>
      <c r="K8" s="205"/>
      <c r="L8" s="306"/>
    </row>
    <row r="9" spans="1:12">
      <c r="A9" s="429" t="str">
        <f>Application!B723</f>
        <v>2 Bedrooms</v>
      </c>
      <c r="B9" s="1084">
        <f>Application!G723</f>
        <v>56</v>
      </c>
      <c r="C9" s="1164"/>
      <c r="D9" s="429">
        <f>Application!O723</f>
        <v>2184</v>
      </c>
      <c r="E9" s="430"/>
      <c r="F9" s="1085"/>
      <c r="G9" s="429">
        <f t="shared" si="2"/>
        <v>0</v>
      </c>
      <c r="H9" s="430"/>
      <c r="I9" s="429" t="str">
        <f t="shared" si="0"/>
        <v/>
      </c>
      <c r="J9" s="429" t="str">
        <f t="shared" si="1"/>
        <v/>
      </c>
      <c r="K9" s="205"/>
      <c r="L9" s="306"/>
    </row>
    <row r="10" spans="1:12">
      <c r="A10" s="429">
        <f>Application!B724</f>
        <v>0</v>
      </c>
      <c r="B10" s="1084">
        <f>Application!G724</f>
        <v>0</v>
      </c>
      <c r="C10" s="1164"/>
      <c r="D10" s="429">
        <f>Application!O724</f>
        <v>0</v>
      </c>
      <c r="E10" s="430"/>
      <c r="F10" s="1085"/>
      <c r="G10" s="429">
        <f t="shared" si="2"/>
        <v>0</v>
      </c>
      <c r="H10" s="430"/>
      <c r="I10" s="429" t="str">
        <f t="shared" si="0"/>
        <v/>
      </c>
      <c r="J10" s="429" t="str">
        <f t="shared" si="1"/>
        <v/>
      </c>
      <c r="K10" s="205"/>
      <c r="L10" s="306"/>
    </row>
    <row r="11" spans="1:12">
      <c r="A11" s="429">
        <f>Application!B725</f>
        <v>0</v>
      </c>
      <c r="B11" s="1084">
        <f>Application!G725</f>
        <v>0</v>
      </c>
      <c r="C11" s="1164"/>
      <c r="D11" s="429">
        <f>Application!O725</f>
        <v>0</v>
      </c>
      <c r="E11" s="430"/>
      <c r="F11" s="1085"/>
      <c r="G11" s="429">
        <f t="shared" si="2"/>
        <v>0</v>
      </c>
      <c r="H11" s="430"/>
      <c r="I11" s="429" t="str">
        <f t="shared" si="0"/>
        <v/>
      </c>
      <c r="J11" s="429" t="str">
        <f t="shared" si="1"/>
        <v/>
      </c>
      <c r="K11" s="205"/>
      <c r="L11" s="306"/>
    </row>
    <row r="12" spans="1:12">
      <c r="A12" s="429">
        <f>Application!B726</f>
        <v>0</v>
      </c>
      <c r="B12" s="1084">
        <f>Application!G726</f>
        <v>0</v>
      </c>
      <c r="C12" s="1164"/>
      <c r="D12" s="429">
        <f>Application!O726</f>
        <v>0</v>
      </c>
      <c r="E12" s="430"/>
      <c r="F12" s="1085"/>
      <c r="G12" s="429">
        <f t="shared" si="2"/>
        <v>0</v>
      </c>
      <c r="H12" s="430"/>
      <c r="I12" s="429" t="str">
        <f t="shared" si="0"/>
        <v/>
      </c>
      <c r="J12" s="429" t="str">
        <f t="shared" si="1"/>
        <v/>
      </c>
      <c r="K12" s="205"/>
      <c r="L12" s="306"/>
    </row>
    <row r="13" spans="1:12">
      <c r="A13" s="429">
        <f>Application!B727</f>
        <v>0</v>
      </c>
      <c r="B13" s="1084">
        <f>Application!G727</f>
        <v>0</v>
      </c>
      <c r="C13" s="1164"/>
      <c r="D13" s="429">
        <f>Application!O727</f>
        <v>0</v>
      </c>
      <c r="E13" s="430"/>
      <c r="F13" s="1085"/>
      <c r="G13" s="429">
        <f t="shared" si="2"/>
        <v>0</v>
      </c>
      <c r="H13" s="430"/>
      <c r="I13" s="429" t="str">
        <f t="shared" si="0"/>
        <v/>
      </c>
      <c r="J13" s="429" t="str">
        <f t="shared" si="1"/>
        <v/>
      </c>
      <c r="K13" s="205"/>
      <c r="L13" s="306"/>
    </row>
    <row r="14" spans="1:12">
      <c r="A14" s="429">
        <f>Application!B728</f>
        <v>0</v>
      </c>
      <c r="B14" s="1084">
        <f>Application!G728</f>
        <v>0</v>
      </c>
      <c r="C14" s="1164"/>
      <c r="D14" s="429">
        <f>Application!O728</f>
        <v>0</v>
      </c>
      <c r="E14" s="430"/>
      <c r="F14" s="1085"/>
      <c r="G14" s="429">
        <f t="shared" si="2"/>
        <v>0</v>
      </c>
      <c r="H14" s="430"/>
      <c r="I14" s="429" t="str">
        <f t="shared" si="0"/>
        <v/>
      </c>
      <c r="J14" s="429" t="str">
        <f t="shared" si="1"/>
        <v/>
      </c>
      <c r="K14" s="205"/>
      <c r="L14" s="306"/>
    </row>
    <row r="15" spans="1:12">
      <c r="A15" s="429">
        <f>Application!B729</f>
        <v>0</v>
      </c>
      <c r="B15" s="1084">
        <f>Application!G729</f>
        <v>0</v>
      </c>
      <c r="C15" s="1164"/>
      <c r="D15" s="429">
        <f>Application!O729</f>
        <v>0</v>
      </c>
      <c r="E15" s="430"/>
      <c r="F15" s="1085"/>
      <c r="G15" s="429">
        <f t="shared" si="2"/>
        <v>0</v>
      </c>
      <c r="H15" s="430"/>
      <c r="I15" s="429" t="str">
        <f t="shared" si="0"/>
        <v/>
      </c>
      <c r="J15" s="429" t="str">
        <f t="shared" si="1"/>
        <v/>
      </c>
      <c r="K15" s="205"/>
      <c r="L15" s="306"/>
    </row>
    <row r="16" spans="1:12">
      <c r="A16" s="429">
        <f>Application!B730</f>
        <v>0</v>
      </c>
      <c r="B16" s="1084">
        <f>Application!G730</f>
        <v>0</v>
      </c>
      <c r="C16" s="1164"/>
      <c r="D16" s="429">
        <f>Application!O730</f>
        <v>0</v>
      </c>
      <c r="E16" s="430"/>
      <c r="F16" s="1085"/>
      <c r="G16" s="429">
        <f t="shared" si="2"/>
        <v>0</v>
      </c>
      <c r="H16" s="430"/>
      <c r="I16" s="429" t="str">
        <f t="shared" si="0"/>
        <v/>
      </c>
      <c r="J16" s="429" t="str">
        <f t="shared" si="1"/>
        <v/>
      </c>
      <c r="K16" s="205"/>
      <c r="L16" s="306"/>
    </row>
    <row r="17" spans="1:12">
      <c r="A17" s="429">
        <f>Application!B731</f>
        <v>0</v>
      </c>
      <c r="B17" s="1084">
        <f>Application!G731</f>
        <v>0</v>
      </c>
      <c r="C17" s="1164"/>
      <c r="D17" s="429">
        <f>Application!O731</f>
        <v>0</v>
      </c>
      <c r="E17" s="430"/>
      <c r="F17" s="1085"/>
      <c r="G17" s="429">
        <f t="shared" si="2"/>
        <v>0</v>
      </c>
      <c r="H17" s="430"/>
      <c r="I17" s="429" t="str">
        <f t="shared" si="0"/>
        <v/>
      </c>
      <c r="J17" s="429" t="str">
        <f t="shared" si="1"/>
        <v/>
      </c>
      <c r="K17" s="205"/>
      <c r="L17" s="306"/>
    </row>
    <row r="18" spans="1:12">
      <c r="A18" s="429">
        <f>Application!B732</f>
        <v>0</v>
      </c>
      <c r="B18" s="1084">
        <f>Application!G732</f>
        <v>0</v>
      </c>
      <c r="C18" s="1164"/>
      <c r="D18" s="429">
        <f>Application!O732</f>
        <v>0</v>
      </c>
      <c r="E18" s="430"/>
      <c r="F18" s="1085"/>
      <c r="G18" s="429">
        <f t="shared" si="2"/>
        <v>0</v>
      </c>
      <c r="H18" s="430"/>
      <c r="I18" s="429" t="str">
        <f t="shared" si="0"/>
        <v/>
      </c>
      <c r="J18" s="429" t="str">
        <f t="shared" si="1"/>
        <v/>
      </c>
      <c r="K18" s="205"/>
      <c r="L18" s="306"/>
    </row>
    <row r="19" spans="1:12">
      <c r="A19" s="429">
        <f>Application!B733</f>
        <v>0</v>
      </c>
      <c r="B19" s="1084">
        <f>Application!G733</f>
        <v>0</v>
      </c>
      <c r="C19" s="1164"/>
      <c r="D19" s="429">
        <f>Application!O733</f>
        <v>0</v>
      </c>
      <c r="E19" s="430"/>
      <c r="F19" s="1085"/>
      <c r="G19" s="429">
        <f t="shared" si="2"/>
        <v>0</v>
      </c>
      <c r="H19" s="430"/>
      <c r="I19" s="429" t="str">
        <f t="shared" si="0"/>
        <v/>
      </c>
      <c r="J19" s="429" t="str">
        <f t="shared" si="1"/>
        <v/>
      </c>
      <c r="K19" s="205"/>
      <c r="L19" s="306"/>
    </row>
    <row r="20" spans="1:12">
      <c r="A20" s="429">
        <f>Application!B734</f>
        <v>0</v>
      </c>
      <c r="B20" s="1084">
        <f>Application!G734</f>
        <v>0</v>
      </c>
      <c r="C20" s="1164"/>
      <c r="D20" s="429">
        <f>Application!O734</f>
        <v>0</v>
      </c>
      <c r="E20" s="430"/>
      <c r="F20" s="1085"/>
      <c r="G20" s="429">
        <f t="shared" si="2"/>
        <v>0</v>
      </c>
      <c r="H20" s="430"/>
      <c r="I20" s="429" t="str">
        <f t="shared" si="0"/>
        <v/>
      </c>
      <c r="J20" s="429" t="str">
        <f t="shared" si="1"/>
        <v/>
      </c>
      <c r="K20" s="205"/>
      <c r="L20" s="306"/>
    </row>
    <row r="21" spans="1:12">
      <c r="A21" s="429">
        <f>Application!B735</f>
        <v>0</v>
      </c>
      <c r="B21" s="1084">
        <f>Application!G735</f>
        <v>0</v>
      </c>
      <c r="C21" s="1164"/>
      <c r="D21" s="429">
        <f>Application!O735</f>
        <v>0</v>
      </c>
      <c r="E21" s="430"/>
      <c r="F21" s="1085"/>
      <c r="G21" s="429">
        <f t="shared" si="2"/>
        <v>0</v>
      </c>
      <c r="H21" s="430"/>
      <c r="I21" s="429" t="str">
        <f t="shared" si="0"/>
        <v/>
      </c>
      <c r="J21" s="429" t="str">
        <f t="shared" si="1"/>
        <v/>
      </c>
      <c r="K21" s="205"/>
      <c r="L21" s="306"/>
    </row>
    <row r="22" spans="1:12">
      <c r="A22" s="429">
        <f>Application!B736</f>
        <v>0</v>
      </c>
      <c r="B22" s="1084">
        <f>Application!G736</f>
        <v>0</v>
      </c>
      <c r="C22" s="1164"/>
      <c r="D22" s="429">
        <f>Application!O736</f>
        <v>0</v>
      </c>
      <c r="E22" s="430"/>
      <c r="F22" s="1085"/>
      <c r="G22" s="429">
        <f t="shared" si="2"/>
        <v>0</v>
      </c>
      <c r="H22" s="430"/>
      <c r="I22" s="429" t="str">
        <f t="shared" si="0"/>
        <v/>
      </c>
      <c r="J22" s="429" t="str">
        <f t="shared" si="1"/>
        <v/>
      </c>
      <c r="K22" s="205"/>
      <c r="L22" s="306"/>
    </row>
    <row r="23" spans="1:12">
      <c r="A23" s="429">
        <f>Application!B737</f>
        <v>0</v>
      </c>
      <c r="B23" s="1084">
        <f>Application!G737</f>
        <v>0</v>
      </c>
      <c r="C23" s="1164"/>
      <c r="D23" s="429">
        <f>Application!O737</f>
        <v>0</v>
      </c>
      <c r="E23" s="430"/>
      <c r="F23" s="1085"/>
      <c r="G23" s="429">
        <f t="shared" si="2"/>
        <v>0</v>
      </c>
      <c r="H23" s="430"/>
      <c r="I23" s="429" t="str">
        <f t="shared" si="0"/>
        <v/>
      </c>
      <c r="J23" s="429" t="str">
        <f t="shared" si="1"/>
        <v/>
      </c>
      <c r="K23" s="205"/>
      <c r="L23" s="306"/>
    </row>
    <row r="24" spans="1:12">
      <c r="A24" s="429">
        <f>Application!B738</f>
        <v>0</v>
      </c>
      <c r="B24" s="1084">
        <f>Application!G738</f>
        <v>0</v>
      </c>
      <c r="C24" s="1164"/>
      <c r="D24" s="429">
        <f>Application!O738</f>
        <v>0</v>
      </c>
      <c r="E24" s="430"/>
      <c r="F24" s="1085"/>
      <c r="G24" s="429">
        <f t="shared" si="2"/>
        <v>0</v>
      </c>
      <c r="H24" s="430"/>
      <c r="I24" s="429" t="str">
        <f t="shared" si="0"/>
        <v/>
      </c>
      <c r="J24" s="429" t="str">
        <f t="shared" si="1"/>
        <v/>
      </c>
      <c r="K24" s="205"/>
      <c r="L24" s="306"/>
    </row>
    <row r="25" spans="1:12">
      <c r="A25" s="429">
        <f>Application!B739</f>
        <v>0</v>
      </c>
      <c r="B25" s="1084">
        <f>Application!G739</f>
        <v>0</v>
      </c>
      <c r="C25" s="1164"/>
      <c r="D25" s="429">
        <f>Application!O739</f>
        <v>0</v>
      </c>
      <c r="E25" s="430"/>
      <c r="F25" s="1085"/>
      <c r="G25" s="429">
        <f t="shared" si="2"/>
        <v>0</v>
      </c>
      <c r="H25" s="430"/>
      <c r="I25" s="429" t="str">
        <f t="shared" si="0"/>
        <v/>
      </c>
      <c r="J25" s="429" t="str">
        <f t="shared" si="1"/>
        <v/>
      </c>
      <c r="K25" s="205"/>
      <c r="L25" s="306"/>
    </row>
    <row r="26" spans="1:12">
      <c r="A26" s="429">
        <f>Application!B740</f>
        <v>0</v>
      </c>
      <c r="B26" s="1084">
        <f>Application!G740</f>
        <v>0</v>
      </c>
      <c r="C26" s="1164"/>
      <c r="D26" s="429">
        <f>Application!O740</f>
        <v>0</v>
      </c>
      <c r="E26" s="430"/>
      <c r="F26" s="1085"/>
      <c r="G26" s="429">
        <f t="shared" si="2"/>
        <v>0</v>
      </c>
      <c r="H26" s="430"/>
      <c r="I26" s="429" t="str">
        <f t="shared" si="0"/>
        <v/>
      </c>
      <c r="J26" s="429" t="str">
        <f t="shared" si="1"/>
        <v/>
      </c>
      <c r="K26" s="205"/>
      <c r="L26" s="306"/>
    </row>
    <row r="27" spans="1:12">
      <c r="A27" s="429">
        <f>Application!B741</f>
        <v>0</v>
      </c>
      <c r="B27" s="1084">
        <f>Application!G741</f>
        <v>0</v>
      </c>
      <c r="C27" s="1164"/>
      <c r="D27" s="429">
        <f>Application!O741</f>
        <v>0</v>
      </c>
      <c r="E27" s="430"/>
      <c r="F27" s="1085"/>
      <c r="G27" s="429">
        <f t="shared" si="2"/>
        <v>0</v>
      </c>
      <c r="H27" s="430"/>
      <c r="I27" s="429" t="str">
        <f t="shared" si="0"/>
        <v/>
      </c>
      <c r="J27" s="429" t="str">
        <f t="shared" si="1"/>
        <v/>
      </c>
      <c r="K27" s="205"/>
      <c r="L27" s="306"/>
    </row>
    <row r="28" spans="1:12">
      <c r="A28" s="429">
        <f>Application!B742</f>
        <v>0</v>
      </c>
      <c r="B28" s="1084">
        <f>Application!G742</f>
        <v>0</v>
      </c>
      <c r="C28" s="1164"/>
      <c r="D28" s="429">
        <f>Application!O742</f>
        <v>0</v>
      </c>
      <c r="E28" s="430"/>
      <c r="F28" s="1085"/>
      <c r="G28" s="429">
        <f t="shared" si="2"/>
        <v>0</v>
      </c>
      <c r="H28" s="430"/>
      <c r="I28" s="429" t="str">
        <f t="shared" ref="I28:I37" si="3">IF(F28=0,"",(F28-D28))</f>
        <v/>
      </c>
      <c r="J28" s="429" t="str">
        <f t="shared" ref="J28:J37" si="4">IF(F28=0,"",(I28*B28))</f>
        <v/>
      </c>
      <c r="K28" s="205"/>
      <c r="L28" s="306"/>
    </row>
    <row r="29" spans="1:12">
      <c r="A29" s="429">
        <f>Application!B743</f>
        <v>0</v>
      </c>
      <c r="B29" s="1084">
        <f>Application!G743</f>
        <v>0</v>
      </c>
      <c r="C29" s="1164"/>
      <c r="D29" s="429">
        <f>Application!O743</f>
        <v>0</v>
      </c>
      <c r="E29" s="430"/>
      <c r="F29" s="1085"/>
      <c r="G29" s="429">
        <f t="shared" si="2"/>
        <v>0</v>
      </c>
      <c r="H29" s="430"/>
      <c r="I29" s="429" t="str">
        <f t="shared" si="3"/>
        <v/>
      </c>
      <c r="J29" s="429" t="str">
        <f t="shared" si="4"/>
        <v/>
      </c>
      <c r="K29" s="205"/>
      <c r="L29" s="306"/>
    </row>
    <row r="30" spans="1:12">
      <c r="A30" s="429">
        <f>Application!B744</f>
        <v>0</v>
      </c>
      <c r="B30" s="1084">
        <f>Application!G744</f>
        <v>0</v>
      </c>
      <c r="C30" s="1164"/>
      <c r="D30" s="429">
        <f>Application!O744</f>
        <v>0</v>
      </c>
      <c r="E30" s="430"/>
      <c r="F30" s="1085"/>
      <c r="G30" s="429">
        <f t="shared" si="2"/>
        <v>0</v>
      </c>
      <c r="H30" s="430"/>
      <c r="I30" s="429" t="str">
        <f t="shared" si="3"/>
        <v/>
      </c>
      <c r="J30" s="429" t="str">
        <f t="shared" si="4"/>
        <v/>
      </c>
      <c r="K30" s="205"/>
      <c r="L30" s="306"/>
    </row>
    <row r="31" spans="1:12">
      <c r="A31" s="429">
        <f>Application!B745</f>
        <v>0</v>
      </c>
      <c r="B31" s="1084">
        <f>Application!G745</f>
        <v>0</v>
      </c>
      <c r="C31" s="1164"/>
      <c r="D31" s="429">
        <f>Application!O745</f>
        <v>0</v>
      </c>
      <c r="E31" s="430"/>
      <c r="F31" s="1085"/>
      <c r="G31" s="429">
        <f t="shared" si="2"/>
        <v>0</v>
      </c>
      <c r="H31" s="430"/>
      <c r="I31" s="429" t="str">
        <f t="shared" si="3"/>
        <v/>
      </c>
      <c r="J31" s="429" t="str">
        <f t="shared" si="4"/>
        <v/>
      </c>
      <c r="K31" s="205"/>
      <c r="L31" s="306"/>
    </row>
    <row r="32" spans="1:12">
      <c r="A32" s="429">
        <f>Application!B746</f>
        <v>0</v>
      </c>
      <c r="B32" s="1084">
        <f>Application!G746</f>
        <v>0</v>
      </c>
      <c r="C32" s="1164"/>
      <c r="D32" s="429">
        <f>Application!O746</f>
        <v>0</v>
      </c>
      <c r="E32" s="430"/>
      <c r="F32" s="1085"/>
      <c r="G32" s="429">
        <f t="shared" si="2"/>
        <v>0</v>
      </c>
      <c r="H32" s="430"/>
      <c r="I32" s="429" t="str">
        <f t="shared" si="3"/>
        <v/>
      </c>
      <c r="J32" s="429" t="str">
        <f t="shared" si="4"/>
        <v/>
      </c>
      <c r="K32" s="205"/>
      <c r="L32" s="306"/>
    </row>
    <row r="33" spans="1:12">
      <c r="A33" s="429">
        <f>Application!B747</f>
        <v>0</v>
      </c>
      <c r="B33" s="1084">
        <f>Application!G747</f>
        <v>0</v>
      </c>
      <c r="C33" s="1164"/>
      <c r="D33" s="429">
        <f>Application!O747</f>
        <v>0</v>
      </c>
      <c r="E33" s="430"/>
      <c r="F33" s="1085"/>
      <c r="G33" s="429">
        <f t="shared" si="2"/>
        <v>0</v>
      </c>
      <c r="H33" s="430"/>
      <c r="I33" s="429" t="str">
        <f t="shared" si="3"/>
        <v/>
      </c>
      <c r="J33" s="429" t="str">
        <f t="shared" si="4"/>
        <v/>
      </c>
      <c r="K33" s="205"/>
      <c r="L33" s="306"/>
    </row>
    <row r="34" spans="1:12">
      <c r="A34" s="429">
        <f>Application!B748</f>
        <v>0</v>
      </c>
      <c r="B34" s="1084">
        <f>Application!G748</f>
        <v>0</v>
      </c>
      <c r="C34" s="1164"/>
      <c r="D34" s="429">
        <f>Application!O748</f>
        <v>0</v>
      </c>
      <c r="E34" s="430"/>
      <c r="F34" s="1085"/>
      <c r="G34" s="429">
        <f t="shared" si="2"/>
        <v>0</v>
      </c>
      <c r="H34" s="430"/>
      <c r="I34" s="429" t="str">
        <f t="shared" si="3"/>
        <v/>
      </c>
      <c r="J34" s="429" t="str">
        <f t="shared" si="4"/>
        <v/>
      </c>
      <c r="K34" s="205"/>
      <c r="L34" s="306"/>
    </row>
    <row r="35" spans="1:12">
      <c r="A35" s="429">
        <f>Application!B749</f>
        <v>0</v>
      </c>
      <c r="B35" s="1084">
        <f>Application!G749</f>
        <v>0</v>
      </c>
      <c r="C35" s="1164"/>
      <c r="D35" s="429">
        <f>Application!O749</f>
        <v>0</v>
      </c>
      <c r="E35" s="430"/>
      <c r="F35" s="1085"/>
      <c r="G35" s="429">
        <f t="shared" si="2"/>
        <v>0</v>
      </c>
      <c r="H35" s="430"/>
      <c r="I35" s="429" t="str">
        <f t="shared" si="3"/>
        <v/>
      </c>
      <c r="J35" s="429" t="str">
        <f t="shared" si="4"/>
        <v/>
      </c>
      <c r="K35" s="205"/>
      <c r="L35" s="306"/>
    </row>
    <row r="36" spans="1:12">
      <c r="A36" s="429">
        <f>Application!B750</f>
        <v>0</v>
      </c>
      <c r="B36" s="1084">
        <f>Application!G750</f>
        <v>0</v>
      </c>
      <c r="C36" s="1164"/>
      <c r="D36" s="429">
        <f>Application!O750</f>
        <v>0</v>
      </c>
      <c r="E36" s="430"/>
      <c r="F36" s="1085"/>
      <c r="G36" s="429">
        <f t="shared" si="2"/>
        <v>0</v>
      </c>
      <c r="H36" s="430"/>
      <c r="I36" s="429" t="str">
        <f t="shared" si="3"/>
        <v/>
      </c>
      <c r="J36" s="429" t="str">
        <f t="shared" si="4"/>
        <v/>
      </c>
      <c r="K36" s="205"/>
      <c r="L36" s="306"/>
    </row>
    <row r="37" spans="1:12">
      <c r="A37" s="429">
        <f>Application!B751</f>
        <v>0</v>
      </c>
      <c r="B37" s="1084">
        <f>Application!G751</f>
        <v>0</v>
      </c>
      <c r="C37" s="1164"/>
      <c r="D37" s="429">
        <f>Application!O751</f>
        <v>0</v>
      </c>
      <c r="E37" s="430"/>
      <c r="F37" s="1085"/>
      <c r="G37" s="429">
        <f t="shared" si="2"/>
        <v>0</v>
      </c>
      <c r="H37" s="430"/>
      <c r="I37" s="429" t="str">
        <f t="shared" si="3"/>
        <v/>
      </c>
      <c r="J37" s="429" t="str">
        <f t="shared" si="4"/>
        <v/>
      </c>
      <c r="K37" s="205"/>
      <c r="L37" s="306"/>
    </row>
    <row r="38" spans="1:12">
      <c r="A38" s="429">
        <f>Application!B752</f>
        <v>0</v>
      </c>
      <c r="B38" s="1084">
        <f>Application!G752</f>
        <v>0</v>
      </c>
      <c r="C38" s="1164"/>
      <c r="D38" s="429">
        <f>Application!O752</f>
        <v>0</v>
      </c>
      <c r="E38" s="430"/>
      <c r="F38" s="1085"/>
      <c r="G38" s="429">
        <f t="shared" si="2"/>
        <v>0</v>
      </c>
      <c r="H38" s="430"/>
      <c r="I38" s="429" t="str">
        <f>IF(F38=0,"",(F38-D38))</f>
        <v/>
      </c>
      <c r="J38" s="429" t="str">
        <f>IF(F38=0,"",(I38*B38))</f>
        <v/>
      </c>
      <c r="K38" s="205"/>
      <c r="L38" s="306"/>
    </row>
    <row r="39" spans="1:12">
      <c r="A39" s="205"/>
      <c r="B39" s="205"/>
      <c r="C39" s="205"/>
      <c r="D39" s="430"/>
      <c r="E39" s="430"/>
      <c r="F39" s="430"/>
      <c r="G39" s="430"/>
      <c r="H39" s="430"/>
      <c r="I39" s="430"/>
      <c r="J39" s="205"/>
      <c r="K39" s="205"/>
      <c r="L39" s="306"/>
    </row>
    <row r="40" spans="1:12" ht="15">
      <c r="A40" s="431" t="s">
        <v>915</v>
      </c>
      <c r="B40" s="432"/>
      <c r="C40" s="432"/>
      <c r="D40" s="433">
        <f>Application!O753</f>
        <v>371480</v>
      </c>
      <c r="E40" s="430"/>
      <c r="F40" s="430"/>
      <c r="G40" s="433">
        <f>SUM(G4:G38)*12</f>
        <v>0</v>
      </c>
      <c r="H40" s="434"/>
      <c r="I40" s="432"/>
      <c r="J40" s="433">
        <f>SUM(J4:J38)*12</f>
        <v>0</v>
      </c>
      <c r="K40" s="205"/>
      <c r="L40" s="307"/>
    </row>
    <row r="41" spans="1:12" ht="15">
      <c r="A41" s="431"/>
      <c r="B41" s="432"/>
      <c r="C41" s="432"/>
      <c r="D41" s="434"/>
      <c r="E41" s="430"/>
      <c r="F41" s="430"/>
      <c r="G41" s="434"/>
      <c r="H41" s="434"/>
      <c r="I41" s="432"/>
      <c r="J41" s="434"/>
      <c r="K41" s="205"/>
      <c r="L41" s="307"/>
    </row>
    <row r="42" spans="1:12">
      <c r="A42" s="305" t="s">
        <v>2259</v>
      </c>
    </row>
    <row r="43" spans="1:12">
      <c r="A43" s="2694" t="s">
        <v>2498</v>
      </c>
      <c r="B43" s="2694"/>
      <c r="C43" s="2694"/>
      <c r="D43" s="2694"/>
      <c r="E43" s="2694"/>
      <c r="F43" s="2694"/>
      <c r="G43" s="2694"/>
      <c r="H43" s="2694"/>
      <c r="I43" s="2694"/>
      <c r="J43" s="2694"/>
    </row>
    <row r="44" spans="1:12">
      <c r="A44" s="2694"/>
      <c r="B44" s="2694"/>
      <c r="C44" s="2694"/>
      <c r="D44" s="2694"/>
      <c r="E44" s="2694"/>
      <c r="F44" s="2694"/>
      <c r="G44" s="2694"/>
      <c r="H44" s="2694"/>
      <c r="I44" s="2694"/>
      <c r="J44" s="2694"/>
    </row>
    <row r="45" spans="1:12">
      <c r="A45" s="2694" t="s">
        <v>2260</v>
      </c>
      <c r="B45" s="2694"/>
      <c r="C45" s="2694"/>
      <c r="D45" s="2694"/>
      <c r="E45" s="2694"/>
      <c r="F45" s="2694"/>
      <c r="G45" s="2694"/>
      <c r="H45" s="2694"/>
      <c r="I45" s="2694"/>
      <c r="J45" s="2694"/>
    </row>
    <row r="46" spans="1:12">
      <c r="A46" s="2694"/>
      <c r="B46" s="2694"/>
      <c r="C46" s="2694"/>
      <c r="D46" s="2694"/>
      <c r="E46" s="2694"/>
      <c r="F46" s="2694"/>
      <c r="G46" s="2694"/>
      <c r="H46" s="2694"/>
      <c r="I46" s="2694"/>
      <c r="J46" s="2694"/>
    </row>
  </sheetData>
  <sheetProtection algorithmName="SHA-512" hashValue="ARD+xqYyguXDHL50cIzKzJ6SKJjU+MTJqTFQfdJigifZQEHyZm03DUo98DZE4+VJyIyoclEhqnWMA4kZE0VVjA==" saltValue="Unf4NIXk3/L41XYbzA3tl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76"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workbookViewId="0">
      <selection activeCell="E56" sqref="E56"/>
    </sheetView>
  </sheetViews>
  <sheetFormatPr defaultColWidth="0" defaultRowHeight="12.75" zeroHeight="1"/>
  <cols>
    <col min="1" max="1" width="3.7109375" customWidth="1"/>
    <col min="2" max="2" width="30.5703125" customWidth="1"/>
    <col min="3" max="3" width="9.140625" style="215"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212" t="s">
        <v>2094</v>
      </c>
      <c r="B1" s="212"/>
    </row>
    <row r="2" spans="1:34"/>
    <row r="3" spans="1:34" ht="15.75">
      <c r="A3" s="213" t="s">
        <v>819</v>
      </c>
      <c r="B3" s="213"/>
      <c r="C3" s="236" t="s">
        <v>820</v>
      </c>
      <c r="D3" s="13"/>
      <c r="E3" s="237" t="s">
        <v>821</v>
      </c>
      <c r="F3" s="204"/>
      <c r="G3" s="237" t="s">
        <v>822</v>
      </c>
      <c r="H3" s="204"/>
      <c r="I3" s="237" t="s">
        <v>823</v>
      </c>
      <c r="J3" s="204"/>
      <c r="K3" s="237" t="s">
        <v>824</v>
      </c>
      <c r="L3" s="204"/>
      <c r="M3" s="237" t="s">
        <v>825</v>
      </c>
      <c r="N3" s="204"/>
      <c r="O3" s="237" t="s">
        <v>826</v>
      </c>
      <c r="P3" s="204"/>
      <c r="Q3" s="237" t="s">
        <v>827</v>
      </c>
      <c r="R3" s="204"/>
      <c r="S3" s="237" t="s">
        <v>828</v>
      </c>
      <c r="T3" s="204"/>
      <c r="U3" s="237" t="s">
        <v>829</v>
      </c>
      <c r="V3" s="204"/>
      <c r="W3" s="237" t="s">
        <v>830</v>
      </c>
      <c r="X3" s="204"/>
      <c r="Y3" s="237" t="s">
        <v>831</v>
      </c>
      <c r="Z3" s="204"/>
      <c r="AA3" s="237" t="s">
        <v>832</v>
      </c>
      <c r="AB3" s="204"/>
      <c r="AC3" s="237" t="s">
        <v>833</v>
      </c>
      <c r="AD3" s="204"/>
      <c r="AE3" s="237" t="s">
        <v>834</v>
      </c>
      <c r="AF3" s="204"/>
      <c r="AG3" s="237" t="s">
        <v>835</v>
      </c>
      <c r="AH3" s="13"/>
    </row>
    <row r="4" spans="1:34" s="220" customFormat="1" ht="14.25">
      <c r="A4" s="220" t="s">
        <v>837</v>
      </c>
      <c r="C4" s="238">
        <v>1.0249999999999999</v>
      </c>
      <c r="E4" s="220">
        <f>Application!Y801</f>
        <v>4502688</v>
      </c>
      <c r="G4" s="220">
        <f>E4*$C$4</f>
        <v>4615255.1999999993</v>
      </c>
      <c r="I4" s="220">
        <f>G4*$C$4</f>
        <v>4730636.5799999991</v>
      </c>
      <c r="K4" s="220">
        <f>I4*$C$4</f>
        <v>4848902.4944999991</v>
      </c>
      <c r="M4" s="220">
        <f>K4*$C$4</f>
        <v>4970125.0568624986</v>
      </c>
      <c r="O4" s="220">
        <f>M4*$C$4</f>
        <v>5094378.183284061</v>
      </c>
      <c r="Q4" s="220">
        <f>O4*$C$4</f>
        <v>5221737.6378661618</v>
      </c>
      <c r="S4" s="220">
        <f>Q4*$C$4</f>
        <v>5352281.0788128152</v>
      </c>
      <c r="U4" s="220">
        <f>S4*$C$4</f>
        <v>5486088.1057831347</v>
      </c>
      <c r="W4" s="220">
        <f>U4*$C$4</f>
        <v>5623240.3084277129</v>
      </c>
      <c r="Y4" s="220">
        <f>W4*$C$4</f>
        <v>5763821.3161384054</v>
      </c>
      <c r="AA4" s="220">
        <f>Y4*$C$4</f>
        <v>5907916.8490418652</v>
      </c>
      <c r="AC4" s="220">
        <f>AA4*$C$4</f>
        <v>6055614.7702679113</v>
      </c>
      <c r="AE4" s="220">
        <f>AC4*$C$4</f>
        <v>6207005.1395246089</v>
      </c>
      <c r="AG4" s="220">
        <f>AE4*$C$4</f>
        <v>6362180.2680127239</v>
      </c>
    </row>
    <row r="5" spans="1:34" s="211" customFormat="1" ht="14.25">
      <c r="B5" s="211" t="s">
        <v>838</v>
      </c>
      <c r="C5" s="239">
        <f>IF(Application!$D$211="Special Needs",(((0.1*Application!$T$212)+(0.05*(1-Application!$T$212)))),0.05)</f>
        <v>0.05</v>
      </c>
      <c r="E5" s="222">
        <f>-E4*$C$5</f>
        <v>-225134.40000000002</v>
      </c>
      <c r="F5" s="222"/>
      <c r="G5" s="222">
        <f>-G4*$C$5</f>
        <v>-230762.75999999998</v>
      </c>
      <c r="H5" s="222"/>
      <c r="I5" s="222">
        <f>-I4*$C$5</f>
        <v>-236531.82899999997</v>
      </c>
      <c r="J5" s="222"/>
      <c r="K5" s="222">
        <f>-K4*$C$5</f>
        <v>-242445.12472499997</v>
      </c>
      <c r="L5" s="222"/>
      <c r="M5" s="222">
        <f>-M4*$C$5</f>
        <v>-248506.25284312494</v>
      </c>
      <c r="N5" s="222"/>
      <c r="O5" s="222">
        <f>-O4*$C$5</f>
        <v>-254718.90916420307</v>
      </c>
      <c r="P5" s="222"/>
      <c r="Q5" s="222">
        <f>-Q4*$C$5</f>
        <v>-261086.88189330811</v>
      </c>
      <c r="R5" s="222"/>
      <c r="S5" s="222">
        <f>-S4*$C$5</f>
        <v>-267614.05394064076</v>
      </c>
      <c r="T5" s="222"/>
      <c r="U5" s="222">
        <f>-U4*$C$5</f>
        <v>-274304.40528915677</v>
      </c>
      <c r="V5" s="222"/>
      <c r="W5" s="222">
        <f>-W4*$C$5</f>
        <v>-281162.01542138564</v>
      </c>
      <c r="X5" s="222"/>
      <c r="Y5" s="222">
        <f>-Y4*$C$5</f>
        <v>-288191.06580692029</v>
      </c>
      <c r="Z5" s="222"/>
      <c r="AA5" s="222">
        <f>-AA4*$C$5</f>
        <v>-295395.84245209326</v>
      </c>
      <c r="AB5" s="222"/>
      <c r="AC5" s="222">
        <f>-AC4*$C$5</f>
        <v>-302780.7385133956</v>
      </c>
      <c r="AD5" s="222"/>
      <c r="AE5" s="222">
        <f>-AE4*$C$5</f>
        <v>-310350.25697623048</v>
      </c>
      <c r="AF5" s="222"/>
      <c r="AG5" s="222">
        <f>-AG4*$C$5</f>
        <v>-318109.01340063621</v>
      </c>
    </row>
    <row r="6" spans="1:34" s="211" customFormat="1" ht="14.25">
      <c r="A6" s="211" t="s">
        <v>836</v>
      </c>
      <c r="C6" s="238">
        <v>1.0249999999999999</v>
      </c>
      <c r="E6" s="223">
        <f>Application!Z809</f>
        <v>0</v>
      </c>
      <c r="F6" s="223"/>
      <c r="G6" s="223">
        <f>E6*$C$6</f>
        <v>0</v>
      </c>
      <c r="H6" s="223"/>
      <c r="I6" s="223">
        <f>G6*$C$6</f>
        <v>0</v>
      </c>
      <c r="J6" s="223"/>
      <c r="K6" s="223">
        <f>I6*$C$6</f>
        <v>0</v>
      </c>
      <c r="L6" s="223"/>
      <c r="M6" s="223">
        <f>K6*$C$6</f>
        <v>0</v>
      </c>
      <c r="N6" s="223"/>
      <c r="O6" s="223">
        <f>M6*$C$6</f>
        <v>0</v>
      </c>
      <c r="P6" s="223"/>
      <c r="Q6" s="223">
        <f>O6*$C$6</f>
        <v>0</v>
      </c>
      <c r="R6" s="223"/>
      <c r="S6" s="223">
        <f>Q6*$C$6</f>
        <v>0</v>
      </c>
      <c r="T6" s="223"/>
      <c r="U6" s="223">
        <f>S6*$C$6</f>
        <v>0</v>
      </c>
      <c r="V6" s="223"/>
      <c r="W6" s="223">
        <f>U6*$C$6</f>
        <v>0</v>
      </c>
      <c r="X6" s="223"/>
      <c r="Y6" s="223">
        <f>W6*$C$6</f>
        <v>0</v>
      </c>
      <c r="Z6" s="223"/>
      <c r="AA6" s="223">
        <f>Y6*$C$6</f>
        <v>0</v>
      </c>
      <c r="AB6" s="223"/>
      <c r="AC6" s="223">
        <f>AA6*$C$6</f>
        <v>0</v>
      </c>
      <c r="AD6" s="223"/>
      <c r="AE6" s="223">
        <f>AC6*$C$6</f>
        <v>0</v>
      </c>
      <c r="AF6" s="223"/>
      <c r="AG6" s="223">
        <f>AE6*$C$6</f>
        <v>0</v>
      </c>
    </row>
    <row r="7" spans="1:34" s="211" customFormat="1" ht="14.25">
      <c r="B7" s="211" t="s">
        <v>838</v>
      </c>
      <c r="C7" s="239">
        <f>IF(Application!$D$211="Special Needs",(((0.1*Application!$T$212)+(0.05*(1-Application!$T$212)))),0.05)</f>
        <v>0.05</v>
      </c>
      <c r="E7" s="222">
        <f>-E6*$C$7</f>
        <v>0</v>
      </c>
      <c r="F7" s="222"/>
      <c r="G7" s="222">
        <f>-G6*$C$7</f>
        <v>0</v>
      </c>
      <c r="H7" s="222"/>
      <c r="I7" s="222">
        <f>-I6*$C$7</f>
        <v>0</v>
      </c>
      <c r="J7" s="222"/>
      <c r="K7" s="222">
        <f>-K6*$C$7</f>
        <v>0</v>
      </c>
      <c r="L7" s="222"/>
      <c r="M7" s="222">
        <f>-M6*$C$7</f>
        <v>0</v>
      </c>
      <c r="N7" s="222"/>
      <c r="O7" s="222">
        <f>-O6*$C$7</f>
        <v>0</v>
      </c>
      <c r="P7" s="222"/>
      <c r="Q7" s="222">
        <f>-Q6*$C$7</f>
        <v>0</v>
      </c>
      <c r="R7" s="222"/>
      <c r="S7" s="222">
        <f>-S6*$C$7</f>
        <v>0</v>
      </c>
      <c r="T7" s="222"/>
      <c r="U7" s="222">
        <f>-U6*$C$7</f>
        <v>0</v>
      </c>
      <c r="V7" s="222"/>
      <c r="W7" s="222">
        <f>-W6*$C$7</f>
        <v>0</v>
      </c>
      <c r="X7" s="222"/>
      <c r="Y7" s="222">
        <f>-Y6*$C$7</f>
        <v>0</v>
      </c>
      <c r="Z7" s="222"/>
      <c r="AA7" s="222">
        <f>-AA6*$C$7</f>
        <v>0</v>
      </c>
      <c r="AB7" s="222"/>
      <c r="AC7" s="222">
        <f>-AC6*$C$7</f>
        <v>0</v>
      </c>
      <c r="AD7" s="222"/>
      <c r="AE7" s="222">
        <f>-AE6*$C$7</f>
        <v>0</v>
      </c>
      <c r="AF7" s="222"/>
      <c r="AG7" s="222">
        <f>-AG6*$C$7</f>
        <v>0</v>
      </c>
    </row>
    <row r="8" spans="1:34" s="211" customFormat="1" ht="14.25">
      <c r="A8" s="211" t="s">
        <v>287</v>
      </c>
      <c r="C8" s="238">
        <v>1.0249999999999999</v>
      </c>
      <c r="E8" s="223">
        <f>Application!Z817</f>
        <v>148184</v>
      </c>
      <c r="F8" s="223"/>
      <c r="G8" s="223">
        <f>E8*$C$8</f>
        <v>151888.59999999998</v>
      </c>
      <c r="H8" s="223"/>
      <c r="I8" s="223">
        <f>G8*$C$8</f>
        <v>155685.81499999997</v>
      </c>
      <c r="J8" s="223"/>
      <c r="K8" s="223">
        <f>I8*$C$8</f>
        <v>159577.96037499997</v>
      </c>
      <c r="L8" s="223"/>
      <c r="M8" s="223">
        <f>K8*$C$8</f>
        <v>163567.40938437494</v>
      </c>
      <c r="N8" s="223"/>
      <c r="O8" s="223">
        <f>M8*$C$8</f>
        <v>167656.59461898429</v>
      </c>
      <c r="P8" s="223"/>
      <c r="Q8" s="223">
        <f>O8*$C$8</f>
        <v>171848.00948445889</v>
      </c>
      <c r="R8" s="223"/>
      <c r="S8" s="223">
        <f>Q8*$C$8</f>
        <v>176144.20972157034</v>
      </c>
      <c r="T8" s="223"/>
      <c r="U8" s="223">
        <f>S8*$C$8</f>
        <v>180547.81496460957</v>
      </c>
      <c r="V8" s="223"/>
      <c r="W8" s="223">
        <f>U8*$C$8</f>
        <v>185061.51033872479</v>
      </c>
      <c r="X8" s="223"/>
      <c r="Y8" s="223">
        <f>W8*$C$8</f>
        <v>189688.04809719289</v>
      </c>
      <c r="Z8" s="223"/>
      <c r="AA8" s="223">
        <f>Y8*$C$8</f>
        <v>194430.24929962269</v>
      </c>
      <c r="AB8" s="223"/>
      <c r="AC8" s="223">
        <f>AA8*$C$8</f>
        <v>199291.00553211325</v>
      </c>
      <c r="AD8" s="223"/>
      <c r="AE8" s="223">
        <f>AC8*$C$8</f>
        <v>204273.28067041608</v>
      </c>
      <c r="AF8" s="223"/>
      <c r="AG8" s="223">
        <f>AE8*$C$8</f>
        <v>209380.11268717647</v>
      </c>
    </row>
    <row r="9" spans="1:34" s="211" customFormat="1" ht="14.25">
      <c r="B9" s="211" t="s">
        <v>838</v>
      </c>
      <c r="C9" s="239">
        <f>IF(Application!$D$211="Special Needs",(((0.1*Application!$T$212)+(0.05*(1-Application!$T$212)))),0.05)</f>
        <v>0.05</v>
      </c>
      <c r="E9" s="222">
        <f>-E8*$C$9</f>
        <v>-7409.2000000000007</v>
      </c>
      <c r="F9" s="222"/>
      <c r="G9" s="222">
        <f>-G8*$C$9</f>
        <v>-7594.4299999999994</v>
      </c>
      <c r="H9" s="222"/>
      <c r="I9" s="222">
        <f>-I8*$C$9</f>
        <v>-7784.2907499999992</v>
      </c>
      <c r="J9" s="222"/>
      <c r="K9" s="222">
        <f>-K8*$C$9</f>
        <v>-7978.8980187499983</v>
      </c>
      <c r="L9" s="222"/>
      <c r="M9" s="222">
        <f>-M8*$C$9</f>
        <v>-8178.3704692187475</v>
      </c>
      <c r="N9" s="222"/>
      <c r="O9" s="222">
        <f>-O8*$C$9</f>
        <v>-8382.8297309492154</v>
      </c>
      <c r="P9" s="222"/>
      <c r="Q9" s="222">
        <f>-Q8*$C$9</f>
        <v>-8592.4004742229445</v>
      </c>
      <c r="R9" s="222"/>
      <c r="S9" s="222">
        <f>-S8*$C$9</f>
        <v>-8807.2104860785166</v>
      </c>
      <c r="T9" s="222"/>
      <c r="U9" s="222">
        <f>-U8*$C$9</f>
        <v>-9027.3907482304785</v>
      </c>
      <c r="V9" s="222"/>
      <c r="W9" s="222">
        <f>-W8*$C$9</f>
        <v>-9253.0755169362401</v>
      </c>
      <c r="X9" s="222"/>
      <c r="Y9" s="222">
        <f>-Y8*$C$9</f>
        <v>-9484.4024048596457</v>
      </c>
      <c r="Z9" s="222"/>
      <c r="AA9" s="222">
        <f>-AA8*$C$9</f>
        <v>-9721.5124649811351</v>
      </c>
      <c r="AB9" s="222"/>
      <c r="AC9" s="222">
        <f>-AC8*$C$9</f>
        <v>-9964.5502766056634</v>
      </c>
      <c r="AD9" s="222"/>
      <c r="AE9" s="222">
        <f>-AE8*$C$9</f>
        <v>-10213.664033520805</v>
      </c>
      <c r="AF9" s="222"/>
      <c r="AG9" s="222">
        <f>-AG8*$C$9</f>
        <v>-10469.005634358824</v>
      </c>
    </row>
    <row r="10" spans="1:34" s="211" customFormat="1" ht="14.25">
      <c r="A10" s="1145" t="s">
        <v>2223</v>
      </c>
      <c r="B10" s="1145"/>
      <c r="C10" s="239"/>
      <c r="E10" s="1146"/>
      <c r="F10" s="223"/>
      <c r="G10" s="1146"/>
      <c r="H10" s="223"/>
      <c r="I10" s="1146"/>
      <c r="J10" s="223"/>
      <c r="K10" s="1146"/>
      <c r="L10" s="223"/>
      <c r="M10" s="1146"/>
      <c r="N10" s="223"/>
      <c r="O10" s="1146"/>
      <c r="P10" s="223"/>
      <c r="Q10" s="1146"/>
      <c r="R10" s="223"/>
      <c r="S10" s="1146"/>
      <c r="T10" s="223"/>
      <c r="U10" s="1146"/>
      <c r="V10" s="223"/>
      <c r="W10" s="1146"/>
      <c r="X10" s="223"/>
      <c r="Y10" s="1146"/>
      <c r="Z10" s="223"/>
      <c r="AA10" s="1146"/>
      <c r="AB10" s="223"/>
      <c r="AC10" s="1146"/>
      <c r="AD10" s="223"/>
      <c r="AE10" s="1146"/>
      <c r="AF10" s="223"/>
      <c r="AG10" s="1146"/>
    </row>
    <row r="11" spans="1:34" s="224" customFormat="1" ht="15">
      <c r="A11" s="224" t="s">
        <v>859</v>
      </c>
      <c r="C11" s="217"/>
      <c r="E11" s="224">
        <f>SUM(E4:E10)</f>
        <v>4418328.3999999994</v>
      </c>
      <c r="G11" s="224">
        <f>SUM(G4:G10)</f>
        <v>4528786.6099999994</v>
      </c>
      <c r="I11" s="224">
        <f>SUM(I4:I10)</f>
        <v>4642006.2752499999</v>
      </c>
      <c r="K11" s="224">
        <f>SUM(K4:K10)</f>
        <v>4758056.4321312485</v>
      </c>
      <c r="M11" s="224">
        <f>SUM(M4:M10)</f>
        <v>4877007.8429345293</v>
      </c>
      <c r="O11" s="224">
        <f>SUM(O4:O10)</f>
        <v>4998933.0390078928</v>
      </c>
      <c r="Q11" s="224">
        <f>SUM(Q4:Q10)</f>
        <v>5123906.3649830893</v>
      </c>
      <c r="S11" s="224">
        <f>SUM(S4:S10)</f>
        <v>5252004.0241076658</v>
      </c>
      <c r="U11" s="224">
        <f>SUM(U4:U10)</f>
        <v>5383304.1247103568</v>
      </c>
      <c r="W11" s="224">
        <f>SUM(W4:W10)</f>
        <v>5517886.7278281152</v>
      </c>
      <c r="Y11" s="224">
        <f>SUM(Y4:Y10)</f>
        <v>5655833.8960238183</v>
      </c>
      <c r="AA11" s="224">
        <f>SUM(AA4:AA10)</f>
        <v>5797229.7434244137</v>
      </c>
      <c r="AC11" s="224">
        <f>SUM(AC4:AC10)</f>
        <v>5942160.4870100236</v>
      </c>
      <c r="AE11" s="224">
        <f>SUM(AE4:AE10)</f>
        <v>6090714.4991852734</v>
      </c>
      <c r="AG11" s="224">
        <f>SUM(AG4:AG10)</f>
        <v>6242982.3616649043</v>
      </c>
    </row>
    <row r="12" spans="1:34">
      <c r="C12" s="234"/>
      <c r="E12" s="216"/>
      <c r="F12" s="216"/>
      <c r="G12" s="216"/>
      <c r="H12" s="216"/>
      <c r="I12" s="216"/>
      <c r="J12" s="216"/>
      <c r="K12" s="216"/>
      <c r="L12" s="216"/>
      <c r="M12" s="216"/>
      <c r="N12" s="216"/>
      <c r="O12" s="216"/>
      <c r="P12" s="216"/>
      <c r="Q12" s="216"/>
      <c r="R12" s="216"/>
      <c r="S12" s="216"/>
      <c r="T12" s="216"/>
      <c r="U12" s="216"/>
      <c r="V12" s="216"/>
      <c r="W12" s="216"/>
      <c r="X12" s="216"/>
      <c r="Y12" s="216"/>
      <c r="Z12" s="216"/>
      <c r="AA12" s="216"/>
      <c r="AB12" s="216"/>
      <c r="AC12" s="216"/>
      <c r="AD12" s="216"/>
      <c r="AE12" s="216"/>
      <c r="AF12" s="216"/>
      <c r="AG12" s="216"/>
    </row>
    <row r="13" spans="1:34" ht="15.75">
      <c r="A13" s="213" t="s">
        <v>839</v>
      </c>
      <c r="C13" s="234"/>
      <c r="E13" s="216"/>
      <c r="F13" s="216"/>
      <c r="G13" s="216"/>
      <c r="H13" s="216"/>
      <c r="I13" s="216"/>
      <c r="J13" s="216"/>
      <c r="K13" s="216"/>
      <c r="L13" s="216"/>
      <c r="M13" s="216"/>
      <c r="N13" s="216"/>
      <c r="O13" s="216"/>
      <c r="P13" s="216"/>
      <c r="Q13" s="216"/>
      <c r="R13" s="216"/>
      <c r="S13" s="216"/>
      <c r="T13" s="216"/>
      <c r="U13" s="216"/>
      <c r="V13" s="216"/>
      <c r="W13" s="216"/>
      <c r="X13" s="216"/>
      <c r="Y13" s="216"/>
      <c r="Z13" s="216"/>
      <c r="AA13" s="216"/>
      <c r="AB13" s="216"/>
      <c r="AC13" s="216"/>
      <c r="AD13" s="216"/>
      <c r="AE13" s="216"/>
      <c r="AF13" s="216"/>
      <c r="AG13" s="216"/>
    </row>
    <row r="14" spans="1:34" s="211" customFormat="1" ht="14.25">
      <c r="A14" s="211" t="s">
        <v>840</v>
      </c>
      <c r="C14" s="238">
        <v>1.0349999999999999</v>
      </c>
      <c r="E14" s="223"/>
      <c r="F14" s="223"/>
      <c r="G14" s="223"/>
      <c r="H14" s="223"/>
      <c r="I14" s="223"/>
      <c r="J14" s="223"/>
      <c r="K14" s="223"/>
      <c r="L14" s="223"/>
      <c r="M14" s="223"/>
      <c r="N14" s="223"/>
      <c r="O14" s="223"/>
      <c r="P14" s="223"/>
      <c r="Q14" s="223"/>
      <c r="R14" s="223"/>
      <c r="S14" s="223"/>
      <c r="T14" s="223"/>
      <c r="U14" s="223"/>
      <c r="V14" s="223"/>
      <c r="W14" s="223"/>
      <c r="X14" s="223"/>
      <c r="Y14" s="223"/>
      <c r="Z14" s="223"/>
      <c r="AA14" s="223"/>
      <c r="AB14" s="223"/>
      <c r="AC14" s="223"/>
      <c r="AD14" s="223"/>
      <c r="AE14" s="223"/>
      <c r="AF14" s="223"/>
      <c r="AG14" s="223"/>
    </row>
    <row r="15" spans="1:34" s="220" customFormat="1" ht="14.25">
      <c r="A15" s="220" t="s">
        <v>841</v>
      </c>
      <c r="C15" s="176"/>
      <c r="E15" s="220">
        <f>Application!W847</f>
        <v>74175</v>
      </c>
      <c r="G15" s="220">
        <f>E15*$C$14</f>
        <v>76771.125</v>
      </c>
      <c r="I15" s="220">
        <f>G15*$C$14</f>
        <v>79458.11437499999</v>
      </c>
      <c r="K15" s="220">
        <f>I15*$C$14</f>
        <v>82239.148378124984</v>
      </c>
      <c r="M15" s="220">
        <f>K15*$C$14</f>
        <v>85117.518571359353</v>
      </c>
      <c r="O15" s="220">
        <f>M15*$C$14</f>
        <v>88096.631721356927</v>
      </c>
      <c r="Q15" s="220">
        <f>O15*$C$14</f>
        <v>91180.013831604418</v>
      </c>
      <c r="S15" s="220">
        <f>Q15*$C$14</f>
        <v>94371.314315710566</v>
      </c>
      <c r="U15" s="220">
        <f>S15*$C$14</f>
        <v>97674.310316760428</v>
      </c>
      <c r="W15" s="220">
        <f>U15*$C$14</f>
        <v>101092.91117784704</v>
      </c>
      <c r="Y15" s="220">
        <f>W15*$C$14</f>
        <v>104631.16306907168</v>
      </c>
      <c r="AA15" s="220">
        <f>Y15*$C$14</f>
        <v>108293.25377648919</v>
      </c>
      <c r="AC15" s="220">
        <f>AA15*$C$14</f>
        <v>112083.5176586663</v>
      </c>
      <c r="AE15" s="220">
        <f>AC15*$C$14</f>
        <v>116006.44077671961</v>
      </c>
      <c r="AG15" s="220">
        <f>AE15*$C$14</f>
        <v>120066.66620390478</v>
      </c>
    </row>
    <row r="16" spans="1:34" s="211" customFormat="1" ht="14.25">
      <c r="A16" s="211" t="s">
        <v>343</v>
      </c>
      <c r="C16" s="234"/>
      <c r="E16" s="223">
        <f>Application!W849</f>
        <v>154726</v>
      </c>
      <c r="F16" s="223"/>
      <c r="G16" s="223">
        <f t="shared" ref="G16:AG21" si="0">E16*$C$14</f>
        <v>160141.40999999997</v>
      </c>
      <c r="H16" s="223"/>
      <c r="I16" s="223">
        <f t="shared" si="0"/>
        <v>165746.35934999996</v>
      </c>
      <c r="J16" s="223"/>
      <c r="K16" s="223">
        <f t="shared" si="0"/>
        <v>171547.48192724993</v>
      </c>
      <c r="L16" s="223"/>
      <c r="M16" s="223">
        <f t="shared" si="0"/>
        <v>177551.64379470368</v>
      </c>
      <c r="N16" s="223"/>
      <c r="O16" s="223">
        <f t="shared" si="0"/>
        <v>183765.9513275183</v>
      </c>
      <c r="P16" s="223"/>
      <c r="Q16" s="223">
        <f t="shared" si="0"/>
        <v>190197.75962398143</v>
      </c>
      <c r="R16" s="223"/>
      <c r="S16" s="223">
        <f t="shared" si="0"/>
        <v>196854.68121082077</v>
      </c>
      <c r="T16" s="223"/>
      <c r="U16" s="223">
        <f t="shared" si="0"/>
        <v>203744.59505319947</v>
      </c>
      <c r="V16" s="223"/>
      <c r="W16" s="223">
        <f t="shared" si="0"/>
        <v>210875.65588006144</v>
      </c>
      <c r="X16" s="223"/>
      <c r="Y16" s="223">
        <f t="shared" si="0"/>
        <v>218256.30383586357</v>
      </c>
      <c r="Z16" s="223"/>
      <c r="AA16" s="223">
        <f t="shared" si="0"/>
        <v>225895.27447011878</v>
      </c>
      <c r="AB16" s="223"/>
      <c r="AC16" s="223">
        <f t="shared" si="0"/>
        <v>233801.6090765729</v>
      </c>
      <c r="AD16" s="223"/>
      <c r="AE16" s="223">
        <f t="shared" si="0"/>
        <v>241984.66539425292</v>
      </c>
      <c r="AF16" s="223"/>
      <c r="AG16" s="223">
        <f t="shared" si="0"/>
        <v>250454.12868305176</v>
      </c>
    </row>
    <row r="17" spans="1:33" s="211" customFormat="1" ht="14.25">
      <c r="A17" s="211" t="s">
        <v>561</v>
      </c>
      <c r="C17" s="234"/>
      <c r="E17" s="223">
        <f>Application!W855</f>
        <v>182398</v>
      </c>
      <c r="F17" s="223"/>
      <c r="G17" s="223">
        <f t="shared" si="0"/>
        <v>188781.93</v>
      </c>
      <c r="H17" s="223"/>
      <c r="I17" s="223">
        <f t="shared" si="0"/>
        <v>195389.29754999999</v>
      </c>
      <c r="J17" s="223"/>
      <c r="K17" s="223">
        <f t="shared" si="0"/>
        <v>202227.92296424997</v>
      </c>
      <c r="L17" s="223"/>
      <c r="M17" s="223">
        <f t="shared" si="0"/>
        <v>209305.90026799872</v>
      </c>
      <c r="N17" s="223"/>
      <c r="O17" s="223">
        <f t="shared" si="0"/>
        <v>216631.60677737865</v>
      </c>
      <c r="P17" s="223"/>
      <c r="Q17" s="223">
        <f t="shared" si="0"/>
        <v>224213.71301458689</v>
      </c>
      <c r="R17" s="223"/>
      <c r="S17" s="223">
        <f t="shared" si="0"/>
        <v>232061.19297009741</v>
      </c>
      <c r="T17" s="223"/>
      <c r="U17" s="223">
        <f t="shared" si="0"/>
        <v>240183.3347240508</v>
      </c>
      <c r="V17" s="223"/>
      <c r="W17" s="223">
        <f t="shared" si="0"/>
        <v>248589.75143939257</v>
      </c>
      <c r="X17" s="223"/>
      <c r="Y17" s="223">
        <f t="shared" si="0"/>
        <v>257290.39273977128</v>
      </c>
      <c r="Z17" s="223"/>
      <c r="AA17" s="223">
        <f t="shared" si="0"/>
        <v>266295.55648566328</v>
      </c>
      <c r="AB17" s="223"/>
      <c r="AC17" s="223">
        <f t="shared" si="0"/>
        <v>275615.90096266149</v>
      </c>
      <c r="AD17" s="223"/>
      <c r="AE17" s="223">
        <f t="shared" si="0"/>
        <v>285262.45749635459</v>
      </c>
      <c r="AF17" s="223"/>
      <c r="AG17" s="223">
        <f t="shared" si="0"/>
        <v>295246.64350872696</v>
      </c>
    </row>
    <row r="18" spans="1:33" s="211" customFormat="1" ht="14.25">
      <c r="A18" s="211" t="s">
        <v>842</v>
      </c>
      <c r="C18" s="234"/>
      <c r="E18" s="223">
        <f>Application!W862</f>
        <v>360256</v>
      </c>
      <c r="F18" s="223"/>
      <c r="G18" s="223">
        <f t="shared" si="0"/>
        <v>372864.95999999996</v>
      </c>
      <c r="H18" s="223"/>
      <c r="I18" s="223">
        <f t="shared" si="0"/>
        <v>385915.23359999992</v>
      </c>
      <c r="J18" s="223"/>
      <c r="K18" s="223">
        <f t="shared" si="0"/>
        <v>399422.26677599986</v>
      </c>
      <c r="L18" s="223"/>
      <c r="M18" s="223">
        <f t="shared" si="0"/>
        <v>413402.0461131598</v>
      </c>
      <c r="N18" s="223"/>
      <c r="O18" s="223">
        <f t="shared" si="0"/>
        <v>427871.11772712035</v>
      </c>
      <c r="P18" s="223"/>
      <c r="Q18" s="223">
        <f t="shared" si="0"/>
        <v>442846.60684756952</v>
      </c>
      <c r="R18" s="223"/>
      <c r="S18" s="223">
        <f t="shared" si="0"/>
        <v>458346.23808723444</v>
      </c>
      <c r="T18" s="223"/>
      <c r="U18" s="223">
        <f t="shared" si="0"/>
        <v>474388.35642028763</v>
      </c>
      <c r="V18" s="223"/>
      <c r="W18" s="223">
        <f t="shared" si="0"/>
        <v>490991.94889499765</v>
      </c>
      <c r="X18" s="223"/>
      <c r="Y18" s="223">
        <f t="shared" si="0"/>
        <v>508176.66710632254</v>
      </c>
      <c r="Z18" s="223"/>
      <c r="AA18" s="223">
        <f t="shared" si="0"/>
        <v>525962.85045504384</v>
      </c>
      <c r="AB18" s="223"/>
      <c r="AC18" s="223">
        <f t="shared" si="0"/>
        <v>544371.5502209703</v>
      </c>
      <c r="AD18" s="223"/>
      <c r="AE18" s="223">
        <f t="shared" si="0"/>
        <v>563424.55447870423</v>
      </c>
      <c r="AF18" s="223"/>
      <c r="AG18" s="223">
        <f t="shared" si="0"/>
        <v>583144.41388545884</v>
      </c>
    </row>
    <row r="19" spans="1:33" s="211" customFormat="1" ht="14.25">
      <c r="A19" s="211" t="s">
        <v>155</v>
      </c>
      <c r="C19" s="234"/>
      <c r="E19" s="223">
        <f>Application!W863</f>
        <v>160600</v>
      </c>
      <c r="F19" s="223"/>
      <c r="G19" s="223">
        <f t="shared" si="0"/>
        <v>166221</v>
      </c>
      <c r="H19" s="223"/>
      <c r="I19" s="223">
        <f t="shared" si="0"/>
        <v>172038.73499999999</v>
      </c>
      <c r="J19" s="223"/>
      <c r="K19" s="223">
        <f t="shared" si="0"/>
        <v>178060.09072499996</v>
      </c>
      <c r="L19" s="223"/>
      <c r="M19" s="223">
        <f t="shared" si="0"/>
        <v>184292.19390037493</v>
      </c>
      <c r="N19" s="223"/>
      <c r="O19" s="223">
        <f t="shared" si="0"/>
        <v>190742.42068688804</v>
      </c>
      <c r="P19" s="223"/>
      <c r="Q19" s="223">
        <f t="shared" si="0"/>
        <v>197418.40541092912</v>
      </c>
      <c r="R19" s="223"/>
      <c r="S19" s="223">
        <f t="shared" si="0"/>
        <v>204328.04960031161</v>
      </c>
      <c r="T19" s="223"/>
      <c r="U19" s="223">
        <f t="shared" si="0"/>
        <v>211479.53133632251</v>
      </c>
      <c r="V19" s="223"/>
      <c r="W19" s="223">
        <f t="shared" si="0"/>
        <v>218881.31493309379</v>
      </c>
      <c r="X19" s="223"/>
      <c r="Y19" s="223">
        <f t="shared" si="0"/>
        <v>226542.16095575204</v>
      </c>
      <c r="Z19" s="223"/>
      <c r="AA19" s="223">
        <f t="shared" si="0"/>
        <v>234471.13658920335</v>
      </c>
      <c r="AB19" s="223"/>
      <c r="AC19" s="223">
        <f t="shared" si="0"/>
        <v>242677.62636982545</v>
      </c>
      <c r="AD19" s="223"/>
      <c r="AE19" s="223">
        <f t="shared" si="0"/>
        <v>251171.34329276931</v>
      </c>
      <c r="AF19" s="223"/>
      <c r="AG19" s="223">
        <f t="shared" si="0"/>
        <v>259962.34030801622</v>
      </c>
    </row>
    <row r="20" spans="1:33" s="211" customFormat="1" ht="14.25">
      <c r="A20" s="211" t="s">
        <v>389</v>
      </c>
      <c r="C20" s="234"/>
      <c r="E20" s="223">
        <f>Application!W872</f>
        <v>206501</v>
      </c>
      <c r="F20" s="223"/>
      <c r="G20" s="223">
        <f t="shared" si="0"/>
        <v>213728.53499999997</v>
      </c>
      <c r="H20" s="223"/>
      <c r="I20" s="223">
        <f t="shared" si="0"/>
        <v>221209.03372499996</v>
      </c>
      <c r="J20" s="223"/>
      <c r="K20" s="223">
        <f t="shared" si="0"/>
        <v>228951.34990537493</v>
      </c>
      <c r="L20" s="223"/>
      <c r="M20" s="223">
        <f t="shared" si="0"/>
        <v>236964.64715206303</v>
      </c>
      <c r="N20" s="223"/>
      <c r="O20" s="223">
        <f t="shared" si="0"/>
        <v>245258.40980238523</v>
      </c>
      <c r="P20" s="223"/>
      <c r="Q20" s="223">
        <f t="shared" si="0"/>
        <v>253842.45414546868</v>
      </c>
      <c r="R20" s="223"/>
      <c r="S20" s="223">
        <f t="shared" si="0"/>
        <v>262726.94004056009</v>
      </c>
      <c r="T20" s="223"/>
      <c r="U20" s="223">
        <f t="shared" si="0"/>
        <v>271922.38294197968</v>
      </c>
      <c r="V20" s="223"/>
      <c r="W20" s="223">
        <f t="shared" si="0"/>
        <v>281439.66634494893</v>
      </c>
      <c r="X20" s="223"/>
      <c r="Y20" s="223">
        <f t="shared" si="0"/>
        <v>291290.05466702214</v>
      </c>
      <c r="Z20" s="223"/>
      <c r="AA20" s="223">
        <f t="shared" si="0"/>
        <v>301485.20658036787</v>
      </c>
      <c r="AB20" s="223"/>
      <c r="AC20" s="223">
        <f t="shared" si="0"/>
        <v>312037.1888106807</v>
      </c>
      <c r="AD20" s="223"/>
      <c r="AE20" s="223">
        <f t="shared" si="0"/>
        <v>322958.49041905452</v>
      </c>
      <c r="AF20" s="223"/>
      <c r="AG20" s="223">
        <f t="shared" si="0"/>
        <v>334262.03758372139</v>
      </c>
    </row>
    <row r="21" spans="1:33" s="211" customFormat="1" ht="14.25">
      <c r="A21" s="227" t="s">
        <v>2750</v>
      </c>
      <c r="B21" s="227"/>
      <c r="C21" s="234"/>
      <c r="E21" s="233">
        <f>Application!W879</f>
        <v>104240</v>
      </c>
      <c r="F21" s="223"/>
      <c r="G21" s="233">
        <f t="shared" si="0"/>
        <v>107888.4</v>
      </c>
      <c r="H21" s="223"/>
      <c r="I21" s="233">
        <f t="shared" si="0"/>
        <v>111664.49399999999</v>
      </c>
      <c r="J21" s="223"/>
      <c r="K21" s="233">
        <f t="shared" si="0"/>
        <v>115572.75128999999</v>
      </c>
      <c r="L21" s="223"/>
      <c r="M21" s="233">
        <f t="shared" si="0"/>
        <v>119617.79758514998</v>
      </c>
      <c r="N21" s="223"/>
      <c r="O21" s="233">
        <f t="shared" si="0"/>
        <v>123804.42050063022</v>
      </c>
      <c r="P21" s="223"/>
      <c r="Q21" s="233">
        <f t="shared" si="0"/>
        <v>128137.57521815227</v>
      </c>
      <c r="R21" s="223"/>
      <c r="S21" s="233">
        <f t="shared" si="0"/>
        <v>132622.39035078758</v>
      </c>
      <c r="T21" s="223"/>
      <c r="U21" s="233">
        <f t="shared" si="0"/>
        <v>137264.17401306515</v>
      </c>
      <c r="V21" s="223"/>
      <c r="W21" s="233">
        <f t="shared" si="0"/>
        <v>142068.42010352243</v>
      </c>
      <c r="X21" s="223"/>
      <c r="Y21" s="233">
        <f t="shared" si="0"/>
        <v>147040.81480714571</v>
      </c>
      <c r="Z21" s="223"/>
      <c r="AA21" s="233">
        <f t="shared" si="0"/>
        <v>152187.2433253958</v>
      </c>
      <c r="AB21" s="223"/>
      <c r="AC21" s="233">
        <f t="shared" si="0"/>
        <v>157513.79684178464</v>
      </c>
      <c r="AD21" s="223"/>
      <c r="AE21" s="233">
        <f t="shared" si="0"/>
        <v>163026.77973124708</v>
      </c>
      <c r="AF21" s="223"/>
      <c r="AG21" s="233">
        <f t="shared" si="0"/>
        <v>168732.71702184071</v>
      </c>
    </row>
    <row r="22" spans="1:33" s="224" customFormat="1" ht="15">
      <c r="A22" s="224" t="s">
        <v>843</v>
      </c>
      <c r="C22" s="234"/>
      <c r="E22" s="224">
        <f>SUM(E15:E21)</f>
        <v>1242896</v>
      </c>
      <c r="G22" s="224">
        <f>SUM(G15:G21)</f>
        <v>1286397.3599999999</v>
      </c>
      <c r="I22" s="224">
        <f>SUM(I15:I21)</f>
        <v>1331421.2675999997</v>
      </c>
      <c r="K22" s="224">
        <f>SUM(K15:K21)</f>
        <v>1378021.0119659996</v>
      </c>
      <c r="M22" s="224">
        <f>SUM(M15:M21)</f>
        <v>1426251.7473848094</v>
      </c>
      <c r="O22" s="224">
        <f>SUM(O15:O21)</f>
        <v>1476170.5585432777</v>
      </c>
      <c r="Q22" s="224">
        <f>SUM(Q15:Q21)</f>
        <v>1527836.5280922924</v>
      </c>
      <c r="S22" s="224">
        <f>SUM(S15:S21)</f>
        <v>1581310.8065755225</v>
      </c>
      <c r="U22" s="224">
        <f>SUM(U15:U21)</f>
        <v>1636656.6848056656</v>
      </c>
      <c r="W22" s="224">
        <f>SUM(W15:W21)</f>
        <v>1693939.6687738639</v>
      </c>
      <c r="Y22" s="224">
        <f>SUM(Y15:Y21)</f>
        <v>1753227.5571809488</v>
      </c>
      <c r="AA22" s="224">
        <f>SUM(AA15:AA21)</f>
        <v>1814590.521682282</v>
      </c>
      <c r="AC22" s="224">
        <f>SUM(AC15:AC21)</f>
        <v>1878101.1899411618</v>
      </c>
      <c r="AE22" s="224">
        <f>SUM(AE15:AE21)</f>
        <v>1943834.7315891022</v>
      </c>
      <c r="AG22" s="224">
        <f>SUM(AG15:AG21)</f>
        <v>2011868.9471947206</v>
      </c>
    </row>
    <row r="23" spans="1:33" s="211" customFormat="1" ht="14.25">
      <c r="C23" s="234"/>
      <c r="E23" s="223"/>
      <c r="F23" s="223"/>
      <c r="G23" s="223"/>
      <c r="H23" s="223"/>
      <c r="I23" s="223"/>
      <c r="J23" s="223"/>
      <c r="K23" s="223"/>
      <c r="L23" s="223"/>
      <c r="M23" s="223"/>
      <c r="N23" s="223"/>
      <c r="O23" s="223"/>
      <c r="P23" s="223"/>
      <c r="Q23" s="223"/>
      <c r="R23" s="223"/>
      <c r="S23" s="223"/>
      <c r="T23" s="223"/>
      <c r="U23" s="223"/>
      <c r="V23" s="223"/>
      <c r="W23" s="223"/>
      <c r="X23" s="223"/>
      <c r="Y23" s="223"/>
      <c r="Z23" s="223"/>
      <c r="AA23" s="223"/>
      <c r="AB23" s="223"/>
      <c r="AC23" s="223"/>
      <c r="AD23" s="223"/>
      <c r="AE23" s="223"/>
      <c r="AF23" s="223"/>
      <c r="AG23" s="223"/>
    </row>
    <row r="24" spans="1:33" s="211" customFormat="1" ht="14.25">
      <c r="A24" s="211" t="s">
        <v>1681</v>
      </c>
      <c r="C24" s="234">
        <v>1.02</v>
      </c>
      <c r="E24" s="911">
        <v>1099415</v>
      </c>
      <c r="F24" s="223"/>
      <c r="G24" s="223">
        <f>E24*$C$24</f>
        <v>1121403.3</v>
      </c>
      <c r="H24" s="223"/>
      <c r="I24" s="223">
        <f>G24*$C$24</f>
        <v>1143831.3660000002</v>
      </c>
      <c r="J24" s="223"/>
      <c r="K24" s="223">
        <f>I24*$C$24</f>
        <v>1166707.9933200001</v>
      </c>
      <c r="L24" s="223"/>
      <c r="M24" s="223">
        <f>K24*$C$24</f>
        <v>1190042.1531864002</v>
      </c>
      <c r="N24" s="223"/>
      <c r="O24" s="223">
        <f>M24*$C$24</f>
        <v>1213842.9962501281</v>
      </c>
      <c r="P24" s="223"/>
      <c r="Q24" s="223">
        <f>O24*$C$24</f>
        <v>1238119.8561751307</v>
      </c>
      <c r="R24" s="223"/>
      <c r="S24" s="223">
        <f>Q24*$C$24</f>
        <v>1262882.2532986333</v>
      </c>
      <c r="T24" s="223"/>
      <c r="U24" s="223">
        <f>S24*$C$24</f>
        <v>1288139.8983646058</v>
      </c>
      <c r="V24" s="223"/>
      <c r="W24" s="223">
        <f>U24*$C$24</f>
        <v>1313902.696331898</v>
      </c>
      <c r="X24" s="223"/>
      <c r="Y24" s="223">
        <f>W24*$C$24</f>
        <v>1340180.7502585361</v>
      </c>
      <c r="Z24" s="223"/>
      <c r="AA24" s="223">
        <f>Y24*$C$24</f>
        <v>1366984.3652637068</v>
      </c>
      <c r="AB24" s="223"/>
      <c r="AC24" s="223">
        <f>AA24*$C$24</f>
        <v>1394324.052568981</v>
      </c>
      <c r="AD24" s="223"/>
      <c r="AE24" s="223">
        <f>AC24*$C$24</f>
        <v>1422210.5336203605</v>
      </c>
      <c r="AF24" s="223"/>
      <c r="AG24" s="223">
        <f>AE24*$C$24</f>
        <v>1450654.7442927677</v>
      </c>
    </row>
    <row r="25" spans="1:33" s="211" customFormat="1" ht="14.25">
      <c r="C25" s="234"/>
      <c r="E25" s="223"/>
      <c r="F25" s="223"/>
      <c r="G25" s="223"/>
      <c r="H25" s="223"/>
      <c r="I25" s="223"/>
      <c r="J25" s="223"/>
      <c r="K25" s="223"/>
      <c r="L25" s="223"/>
      <c r="M25" s="223"/>
      <c r="N25" s="223"/>
      <c r="O25" s="223"/>
      <c r="P25" s="223"/>
      <c r="Q25" s="223"/>
      <c r="R25" s="223"/>
      <c r="S25" s="223"/>
      <c r="T25" s="223"/>
      <c r="U25" s="223"/>
      <c r="V25" s="223"/>
      <c r="W25" s="223"/>
      <c r="X25" s="223"/>
      <c r="Y25" s="223"/>
      <c r="Z25" s="223"/>
      <c r="AA25" s="223"/>
      <c r="AB25" s="223"/>
      <c r="AC25" s="223"/>
      <c r="AD25" s="223"/>
      <c r="AE25" s="223"/>
      <c r="AF25" s="223"/>
      <c r="AG25" s="223"/>
    </row>
    <row r="26" spans="1:33" s="211" customFormat="1" ht="14.25">
      <c r="A26" s="211" t="s">
        <v>1158</v>
      </c>
      <c r="C26" s="238">
        <v>1.0349999999999999</v>
      </c>
      <c r="E26" s="223">
        <f>Application!AC887</f>
        <v>0</v>
      </c>
      <c r="F26" s="223"/>
      <c r="G26" s="223">
        <f>E26*$C$26</f>
        <v>0</v>
      </c>
      <c r="H26" s="223"/>
      <c r="I26" s="223">
        <f>G26*$C$26</f>
        <v>0</v>
      </c>
      <c r="J26" s="223"/>
      <c r="K26" s="223">
        <f>I26*$C$26</f>
        <v>0</v>
      </c>
      <c r="L26" s="223"/>
      <c r="M26" s="223">
        <f>K26*$C$26</f>
        <v>0</v>
      </c>
      <c r="N26" s="223"/>
      <c r="O26" s="223">
        <f>M26*$C$26</f>
        <v>0</v>
      </c>
      <c r="P26" s="223"/>
      <c r="Q26" s="223">
        <f>O26*$C$26</f>
        <v>0</v>
      </c>
      <c r="R26" s="223"/>
      <c r="S26" s="223">
        <f>Q26*$C$26</f>
        <v>0</v>
      </c>
      <c r="T26" s="223"/>
      <c r="U26" s="223">
        <f>S26*$C$26</f>
        <v>0</v>
      </c>
      <c r="V26" s="223"/>
      <c r="W26" s="223">
        <f>U26*$C$26</f>
        <v>0</v>
      </c>
      <c r="X26" s="223"/>
      <c r="Y26" s="223">
        <f>W26*$C$26</f>
        <v>0</v>
      </c>
      <c r="Z26" s="223"/>
      <c r="AA26" s="223">
        <f>Y26*$C$26</f>
        <v>0</v>
      </c>
      <c r="AB26" s="223"/>
      <c r="AC26" s="223">
        <f>AA26*$C$26</f>
        <v>0</v>
      </c>
      <c r="AD26" s="223"/>
      <c r="AE26" s="223">
        <f>AC26*$C$26</f>
        <v>0</v>
      </c>
      <c r="AF26" s="223"/>
      <c r="AG26" s="223">
        <f>AE26*$C$26</f>
        <v>0</v>
      </c>
    </row>
    <row r="27" spans="1:33" s="211" customFormat="1" ht="14.25">
      <c r="A27" s="211" t="s">
        <v>845</v>
      </c>
      <c r="C27" s="238">
        <v>1.0349999999999999</v>
      </c>
      <c r="E27" s="223">
        <f>Application!AC888</f>
        <v>16948</v>
      </c>
      <c r="F27" s="223"/>
      <c r="G27" s="223">
        <f>E27*$C$27</f>
        <v>17541.18</v>
      </c>
      <c r="H27" s="223"/>
      <c r="I27" s="223">
        <f>G27*$C$27</f>
        <v>18155.121299999999</v>
      </c>
      <c r="J27" s="223"/>
      <c r="K27" s="223">
        <f>I27*$C$27</f>
        <v>18790.550545499998</v>
      </c>
      <c r="L27" s="223"/>
      <c r="M27" s="223">
        <f>K27*$C$27</f>
        <v>19448.219814592496</v>
      </c>
      <c r="N27" s="223"/>
      <c r="O27" s="223">
        <f>M27*$C$27</f>
        <v>20128.907508103232</v>
      </c>
      <c r="P27" s="223"/>
      <c r="Q27" s="223">
        <f>O27*$C$27</f>
        <v>20833.419270886843</v>
      </c>
      <c r="R27" s="223"/>
      <c r="S27" s="223">
        <f>Q27*$C$27</f>
        <v>21562.588945367879</v>
      </c>
      <c r="T27" s="223"/>
      <c r="U27" s="223">
        <f>S27*$C$27</f>
        <v>22317.279558455753</v>
      </c>
      <c r="V27" s="223"/>
      <c r="W27" s="223">
        <f>U27*$C$27</f>
        <v>23098.384343001704</v>
      </c>
      <c r="X27" s="223"/>
      <c r="Y27" s="223">
        <f>W27*$C$27</f>
        <v>23906.82779500676</v>
      </c>
      <c r="Z27" s="223"/>
      <c r="AA27" s="223">
        <f>Y27*$C$27</f>
        <v>24743.566767831995</v>
      </c>
      <c r="AB27" s="223"/>
      <c r="AC27" s="223">
        <f>AA27*$C$27</f>
        <v>25609.591604706115</v>
      </c>
      <c r="AD27" s="223"/>
      <c r="AE27" s="223">
        <f>AC27*$C$27</f>
        <v>26505.927310870826</v>
      </c>
      <c r="AF27" s="223"/>
      <c r="AG27" s="223">
        <f>AE27*$C$27</f>
        <v>27433.634766751304</v>
      </c>
    </row>
    <row r="28" spans="1:33" s="211" customFormat="1" ht="14.25">
      <c r="A28" s="211" t="s">
        <v>846</v>
      </c>
      <c r="C28" s="238"/>
      <c r="E28" s="223">
        <f>Application!AC889</f>
        <v>69600</v>
      </c>
      <c r="F28" s="223"/>
      <c r="G28" s="223">
        <f>$E$28</f>
        <v>69600</v>
      </c>
      <c r="H28" s="223"/>
      <c r="I28" s="223">
        <f>$E$28</f>
        <v>69600</v>
      </c>
      <c r="J28" s="223"/>
      <c r="K28" s="223">
        <f>$E$28</f>
        <v>69600</v>
      </c>
      <c r="L28" s="223"/>
      <c r="M28" s="223">
        <f>$E$28</f>
        <v>69600</v>
      </c>
      <c r="N28" s="223"/>
      <c r="O28" s="223">
        <f>$E$28</f>
        <v>69600</v>
      </c>
      <c r="P28" s="223"/>
      <c r="Q28" s="223">
        <f>$E$28</f>
        <v>69600</v>
      </c>
      <c r="R28" s="223"/>
      <c r="S28" s="223">
        <f>$E$28</f>
        <v>69600</v>
      </c>
      <c r="T28" s="223"/>
      <c r="U28" s="223">
        <f>$E$28</f>
        <v>69600</v>
      </c>
      <c r="V28" s="223"/>
      <c r="W28" s="223">
        <f>$E$28</f>
        <v>69600</v>
      </c>
      <c r="X28" s="223"/>
      <c r="Y28" s="223">
        <f>$E$28</f>
        <v>69600</v>
      </c>
      <c r="Z28" s="223"/>
      <c r="AA28" s="223">
        <f>$E$28</f>
        <v>69600</v>
      </c>
      <c r="AB28" s="223"/>
      <c r="AC28" s="223">
        <f>$E$28</f>
        <v>69600</v>
      </c>
      <c r="AD28" s="223"/>
      <c r="AE28" s="223">
        <f>$E$28</f>
        <v>69600</v>
      </c>
      <c r="AF28" s="223"/>
      <c r="AG28" s="223">
        <f>$E$28</f>
        <v>69600</v>
      </c>
    </row>
    <row r="29" spans="1:33" s="211" customFormat="1" ht="14.25">
      <c r="A29" s="211" t="s">
        <v>1679</v>
      </c>
      <c r="C29" s="238"/>
      <c r="E29" s="223">
        <f>Application!AC890</f>
        <v>11523</v>
      </c>
      <c r="F29" s="223"/>
      <c r="G29" s="223">
        <f>$E$29</f>
        <v>11523</v>
      </c>
      <c r="H29" s="223"/>
      <c r="I29" s="223">
        <f>$E$29</f>
        <v>11523</v>
      </c>
      <c r="J29" s="223"/>
      <c r="K29" s="223">
        <f>$E$29</f>
        <v>11523</v>
      </c>
      <c r="L29" s="223"/>
      <c r="M29" s="223">
        <f>$E$29</f>
        <v>11523</v>
      </c>
      <c r="N29" s="223"/>
      <c r="O29" s="223">
        <f>$E$29</f>
        <v>11523</v>
      </c>
      <c r="P29" s="223"/>
      <c r="Q29" s="223">
        <f>$E$29</f>
        <v>11523</v>
      </c>
      <c r="R29" s="223"/>
      <c r="S29" s="223">
        <f>$E$29</f>
        <v>11523</v>
      </c>
      <c r="T29" s="223"/>
      <c r="U29" s="223">
        <f>$E$29</f>
        <v>11523</v>
      </c>
      <c r="V29" s="223"/>
      <c r="W29" s="223">
        <f>$E$29</f>
        <v>11523</v>
      </c>
      <c r="X29" s="223"/>
      <c r="Y29" s="223">
        <f>$E$29</f>
        <v>11523</v>
      </c>
      <c r="Z29" s="223"/>
      <c r="AA29" s="223">
        <f>$E$29</f>
        <v>11523</v>
      </c>
      <c r="AB29" s="223"/>
      <c r="AC29" s="223">
        <f>$E$29</f>
        <v>11523</v>
      </c>
      <c r="AD29" s="223"/>
      <c r="AE29" s="223">
        <f>$E$29</f>
        <v>11523</v>
      </c>
      <c r="AF29" s="223"/>
      <c r="AG29" s="223">
        <f>$E$29</f>
        <v>11523</v>
      </c>
    </row>
    <row r="30" spans="1:33" s="211" customFormat="1" ht="14.25">
      <c r="A30" s="211" t="s">
        <v>844</v>
      </c>
      <c r="C30" s="238">
        <v>1.02</v>
      </c>
      <c r="E30" s="223">
        <f>Application!AC891</f>
        <v>0</v>
      </c>
      <c r="F30" s="223"/>
      <c r="G30" s="223">
        <f>E30*$C$30</f>
        <v>0</v>
      </c>
      <c r="H30" s="223"/>
      <c r="I30" s="223">
        <f>G30*$C$30</f>
        <v>0</v>
      </c>
      <c r="J30" s="223"/>
      <c r="K30" s="223">
        <f>I30*$C$30</f>
        <v>0</v>
      </c>
      <c r="L30" s="223"/>
      <c r="M30" s="223">
        <f>K30*$C$30</f>
        <v>0</v>
      </c>
      <c r="N30" s="223"/>
      <c r="O30" s="223">
        <f>M30*$C$30</f>
        <v>0</v>
      </c>
      <c r="P30" s="223"/>
      <c r="Q30" s="223">
        <f>O30*$C$30</f>
        <v>0</v>
      </c>
      <c r="R30" s="223"/>
      <c r="S30" s="223">
        <f>Q30*$C$30</f>
        <v>0</v>
      </c>
      <c r="T30" s="223"/>
      <c r="U30" s="223">
        <f>S30*$C$30</f>
        <v>0</v>
      </c>
      <c r="V30" s="223"/>
      <c r="W30" s="223">
        <f>U30*$C$30</f>
        <v>0</v>
      </c>
      <c r="X30" s="223"/>
      <c r="Y30" s="223">
        <f>W30*$C$30</f>
        <v>0</v>
      </c>
      <c r="Z30" s="223"/>
      <c r="AA30" s="223">
        <f>Y30*$C$30</f>
        <v>0</v>
      </c>
      <c r="AB30" s="223"/>
      <c r="AC30" s="223">
        <f>AA30*$C$30</f>
        <v>0</v>
      </c>
      <c r="AD30" s="223"/>
      <c r="AE30" s="223">
        <f>AC30*$C$30</f>
        <v>0</v>
      </c>
      <c r="AF30" s="223"/>
      <c r="AG30" s="223">
        <f>AE30*$C$30</f>
        <v>0</v>
      </c>
    </row>
    <row r="31" spans="1:33" s="211" customFormat="1" ht="14.25">
      <c r="A31" s="211" t="s">
        <v>1680</v>
      </c>
      <c r="C31" s="238">
        <v>1.02</v>
      </c>
      <c r="E31" s="223">
        <f>Application!AC893</f>
        <v>921</v>
      </c>
      <c r="F31" s="223"/>
      <c r="G31" s="223">
        <f>E31*$C$31</f>
        <v>939.42000000000007</v>
      </c>
      <c r="H31" s="223"/>
      <c r="I31" s="223">
        <f>G31*$C$31</f>
        <v>958.2084000000001</v>
      </c>
      <c r="J31" s="223"/>
      <c r="K31" s="223">
        <f>I31*$C$31</f>
        <v>977.37256800000011</v>
      </c>
      <c r="L31" s="223"/>
      <c r="M31" s="223">
        <f>K31*$C$31</f>
        <v>996.92001936000008</v>
      </c>
      <c r="N31" s="223"/>
      <c r="O31" s="223">
        <f>M31*$C$31</f>
        <v>1016.8584197472001</v>
      </c>
      <c r="P31" s="223"/>
      <c r="Q31" s="223">
        <f>O31*$C$31</f>
        <v>1037.1955881421441</v>
      </c>
      <c r="R31" s="223"/>
      <c r="S31" s="223">
        <f>Q31*$C$31</f>
        <v>1057.9394999049869</v>
      </c>
      <c r="T31" s="223"/>
      <c r="U31" s="223">
        <f>S31*$C$31</f>
        <v>1079.0982899030867</v>
      </c>
      <c r="V31" s="223"/>
      <c r="W31" s="223">
        <f>U31*$C$31</f>
        <v>1100.6802557011483</v>
      </c>
      <c r="X31" s="223"/>
      <c r="Y31" s="223">
        <f>W31*$C$31</f>
        <v>1122.6938608151713</v>
      </c>
      <c r="Z31" s="223"/>
      <c r="AA31" s="223">
        <f>Y31*$C$31</f>
        <v>1145.1477380314748</v>
      </c>
      <c r="AB31" s="223"/>
      <c r="AC31" s="223">
        <f>AA31*$C$31</f>
        <v>1168.0506927921042</v>
      </c>
      <c r="AD31" s="223"/>
      <c r="AE31" s="223">
        <f>AC31*$C$31</f>
        <v>1191.4117066479464</v>
      </c>
      <c r="AF31" s="223"/>
      <c r="AG31" s="223">
        <f>AE31*$C$31</f>
        <v>1215.2399407809053</v>
      </c>
    </row>
    <row r="32" spans="1:33" s="211" customFormat="1" ht="14.25">
      <c r="A32" s="211" t="str">
        <f>Application!C894</f>
        <v>Other (Specify):</v>
      </c>
      <c r="C32" s="317">
        <v>1.0349999999999999</v>
      </c>
      <c r="E32" s="223">
        <f>Application!AC894</f>
        <v>0</v>
      </c>
      <c r="F32" s="223"/>
      <c r="G32" s="223">
        <f>E32*$C$32</f>
        <v>0</v>
      </c>
      <c r="H32" s="223"/>
      <c r="I32" s="223">
        <f>G32*$C$32</f>
        <v>0</v>
      </c>
      <c r="J32" s="223"/>
      <c r="K32" s="223">
        <f>I32*$C$32</f>
        <v>0</v>
      </c>
      <c r="L32" s="223"/>
      <c r="M32" s="223">
        <f>K32*$C$32</f>
        <v>0</v>
      </c>
      <c r="N32" s="223"/>
      <c r="O32" s="223">
        <f>M32*$C$32</f>
        <v>0</v>
      </c>
      <c r="P32" s="223"/>
      <c r="Q32" s="223">
        <f>O32*$C$32</f>
        <v>0</v>
      </c>
      <c r="R32" s="223"/>
      <c r="S32" s="223">
        <f>Q32*$C$32</f>
        <v>0</v>
      </c>
      <c r="T32" s="223"/>
      <c r="U32" s="223">
        <f>S32*$C$32</f>
        <v>0</v>
      </c>
      <c r="V32" s="223"/>
      <c r="W32" s="223">
        <f>U32*$C$32</f>
        <v>0</v>
      </c>
      <c r="X32" s="223"/>
      <c r="Y32" s="223">
        <f>W32*$C$32</f>
        <v>0</v>
      </c>
      <c r="Z32" s="223"/>
      <c r="AA32" s="223">
        <f>Y32*$C$32</f>
        <v>0</v>
      </c>
      <c r="AB32" s="223"/>
      <c r="AC32" s="223">
        <f>AA32*$C$32</f>
        <v>0</v>
      </c>
      <c r="AD32" s="223"/>
      <c r="AE32" s="223">
        <f>AC32*$C$32</f>
        <v>0</v>
      </c>
      <c r="AF32" s="223"/>
      <c r="AG32" s="223">
        <f>AE32*$C$32</f>
        <v>0</v>
      </c>
    </row>
    <row r="33" spans="1:33" s="211" customFormat="1" ht="14.25">
      <c r="A33" s="211" t="str">
        <f>Application!C895</f>
        <v>Other (Specify):</v>
      </c>
      <c r="C33" s="317">
        <v>1.0349999999999999</v>
      </c>
      <c r="E33" s="223">
        <f>Application!AC895</f>
        <v>0</v>
      </c>
      <c r="F33" s="223"/>
      <c r="G33" s="223">
        <f>E33*$C$33</f>
        <v>0</v>
      </c>
      <c r="H33" s="223"/>
      <c r="I33" s="223">
        <f>G33*$C$33</f>
        <v>0</v>
      </c>
      <c r="J33" s="223"/>
      <c r="K33" s="223">
        <f>I33*$C$33</f>
        <v>0</v>
      </c>
      <c r="L33" s="223"/>
      <c r="M33" s="223">
        <f>K33*$C$33</f>
        <v>0</v>
      </c>
      <c r="N33" s="223"/>
      <c r="O33" s="223">
        <f>M33*$C$33</f>
        <v>0</v>
      </c>
      <c r="P33" s="223"/>
      <c r="Q33" s="223">
        <f>O33*$C$33</f>
        <v>0</v>
      </c>
      <c r="R33" s="223"/>
      <c r="S33" s="223">
        <f>Q33*$C$33</f>
        <v>0</v>
      </c>
      <c r="T33" s="223"/>
      <c r="U33" s="223">
        <f>S33*$C$33</f>
        <v>0</v>
      </c>
      <c r="V33" s="223"/>
      <c r="W33" s="223">
        <f>U33*$C$33</f>
        <v>0</v>
      </c>
      <c r="X33" s="223"/>
      <c r="Y33" s="223">
        <f>W33*$C$33</f>
        <v>0</v>
      </c>
      <c r="Z33" s="223"/>
      <c r="AA33" s="223">
        <f>Y33*$C$33</f>
        <v>0</v>
      </c>
      <c r="AB33" s="223"/>
      <c r="AC33" s="223">
        <f>AA33*$C$33</f>
        <v>0</v>
      </c>
      <c r="AD33" s="223"/>
      <c r="AE33" s="223">
        <f>AC33*$C$33</f>
        <v>0</v>
      </c>
      <c r="AF33" s="223"/>
      <c r="AG33" s="223">
        <f>AE33*$C$33</f>
        <v>0</v>
      </c>
    </row>
    <row r="34" spans="1:33" s="211" customFormat="1" ht="14.25">
      <c r="C34" s="221"/>
      <c r="E34" s="223"/>
      <c r="F34" s="223"/>
      <c r="G34" s="223"/>
      <c r="H34" s="223"/>
      <c r="I34" s="223"/>
      <c r="J34" s="223"/>
      <c r="K34" s="223"/>
      <c r="L34" s="223"/>
      <c r="M34" s="223"/>
      <c r="N34" s="223"/>
      <c r="O34" s="223"/>
      <c r="P34" s="223"/>
      <c r="Q34" s="223"/>
      <c r="R34" s="223"/>
      <c r="S34" s="223"/>
      <c r="T34" s="223"/>
      <c r="U34" s="223"/>
      <c r="V34" s="223"/>
      <c r="W34" s="223"/>
      <c r="X34" s="223"/>
      <c r="Y34" s="223"/>
      <c r="Z34" s="223"/>
      <c r="AA34" s="223"/>
      <c r="AB34" s="223"/>
      <c r="AC34" s="223"/>
      <c r="AD34" s="223"/>
      <c r="AE34" s="223"/>
      <c r="AF34" s="223"/>
      <c r="AG34" s="223"/>
    </row>
    <row r="35" spans="1:33" s="224" customFormat="1" ht="15">
      <c r="A35" s="224" t="s">
        <v>177</v>
      </c>
      <c r="C35" s="225"/>
      <c r="E35" s="224">
        <f>SUM(E22:E33)</f>
        <v>2441303</v>
      </c>
      <c r="G35" s="224">
        <f>SUM(G22:G33)</f>
        <v>2507404.2600000002</v>
      </c>
      <c r="I35" s="224">
        <f>SUM(I22:I33)</f>
        <v>2575488.9632999999</v>
      </c>
      <c r="K35" s="224">
        <f>SUM(K22:K33)</f>
        <v>2645619.9283995</v>
      </c>
      <c r="M35" s="224">
        <f>SUM(M22:M33)</f>
        <v>2717862.0404051617</v>
      </c>
      <c r="O35" s="224">
        <f>SUM(O22:O33)</f>
        <v>2792282.3207212561</v>
      </c>
      <c r="Q35" s="224">
        <f>SUM(Q22:Q33)</f>
        <v>2868949.9991264525</v>
      </c>
      <c r="S35" s="224">
        <f>SUM(S22:S33)</f>
        <v>2947936.5883194283</v>
      </c>
      <c r="U35" s="224">
        <f>SUM(U22:U33)</f>
        <v>3029315.9610186303</v>
      </c>
      <c r="W35" s="224">
        <f>SUM(W22:W33)</f>
        <v>3113164.429704465</v>
      </c>
      <c r="Y35" s="224">
        <f>SUM(Y22:Y33)</f>
        <v>3199560.8290953068</v>
      </c>
      <c r="AA35" s="224">
        <f>SUM(AA22:AA33)</f>
        <v>3288586.6014518524</v>
      </c>
      <c r="AC35" s="224">
        <f>SUM(AC22:AC33)</f>
        <v>3380325.8848076407</v>
      </c>
      <c r="AE35" s="224">
        <f>SUM(AE22:AE33)</f>
        <v>3474865.6042269813</v>
      </c>
      <c r="AG35" s="224">
        <f>SUM(AG22:AG33)</f>
        <v>3572295.5661950205</v>
      </c>
    </row>
    <row r="36" spans="1:33" s="211" customFormat="1" ht="14.25">
      <c r="C36" s="221"/>
      <c r="E36" s="223"/>
      <c r="F36" s="223"/>
      <c r="G36" s="223"/>
      <c r="H36" s="223"/>
      <c r="I36" s="223"/>
      <c r="J36" s="223"/>
      <c r="K36" s="223"/>
      <c r="L36" s="223"/>
      <c r="M36" s="223"/>
      <c r="N36" s="223"/>
      <c r="O36" s="223"/>
      <c r="P36" s="223"/>
      <c r="Q36" s="223"/>
      <c r="R36" s="223"/>
      <c r="S36" s="223"/>
      <c r="T36" s="223"/>
      <c r="U36" s="223"/>
      <c r="V36" s="223"/>
      <c r="W36" s="223"/>
      <c r="X36" s="223"/>
      <c r="Y36" s="223"/>
      <c r="Z36" s="223"/>
      <c r="AA36" s="223"/>
      <c r="AB36" s="223"/>
      <c r="AC36" s="223"/>
      <c r="AD36" s="223"/>
      <c r="AE36" s="223"/>
      <c r="AF36" s="223"/>
      <c r="AG36" s="223"/>
    </row>
    <row r="37" spans="1:33" s="224" customFormat="1" ht="15">
      <c r="A37" s="224" t="s">
        <v>847</v>
      </c>
      <c r="C37" s="225"/>
      <c r="E37" s="224">
        <f>E11-E35</f>
        <v>1977025.3999999994</v>
      </c>
      <c r="G37" s="224">
        <f>G11-G35</f>
        <v>2021382.3499999992</v>
      </c>
      <c r="I37" s="224">
        <f>I11-I35</f>
        <v>2066517.31195</v>
      </c>
      <c r="K37" s="224">
        <f>K11-K35</f>
        <v>2112436.5037317486</v>
      </c>
      <c r="M37" s="224">
        <f>M11-M35</f>
        <v>2159145.8025293676</v>
      </c>
      <c r="O37" s="224">
        <f>O11-O35</f>
        <v>2206650.7182866368</v>
      </c>
      <c r="Q37" s="224">
        <f>Q11-Q35</f>
        <v>2254956.3658566368</v>
      </c>
      <c r="S37" s="224">
        <f>S11-S35</f>
        <v>2304067.4357882375</v>
      </c>
      <c r="U37" s="224">
        <f>U11-U35</f>
        <v>2353988.1636917265</v>
      </c>
      <c r="W37" s="224">
        <f>W11-W35</f>
        <v>2404722.2981236503</v>
      </c>
      <c r="Y37" s="224">
        <f>Y11-Y35</f>
        <v>2456273.0669285115</v>
      </c>
      <c r="AA37" s="224">
        <f>AA11-AA35</f>
        <v>2508643.1419725614</v>
      </c>
      <c r="AC37" s="224">
        <f>AC11-AC35</f>
        <v>2561834.6022023829</v>
      </c>
      <c r="AE37" s="224">
        <f>AE11-AE35</f>
        <v>2615848.8949582921</v>
      </c>
      <c r="AG37" s="224">
        <f>AG11-AG35</f>
        <v>2670686.7954698838</v>
      </c>
    </row>
    <row r="38" spans="1:33" s="211" customFormat="1" ht="14.25">
      <c r="C38" s="221"/>
      <c r="E38" s="223"/>
      <c r="F38" s="223"/>
      <c r="G38" s="223"/>
      <c r="H38" s="223"/>
      <c r="I38" s="223"/>
      <c r="J38" s="223"/>
      <c r="K38" s="223"/>
      <c r="L38" s="223"/>
      <c r="M38" s="223"/>
      <c r="N38" s="223"/>
      <c r="O38" s="223"/>
      <c r="P38" s="223"/>
      <c r="Q38" s="223"/>
      <c r="R38" s="223"/>
      <c r="S38" s="223"/>
      <c r="T38" s="223"/>
      <c r="U38" s="223"/>
      <c r="V38" s="223"/>
      <c r="W38" s="223"/>
      <c r="X38" s="223"/>
      <c r="Y38" s="223"/>
      <c r="Z38" s="223"/>
      <c r="AA38" s="223"/>
      <c r="AB38" s="223"/>
      <c r="AC38" s="223"/>
      <c r="AD38" s="223"/>
      <c r="AE38" s="223"/>
      <c r="AF38" s="223"/>
      <c r="AG38" s="223"/>
    </row>
    <row r="39" spans="1:33" s="211" customFormat="1" ht="15">
      <c r="A39" s="219" t="s">
        <v>860</v>
      </c>
      <c r="C39" s="221"/>
      <c r="E39" s="223"/>
      <c r="F39" s="223"/>
      <c r="G39" s="223"/>
      <c r="H39" s="223"/>
      <c r="I39" s="223"/>
      <c r="J39" s="223"/>
      <c r="K39" s="223"/>
      <c r="L39" s="223"/>
      <c r="M39" s="223"/>
      <c r="N39" s="223"/>
      <c r="O39" s="223"/>
      <c r="P39" s="223"/>
      <c r="Q39" s="223"/>
      <c r="R39" s="223"/>
      <c r="S39" s="223"/>
      <c r="T39" s="223"/>
      <c r="U39" s="223"/>
      <c r="V39" s="223"/>
      <c r="W39" s="223"/>
      <c r="X39" s="223"/>
      <c r="Y39" s="223"/>
      <c r="Z39" s="223"/>
      <c r="AA39" s="223"/>
      <c r="AB39" s="223"/>
      <c r="AC39" s="223"/>
      <c r="AD39" s="223"/>
      <c r="AE39" s="223"/>
      <c r="AF39" s="223"/>
      <c r="AG39" s="223"/>
    </row>
    <row r="40" spans="1:33" s="211" customFormat="1" ht="14.25">
      <c r="A40" s="226" t="str">
        <f>Application!C628</f>
        <v>Citibank Tax-Exempt Permanent Loan</v>
      </c>
      <c r="B40" s="227"/>
      <c r="C40" s="221"/>
      <c r="E40" s="223">
        <f>Application!AF628</f>
        <v>1718593</v>
      </c>
      <c r="F40" s="223"/>
      <c r="G40" s="223">
        <f>$E$40</f>
        <v>1718593</v>
      </c>
      <c r="H40" s="223"/>
      <c r="I40" s="223">
        <f>$E$40</f>
        <v>1718593</v>
      </c>
      <c r="J40" s="223"/>
      <c r="K40" s="223">
        <f>$E$40</f>
        <v>1718593</v>
      </c>
      <c r="L40" s="223"/>
      <c r="M40" s="223">
        <f>$E$40</f>
        <v>1718593</v>
      </c>
      <c r="N40" s="223"/>
      <c r="O40" s="223">
        <f>$E$40</f>
        <v>1718593</v>
      </c>
      <c r="P40" s="223"/>
      <c r="Q40" s="223">
        <f>$E$40</f>
        <v>1718593</v>
      </c>
      <c r="R40" s="223"/>
      <c r="S40" s="223">
        <f>$E$40</f>
        <v>1718593</v>
      </c>
      <c r="T40" s="223"/>
      <c r="U40" s="223">
        <f>$E$40</f>
        <v>1718593</v>
      </c>
      <c r="V40" s="223"/>
      <c r="W40" s="223">
        <f>$E$40</f>
        <v>1718593</v>
      </c>
      <c r="X40" s="223"/>
      <c r="Y40" s="223">
        <f>$E$40</f>
        <v>1718593</v>
      </c>
      <c r="Z40" s="223"/>
      <c r="AA40" s="223">
        <f>$E$40</f>
        <v>1718593</v>
      </c>
      <c r="AB40" s="223"/>
      <c r="AC40" s="223">
        <f>$E$40</f>
        <v>1718593</v>
      </c>
      <c r="AD40" s="223"/>
      <c r="AE40" s="223">
        <f>$E$40</f>
        <v>1718593</v>
      </c>
      <c r="AF40" s="223"/>
      <c r="AG40" s="223">
        <f>$E$40</f>
        <v>1718593</v>
      </c>
    </row>
    <row r="41" spans="1:33" s="211" customFormat="1" ht="14.25">
      <c r="A41" s="226"/>
      <c r="B41" s="227"/>
      <c r="C41" s="221"/>
      <c r="E41" s="223"/>
      <c r="F41" s="223"/>
      <c r="G41" s="223">
        <f>$E$41</f>
        <v>0</v>
      </c>
      <c r="H41" s="223"/>
      <c r="I41" s="223">
        <f>$E$41</f>
        <v>0</v>
      </c>
      <c r="J41" s="223"/>
      <c r="K41" s="223">
        <f>$E$41</f>
        <v>0</v>
      </c>
      <c r="L41" s="223"/>
      <c r="M41" s="223">
        <f>$E$41</f>
        <v>0</v>
      </c>
      <c r="N41" s="223"/>
      <c r="O41" s="223">
        <f>$E$41</f>
        <v>0</v>
      </c>
      <c r="P41" s="223"/>
      <c r="Q41" s="223">
        <f>$E$41</f>
        <v>0</v>
      </c>
      <c r="R41" s="223"/>
      <c r="S41" s="223">
        <f>$E$41</f>
        <v>0</v>
      </c>
      <c r="T41" s="223"/>
      <c r="U41" s="223">
        <f>$E$41</f>
        <v>0</v>
      </c>
      <c r="V41" s="223"/>
      <c r="W41" s="223">
        <f>$E$41</f>
        <v>0</v>
      </c>
      <c r="X41" s="223"/>
      <c r="Y41" s="223">
        <f>$E$41</f>
        <v>0</v>
      </c>
      <c r="Z41" s="223"/>
      <c r="AA41" s="223">
        <f>$E$41</f>
        <v>0</v>
      </c>
      <c r="AB41" s="223"/>
      <c r="AC41" s="223">
        <f>$E$41</f>
        <v>0</v>
      </c>
      <c r="AD41" s="223"/>
      <c r="AE41" s="223">
        <f>$E$41</f>
        <v>0</v>
      </c>
      <c r="AF41" s="223"/>
      <c r="AG41" s="223">
        <f>$E$41</f>
        <v>0</v>
      </c>
    </row>
    <row r="42" spans="1:33" s="211" customFormat="1" ht="14.25">
      <c r="A42" s="226"/>
      <c r="B42" s="227"/>
      <c r="C42" s="221"/>
      <c r="E42" s="233"/>
      <c r="F42" s="223"/>
      <c r="G42" s="233">
        <f>$E$42</f>
        <v>0</v>
      </c>
      <c r="H42" s="223"/>
      <c r="I42" s="233">
        <f>$E$42</f>
        <v>0</v>
      </c>
      <c r="J42" s="223"/>
      <c r="K42" s="233">
        <f>$E$42</f>
        <v>0</v>
      </c>
      <c r="L42" s="223"/>
      <c r="M42" s="233">
        <f>$E$42</f>
        <v>0</v>
      </c>
      <c r="N42" s="223"/>
      <c r="O42" s="233">
        <f>$E$42</f>
        <v>0</v>
      </c>
      <c r="P42" s="223"/>
      <c r="Q42" s="233">
        <f>$E$42</f>
        <v>0</v>
      </c>
      <c r="R42" s="223"/>
      <c r="S42" s="233">
        <f>$E$42</f>
        <v>0</v>
      </c>
      <c r="T42" s="223"/>
      <c r="U42" s="233">
        <f>$E$42</f>
        <v>0</v>
      </c>
      <c r="V42" s="223"/>
      <c r="W42" s="233">
        <f>$E$42</f>
        <v>0</v>
      </c>
      <c r="X42" s="223"/>
      <c r="Y42" s="233">
        <f>$E$42</f>
        <v>0</v>
      </c>
      <c r="Z42" s="223"/>
      <c r="AA42" s="233">
        <f>$E$42</f>
        <v>0</v>
      </c>
      <c r="AB42" s="223"/>
      <c r="AC42" s="233">
        <f>$E$42</f>
        <v>0</v>
      </c>
      <c r="AD42" s="223"/>
      <c r="AE42" s="233">
        <f>$E$42</f>
        <v>0</v>
      </c>
      <c r="AF42" s="223"/>
      <c r="AG42" s="233">
        <f>$E$42</f>
        <v>0</v>
      </c>
    </row>
    <row r="43" spans="1:33" s="224" customFormat="1" ht="15">
      <c r="A43" s="224" t="s">
        <v>848</v>
      </c>
      <c r="C43" s="225"/>
      <c r="E43" s="224">
        <f>SUM(E40:E42)</f>
        <v>1718593</v>
      </c>
      <c r="G43" s="224">
        <f>SUM(G40:G42)</f>
        <v>1718593</v>
      </c>
      <c r="I43" s="224">
        <f>SUM(I40:I42)</f>
        <v>1718593</v>
      </c>
      <c r="K43" s="224">
        <f>SUM(K40:K42)</f>
        <v>1718593</v>
      </c>
      <c r="M43" s="224">
        <f>SUM(M40:M42)</f>
        <v>1718593</v>
      </c>
      <c r="O43" s="224">
        <f>SUM(O40:O42)</f>
        <v>1718593</v>
      </c>
      <c r="Q43" s="224">
        <f>SUM(Q40:Q42)</f>
        <v>1718593</v>
      </c>
      <c r="S43" s="224">
        <f>SUM(S40:S42)</f>
        <v>1718593</v>
      </c>
      <c r="U43" s="224">
        <f>SUM(U40:U42)</f>
        <v>1718593</v>
      </c>
      <c r="W43" s="224">
        <f>SUM(W40:W42)</f>
        <v>1718593</v>
      </c>
      <c r="Y43" s="224">
        <f>SUM(Y40:Y42)</f>
        <v>1718593</v>
      </c>
      <c r="AA43" s="224">
        <f>SUM(AA40:AA42)</f>
        <v>1718593</v>
      </c>
      <c r="AC43" s="224">
        <f>SUM(AC40:AC42)</f>
        <v>1718593</v>
      </c>
      <c r="AE43" s="224">
        <f>SUM(AE40:AE42)</f>
        <v>1718593</v>
      </c>
      <c r="AG43" s="224">
        <f>SUM(AG40:AG42)</f>
        <v>1718593</v>
      </c>
    </row>
    <row r="44" spans="1:33" s="211" customFormat="1" ht="14.25">
      <c r="C44" s="221"/>
      <c r="E44" s="223"/>
      <c r="F44" s="223"/>
      <c r="G44" s="223"/>
      <c r="H44" s="223"/>
      <c r="I44" s="223"/>
      <c r="J44" s="223"/>
      <c r="K44" s="223"/>
      <c r="L44" s="223"/>
      <c r="M44" s="223"/>
      <c r="N44" s="223"/>
      <c r="O44" s="223"/>
      <c r="P44" s="223"/>
      <c r="Q44" s="223"/>
      <c r="R44" s="223"/>
      <c r="S44" s="223"/>
      <c r="T44" s="223"/>
      <c r="U44" s="223"/>
      <c r="V44" s="223"/>
      <c r="W44" s="223"/>
      <c r="X44" s="223"/>
      <c r="Y44" s="223"/>
      <c r="Z44" s="223"/>
      <c r="AA44" s="223"/>
      <c r="AB44" s="223"/>
      <c r="AC44" s="223"/>
      <c r="AD44" s="223"/>
      <c r="AE44" s="223"/>
      <c r="AF44" s="223"/>
      <c r="AG44" s="223"/>
    </row>
    <row r="45" spans="1:33" s="224" customFormat="1" ht="15">
      <c r="A45" s="224" t="s">
        <v>849</v>
      </c>
      <c r="C45" s="225"/>
      <c r="E45" s="224">
        <f>E37-E43</f>
        <v>258432.39999999944</v>
      </c>
      <c r="G45" s="224">
        <f>G37-G43</f>
        <v>302789.34999999916</v>
      </c>
      <c r="I45" s="224">
        <f>I37-I43</f>
        <v>347924.31195</v>
      </c>
      <c r="K45" s="224">
        <f>K37-K43</f>
        <v>393843.50373174855</v>
      </c>
      <c r="M45" s="224">
        <f>M37-M43</f>
        <v>440552.80252936762</v>
      </c>
      <c r="O45" s="224">
        <f>O37-O43</f>
        <v>488057.71828663675</v>
      </c>
      <c r="Q45" s="224">
        <f>Q37-Q43</f>
        <v>536363.36585663678</v>
      </c>
      <c r="S45" s="224">
        <f>S37-S43</f>
        <v>585474.43578823749</v>
      </c>
      <c r="U45" s="224">
        <f>U37-U43</f>
        <v>635395.16369172651</v>
      </c>
      <c r="W45" s="224">
        <f>W37-W43</f>
        <v>686129.29812365025</v>
      </c>
      <c r="Y45" s="224">
        <f>Y37-Y43</f>
        <v>737680.06692851149</v>
      </c>
      <c r="AA45" s="224">
        <f>AA37-AA43</f>
        <v>790050.14197256137</v>
      </c>
      <c r="AC45" s="224">
        <f>AC37-AC43</f>
        <v>843241.60220238287</v>
      </c>
      <c r="AE45" s="224">
        <f>AE37-AE43</f>
        <v>897255.89495829213</v>
      </c>
      <c r="AG45" s="224">
        <f>AG37-AG43</f>
        <v>952093.79546988383</v>
      </c>
    </row>
    <row r="46" spans="1:33" s="211" customFormat="1" ht="14.25">
      <c r="C46" s="221"/>
      <c r="E46" s="223"/>
      <c r="F46" s="223"/>
      <c r="G46" s="223"/>
      <c r="H46" s="223"/>
      <c r="I46" s="223"/>
      <c r="J46" s="223"/>
      <c r="K46" s="223"/>
      <c r="L46" s="223"/>
      <c r="M46" s="223"/>
      <c r="N46" s="223"/>
      <c r="O46" s="223"/>
      <c r="P46" s="223"/>
      <c r="Q46" s="223"/>
      <c r="R46" s="223"/>
      <c r="S46" s="223"/>
      <c r="T46" s="223"/>
      <c r="U46" s="223"/>
      <c r="V46" s="223"/>
      <c r="W46" s="223"/>
      <c r="X46" s="223"/>
      <c r="Y46" s="223"/>
      <c r="Z46" s="223"/>
      <c r="AA46" s="223"/>
      <c r="AB46" s="223"/>
      <c r="AC46" s="223"/>
      <c r="AD46" s="223"/>
      <c r="AE46" s="223"/>
      <c r="AF46" s="223"/>
      <c r="AG46" s="223"/>
    </row>
    <row r="47" spans="1:33" s="228" customFormat="1" ht="14.25">
      <c r="A47" s="228" t="s">
        <v>851</v>
      </c>
      <c r="C47" s="221"/>
      <c r="E47" s="228">
        <f>E45/(E4+E6+E8)</f>
        <v>5.5566440013829543E-2</v>
      </c>
      <c r="G47" s="228">
        <f>G45/(G4+G6+G8)</f>
        <v>6.351588345205765E-2</v>
      </c>
      <c r="I47" s="228">
        <f>I45/(I4+I6+I8)</f>
        <v>7.1203715969707329E-2</v>
      </c>
      <c r="K47" s="228">
        <f>K45/(K4+K6+K8)</f>
        <v>7.8635328076083713E-2</v>
      </c>
      <c r="M47" s="228">
        <f>M45/(M4+M6+M8)</f>
        <v>8.5815970751252621E-2</v>
      </c>
      <c r="O47" s="228">
        <f>O45/(O4+O6+O8)</f>
        <v>9.2750758762778621E-2</v>
      </c>
      <c r="Q47" s="228">
        <f>Q45/(Q4+Q6+Q8)</f>
        <v>9.9444673900766459E-2</v>
      </c>
      <c r="S47" s="228">
        <f>S45/(S4+S6+S8)</f>
        <v>0.10590256813318533</v>
      </c>
      <c r="U47" s="228">
        <f>U45/(U4+U6+U8)</f>
        <v>0.11212916668341075</v>
      </c>
      <c r="W47" s="228">
        <f>W45/(W4+W6+W8)</f>
        <v>0.11812907103187861</v>
      </c>
      <c r="Y47" s="228">
        <f>Y45/(Y4+Y6+Y8)</f>
        <v>0.1239067618436888</v>
      </c>
      <c r="AA47" s="228">
        <f>AA45/(AA4+AA6+AA8)</f>
        <v>0.12946660182395775</v>
      </c>
      <c r="AC47" s="228">
        <f>AC45/(AC4+AC6+AC8)</f>
        <v>0.13481283850267581</v>
      </c>
      <c r="AE47" s="228">
        <f>AE45/(AE4+AE6+AE8)</f>
        <v>0.13994960695077699</v>
      </c>
      <c r="AG47" s="228">
        <f>AG45/(AG4+AG6+AG8)</f>
        <v>0.14488093242909253</v>
      </c>
    </row>
    <row r="48" spans="1:33" s="228" customFormat="1" ht="14.25">
      <c r="A48" s="228" t="s">
        <v>852</v>
      </c>
      <c r="C48" s="221"/>
      <c r="E48" s="228">
        <f>E45/E43</f>
        <v>0.15037440510929548</v>
      </c>
      <c r="G48" s="228">
        <f>G45/G43</f>
        <v>0.17618444273891443</v>
      </c>
      <c r="I48" s="228">
        <f>I45/I43</f>
        <v>0.20244718321906349</v>
      </c>
      <c r="K48" s="228">
        <f>K45/K43</f>
        <v>0.22916624455688378</v>
      </c>
      <c r="M48" s="228">
        <f>M45/M43</f>
        <v>0.25634504651733575</v>
      </c>
      <c r="O48" s="228">
        <f>O45/O43</f>
        <v>0.28398679517875192</v>
      </c>
      <c r="Q48" s="228">
        <f>Q45/Q43</f>
        <v>0.31209446672751301</v>
      </c>
      <c r="S48" s="228">
        <f>S45/S43</f>
        <v>0.34067079045954307</v>
      </c>
      <c r="U48" s="228">
        <f>U45/U43</f>
        <v>0.36971823095504669</v>
      </c>
      <c r="W48" s="228">
        <f>W45/W43</f>
        <v>0.39923896939161874</v>
      </c>
      <c r="Y48" s="228">
        <f>Y45/Y43</f>
        <v>0.42923488395944326</v>
      </c>
      <c r="AA48" s="228">
        <f>AA45/AA43</f>
        <v>0.4597075293408977</v>
      </c>
      <c r="AC48" s="228">
        <f>AC45/AC43</f>
        <v>0.4906581152154017</v>
      </c>
      <c r="AE48" s="228">
        <f>AE45/AE43</f>
        <v>0.52208748374879455</v>
      </c>
      <c r="AG48" s="228">
        <f>AG45/AG43</f>
        <v>0.55399608602495398</v>
      </c>
    </row>
    <row r="49" spans="1:34" s="229" customFormat="1" ht="14.25">
      <c r="A49" s="229" t="s">
        <v>850</v>
      </c>
      <c r="C49" s="230"/>
      <c r="E49" s="229">
        <f>E37/E43</f>
        <v>1.1503744051092955</v>
      </c>
      <c r="G49" s="229">
        <f>G37/G43</f>
        <v>1.1761844427389145</v>
      </c>
      <c r="I49" s="229">
        <f>I37/I43</f>
        <v>1.2024471832190635</v>
      </c>
      <c r="K49" s="229">
        <f>K37/K43</f>
        <v>1.2291662445568838</v>
      </c>
      <c r="M49" s="229">
        <f>M37/M43</f>
        <v>1.2563450465173358</v>
      </c>
      <c r="O49" s="229">
        <f>O37/O43</f>
        <v>1.2839867951787518</v>
      </c>
      <c r="Q49" s="229">
        <f>Q37/Q43</f>
        <v>1.312094466727513</v>
      </c>
      <c r="S49" s="229">
        <f>S37/S43</f>
        <v>1.340670790459543</v>
      </c>
      <c r="U49" s="229">
        <f>U37/U43</f>
        <v>1.3697182309550466</v>
      </c>
      <c r="W49" s="229">
        <f>W37/W43</f>
        <v>1.3992389693916187</v>
      </c>
      <c r="Y49" s="229">
        <f>Y37/Y43</f>
        <v>1.4292348839594433</v>
      </c>
      <c r="AA49" s="229">
        <f>AA37/AA43</f>
        <v>1.4597075293408976</v>
      </c>
      <c r="AC49" s="229">
        <f>AC37/AC43</f>
        <v>1.4906581152154017</v>
      </c>
      <c r="AE49" s="229">
        <f>AE37/AE43</f>
        <v>1.5220874837487945</v>
      </c>
      <c r="AG49" s="229">
        <f>AG37/AG43</f>
        <v>1.553996086024954</v>
      </c>
    </row>
    <row r="50" spans="1:34" s="211" customFormat="1" ht="14.25">
      <c r="A50" s="231"/>
      <c r="B50" s="231"/>
      <c r="C50" s="232"/>
      <c r="D50" s="231"/>
      <c r="E50" s="233"/>
      <c r="F50" s="233"/>
      <c r="G50" s="233"/>
      <c r="H50" s="233"/>
      <c r="I50" s="233"/>
      <c r="J50" s="233"/>
      <c r="K50" s="233"/>
      <c r="L50" s="233"/>
      <c r="M50" s="233"/>
      <c r="N50" s="233"/>
      <c r="O50" s="233"/>
      <c r="P50" s="233"/>
      <c r="Q50" s="233"/>
      <c r="R50" s="233"/>
      <c r="S50" s="233"/>
      <c r="T50" s="233"/>
      <c r="U50" s="233"/>
      <c r="V50" s="233"/>
      <c r="W50" s="233"/>
      <c r="X50" s="233"/>
      <c r="Y50" s="233"/>
      <c r="Z50" s="233"/>
      <c r="AA50" s="233"/>
      <c r="AB50" s="233"/>
      <c r="AC50" s="233"/>
      <c r="AD50" s="233"/>
      <c r="AE50" s="233"/>
      <c r="AF50" s="233"/>
      <c r="AG50" s="233"/>
    </row>
    <row r="51" spans="1:34" s="3" customFormat="1">
      <c r="A51" s="3" t="s">
        <v>862</v>
      </c>
      <c r="C51" s="962"/>
      <c r="E51" s="961"/>
      <c r="F51" s="961"/>
      <c r="G51" s="961"/>
      <c r="H51" s="961"/>
      <c r="I51" s="961"/>
      <c r="J51" s="961"/>
      <c r="K51" s="961"/>
      <c r="L51" s="961"/>
      <c r="M51" s="961"/>
      <c r="N51" s="961"/>
      <c r="O51" s="961"/>
      <c r="P51" s="961"/>
      <c r="Q51" s="961"/>
      <c r="R51" s="961"/>
      <c r="S51" s="961"/>
      <c r="T51" s="961"/>
      <c r="U51" s="961"/>
      <c r="V51" s="961"/>
      <c r="W51" s="961"/>
      <c r="X51" s="961"/>
      <c r="Y51" s="961"/>
      <c r="Z51" s="961"/>
      <c r="AA51" s="961"/>
      <c r="AB51" s="961"/>
      <c r="AC51" s="961"/>
      <c r="AD51" s="961"/>
      <c r="AE51" s="961"/>
      <c r="AF51" s="961"/>
      <c r="AG51" s="961"/>
    </row>
    <row r="52" spans="1:34" s="3" customFormat="1">
      <c r="A52" s="2697" t="s">
        <v>2726</v>
      </c>
      <c r="B52" s="2697"/>
      <c r="C52" s="2697"/>
      <c r="D52" s="961"/>
      <c r="E52" s="961"/>
      <c r="F52" s="961"/>
      <c r="G52" s="961"/>
      <c r="H52" s="961"/>
      <c r="I52" s="961"/>
      <c r="J52" s="961"/>
      <c r="K52" s="961"/>
      <c r="L52" s="961"/>
      <c r="M52" s="961"/>
      <c r="N52" s="961"/>
      <c r="O52" s="961"/>
      <c r="P52" s="961"/>
      <c r="Q52" s="961"/>
      <c r="R52" s="961"/>
      <c r="S52" s="961"/>
      <c r="T52" s="961"/>
      <c r="U52" s="961"/>
      <c r="V52" s="961"/>
      <c r="W52" s="961"/>
      <c r="X52" s="961"/>
      <c r="Y52" s="961"/>
      <c r="Z52" s="961"/>
      <c r="AA52" s="961"/>
      <c r="AB52" s="961"/>
      <c r="AC52" s="961"/>
      <c r="AD52" s="961"/>
      <c r="AE52" s="961"/>
      <c r="AF52" s="961"/>
      <c r="AG52" s="961"/>
    </row>
    <row r="53" spans="1:34" s="963" customFormat="1">
      <c r="A53" s="963" t="s">
        <v>854</v>
      </c>
      <c r="C53" s="964">
        <v>1.03</v>
      </c>
      <c r="E53" s="965"/>
      <c r="G53" s="961">
        <f>E53*$C$53</f>
        <v>0</v>
      </c>
      <c r="I53" s="961">
        <f>G53*$C$53</f>
        <v>0</v>
      </c>
      <c r="K53" s="961">
        <f>I53*$C$53</f>
        <v>0</v>
      </c>
      <c r="M53" s="961">
        <f>K53*$C$53</f>
        <v>0</v>
      </c>
      <c r="O53" s="961">
        <f>M53*$C$53</f>
        <v>0</v>
      </c>
      <c r="Q53" s="961">
        <f>O53*$C$53</f>
        <v>0</v>
      </c>
      <c r="S53" s="961">
        <f>Q53*$C$53</f>
        <v>0</v>
      </c>
      <c r="U53" s="961">
        <f>S53*$C$53</f>
        <v>0</v>
      </c>
      <c r="W53" s="961">
        <f>U53*$C$53</f>
        <v>0</v>
      </c>
      <c r="Y53" s="961">
        <f>W53*$C$53</f>
        <v>0</v>
      </c>
      <c r="AA53" s="961">
        <f>Y53*$C$53</f>
        <v>0</v>
      </c>
      <c r="AC53" s="961">
        <f>AA53*$C$53</f>
        <v>0</v>
      </c>
      <c r="AE53" s="961">
        <f>AC53*$C$53</f>
        <v>0</v>
      </c>
      <c r="AG53" s="961">
        <f>AE53*$C$53</f>
        <v>0</v>
      </c>
    </row>
    <row r="54" spans="1:34" s="3" customFormat="1">
      <c r="A54" s="3" t="s">
        <v>855</v>
      </c>
      <c r="C54" s="959"/>
      <c r="E54" s="966">
        <v>20000</v>
      </c>
      <c r="F54" s="961"/>
      <c r="G54" s="961">
        <f>E54*$C$53</f>
        <v>20600</v>
      </c>
      <c r="H54" s="961"/>
      <c r="I54" s="961">
        <f t="shared" ref="G54:AG57" si="1">G54*$C$53</f>
        <v>21218</v>
      </c>
      <c r="J54" s="961"/>
      <c r="K54" s="961">
        <f t="shared" si="1"/>
        <v>21854.54</v>
      </c>
      <c r="L54" s="961"/>
      <c r="M54" s="961">
        <f t="shared" si="1"/>
        <v>22510.176200000002</v>
      </c>
      <c r="N54" s="961"/>
      <c r="O54" s="961">
        <f t="shared" si="1"/>
        <v>23185.481486000001</v>
      </c>
      <c r="P54" s="961"/>
      <c r="Q54" s="961">
        <f t="shared" si="1"/>
        <v>23881.04593058</v>
      </c>
      <c r="R54" s="961"/>
      <c r="S54" s="961">
        <f t="shared" si="1"/>
        <v>24597.4773084974</v>
      </c>
      <c r="T54" s="961"/>
      <c r="U54" s="961">
        <f t="shared" si="1"/>
        <v>25335.401627752322</v>
      </c>
      <c r="V54" s="961"/>
      <c r="W54" s="961">
        <f t="shared" si="1"/>
        <v>26095.463676584892</v>
      </c>
      <c r="X54" s="961"/>
      <c r="Y54" s="961">
        <f t="shared" si="1"/>
        <v>26878.327586882438</v>
      </c>
      <c r="Z54" s="961"/>
      <c r="AA54" s="961">
        <f t="shared" si="1"/>
        <v>27684.677414488913</v>
      </c>
      <c r="AB54" s="961"/>
      <c r="AC54" s="961">
        <f t="shared" si="1"/>
        <v>28515.21773692358</v>
      </c>
      <c r="AD54" s="961"/>
      <c r="AE54" s="961">
        <f t="shared" si="1"/>
        <v>29370.674269031289</v>
      </c>
      <c r="AF54" s="961"/>
      <c r="AG54" s="961">
        <f t="shared" si="1"/>
        <v>30251.79449710223</v>
      </c>
      <c r="AH54" s="961"/>
    </row>
    <row r="55" spans="1:34" s="3" customFormat="1">
      <c r="A55" s="3" t="s">
        <v>856</v>
      </c>
      <c r="C55" s="959"/>
      <c r="E55" s="966"/>
      <c r="F55" s="961"/>
      <c r="G55" s="961">
        <f t="shared" si="1"/>
        <v>0</v>
      </c>
      <c r="H55" s="961"/>
      <c r="I55" s="961">
        <f t="shared" si="1"/>
        <v>0</v>
      </c>
      <c r="J55" s="961"/>
      <c r="K55" s="961">
        <f t="shared" si="1"/>
        <v>0</v>
      </c>
      <c r="L55" s="961"/>
      <c r="M55" s="961">
        <f t="shared" si="1"/>
        <v>0</v>
      </c>
      <c r="N55" s="961"/>
      <c r="O55" s="961">
        <f t="shared" si="1"/>
        <v>0</v>
      </c>
      <c r="P55" s="961"/>
      <c r="Q55" s="961">
        <f t="shared" si="1"/>
        <v>0</v>
      </c>
      <c r="R55" s="961"/>
      <c r="S55" s="961">
        <f t="shared" si="1"/>
        <v>0</v>
      </c>
      <c r="T55" s="961"/>
      <c r="U55" s="961">
        <f t="shared" si="1"/>
        <v>0</v>
      </c>
      <c r="V55" s="961"/>
      <c r="W55" s="961">
        <f t="shared" si="1"/>
        <v>0</v>
      </c>
      <c r="X55" s="961"/>
      <c r="Y55" s="961">
        <f t="shared" si="1"/>
        <v>0</v>
      </c>
      <c r="Z55" s="961"/>
      <c r="AA55" s="961">
        <f t="shared" si="1"/>
        <v>0</v>
      </c>
      <c r="AB55" s="961"/>
      <c r="AC55" s="961">
        <f t="shared" si="1"/>
        <v>0</v>
      </c>
      <c r="AD55" s="961"/>
      <c r="AE55" s="961">
        <f t="shared" si="1"/>
        <v>0</v>
      </c>
      <c r="AF55" s="961"/>
      <c r="AG55" s="961">
        <f t="shared" si="1"/>
        <v>0</v>
      </c>
      <c r="AH55" s="961"/>
    </row>
    <row r="56" spans="1:34" s="3" customFormat="1">
      <c r="A56" s="967" t="s">
        <v>2725</v>
      </c>
      <c r="B56" s="967"/>
      <c r="C56" s="959"/>
      <c r="E56" s="966">
        <v>15000</v>
      </c>
      <c r="F56" s="961"/>
      <c r="G56" s="961">
        <f t="shared" si="1"/>
        <v>15450</v>
      </c>
      <c r="H56" s="961"/>
      <c r="I56" s="961">
        <f t="shared" si="1"/>
        <v>15913.5</v>
      </c>
      <c r="J56" s="961"/>
      <c r="K56" s="961">
        <f t="shared" si="1"/>
        <v>16390.904999999999</v>
      </c>
      <c r="L56" s="961"/>
      <c r="M56" s="961">
        <f t="shared" si="1"/>
        <v>16882.632149999998</v>
      </c>
      <c r="N56" s="961"/>
      <c r="O56" s="961">
        <f t="shared" si="1"/>
        <v>17389.1111145</v>
      </c>
      <c r="P56" s="961"/>
      <c r="Q56" s="961">
        <f t="shared" si="1"/>
        <v>17910.784447934999</v>
      </c>
      <c r="R56" s="961"/>
      <c r="S56" s="961">
        <f t="shared" si="1"/>
        <v>18448.10798137305</v>
      </c>
      <c r="T56" s="961"/>
      <c r="U56" s="961">
        <f t="shared" si="1"/>
        <v>19001.551220814243</v>
      </c>
      <c r="V56" s="961"/>
      <c r="W56" s="961">
        <f t="shared" si="1"/>
        <v>19571.597757438671</v>
      </c>
      <c r="X56" s="961"/>
      <c r="Y56" s="961">
        <f t="shared" si="1"/>
        <v>20158.745690161832</v>
      </c>
      <c r="Z56" s="961"/>
      <c r="AA56" s="961">
        <f t="shared" si="1"/>
        <v>20763.508060866687</v>
      </c>
      <c r="AB56" s="961"/>
      <c r="AC56" s="961">
        <f t="shared" si="1"/>
        <v>21386.413302692687</v>
      </c>
      <c r="AD56" s="961"/>
      <c r="AE56" s="961">
        <f t="shared" si="1"/>
        <v>22028.005701773469</v>
      </c>
      <c r="AF56" s="961"/>
      <c r="AG56" s="961">
        <f t="shared" si="1"/>
        <v>22688.845872826674</v>
      </c>
      <c r="AH56" s="961"/>
    </row>
    <row r="57" spans="1:34" s="3" customFormat="1">
      <c r="A57" s="967"/>
      <c r="B57" s="967"/>
      <c r="C57" s="959"/>
      <c r="E57" s="968"/>
      <c r="F57" s="961"/>
      <c r="G57" s="969">
        <f t="shared" si="1"/>
        <v>0</v>
      </c>
      <c r="H57" s="961"/>
      <c r="I57" s="969">
        <f t="shared" si="1"/>
        <v>0</v>
      </c>
      <c r="J57" s="961"/>
      <c r="K57" s="969">
        <f t="shared" si="1"/>
        <v>0</v>
      </c>
      <c r="L57" s="961"/>
      <c r="M57" s="969">
        <f t="shared" si="1"/>
        <v>0</v>
      </c>
      <c r="N57" s="961"/>
      <c r="O57" s="969">
        <f t="shared" si="1"/>
        <v>0</v>
      </c>
      <c r="P57" s="961"/>
      <c r="Q57" s="969">
        <f t="shared" si="1"/>
        <v>0</v>
      </c>
      <c r="R57" s="961"/>
      <c r="S57" s="969">
        <f t="shared" si="1"/>
        <v>0</v>
      </c>
      <c r="T57" s="961"/>
      <c r="U57" s="969">
        <f t="shared" si="1"/>
        <v>0</v>
      </c>
      <c r="V57" s="961"/>
      <c r="W57" s="969">
        <f t="shared" si="1"/>
        <v>0</v>
      </c>
      <c r="X57" s="961"/>
      <c r="Y57" s="969">
        <f t="shared" si="1"/>
        <v>0</v>
      </c>
      <c r="Z57" s="961"/>
      <c r="AA57" s="969">
        <f t="shared" si="1"/>
        <v>0</v>
      </c>
      <c r="AB57" s="961"/>
      <c r="AC57" s="969">
        <f t="shared" si="1"/>
        <v>0</v>
      </c>
      <c r="AD57" s="961"/>
      <c r="AE57" s="969">
        <f t="shared" si="1"/>
        <v>0</v>
      </c>
      <c r="AF57" s="961"/>
      <c r="AG57" s="969">
        <f t="shared" si="1"/>
        <v>0</v>
      </c>
      <c r="AH57" s="961"/>
    </row>
    <row r="58" spans="1:34" s="3" customFormat="1">
      <c r="A58" s="963" t="s">
        <v>853</v>
      </c>
      <c r="C58" s="962"/>
      <c r="E58" s="961">
        <f>SUM(E53:E57)</f>
        <v>35000</v>
      </c>
      <c r="F58" s="961"/>
      <c r="G58" s="961">
        <f>SUM(G53:G57)</f>
        <v>36050</v>
      </c>
      <c r="H58" s="961"/>
      <c r="I58" s="961">
        <f>SUM(I53:I57)</f>
        <v>37131.5</v>
      </c>
      <c r="J58" s="961"/>
      <c r="K58" s="961">
        <f>SUM(K53:K57)</f>
        <v>38245.445</v>
      </c>
      <c r="L58" s="961"/>
      <c r="M58" s="961">
        <f>SUM(M53:M57)</f>
        <v>39392.808349999999</v>
      </c>
      <c r="N58" s="961"/>
      <c r="O58" s="961">
        <f>SUM(O53:O57)</f>
        <v>40574.5926005</v>
      </c>
      <c r="P58" s="961"/>
      <c r="Q58" s="961">
        <f>SUM(Q53:Q57)</f>
        <v>41791.830378514998</v>
      </c>
      <c r="R58" s="961"/>
      <c r="S58" s="961">
        <f>SUM(S53:S57)</f>
        <v>43045.585289870447</v>
      </c>
      <c r="T58" s="961"/>
      <c r="U58" s="961">
        <f>SUM(U53:U57)</f>
        <v>44336.952848566565</v>
      </c>
      <c r="V58" s="961"/>
      <c r="W58" s="961">
        <f>SUM(W53:W57)</f>
        <v>45667.061434023562</v>
      </c>
      <c r="X58" s="961"/>
      <c r="Y58" s="961">
        <f>SUM(Y53:Y57)</f>
        <v>47037.07327704427</v>
      </c>
      <c r="Z58" s="961"/>
      <c r="AA58" s="961">
        <f>SUM(AA53:AA57)</f>
        <v>48448.185475355596</v>
      </c>
      <c r="AB58" s="961"/>
      <c r="AC58" s="961">
        <f>SUM(AC53:AC57)</f>
        <v>49901.631039616266</v>
      </c>
      <c r="AD58" s="961"/>
      <c r="AE58" s="961">
        <f>SUM(AE53:AE57)</f>
        <v>51398.679970804762</v>
      </c>
      <c r="AF58" s="961"/>
      <c r="AG58" s="961">
        <f>SUM(AG53:AG57)</f>
        <v>52940.640369928908</v>
      </c>
      <c r="AH58" s="961"/>
    </row>
    <row r="59" spans="1:34" s="3" customFormat="1" ht="12.75" customHeight="1">
      <c r="A59" s="963"/>
      <c r="C59" s="962"/>
      <c r="E59" s="961"/>
      <c r="F59" s="961"/>
      <c r="G59" s="961"/>
      <c r="H59" s="961"/>
      <c r="I59" s="961"/>
      <c r="J59" s="961"/>
      <c r="K59" s="961"/>
      <c r="L59" s="961"/>
      <c r="M59" s="961"/>
      <c r="N59" s="961"/>
      <c r="O59" s="961"/>
      <c r="P59" s="961"/>
      <c r="Q59" s="961"/>
      <c r="R59" s="961"/>
      <c r="S59" s="961"/>
      <c r="T59" s="961"/>
      <c r="U59" s="961"/>
      <c r="V59" s="961"/>
      <c r="W59" s="961"/>
      <c r="X59" s="961"/>
      <c r="Y59" s="961"/>
      <c r="Z59" s="961"/>
      <c r="AA59" s="961"/>
      <c r="AB59" s="961"/>
      <c r="AC59" s="961"/>
      <c r="AD59" s="961"/>
      <c r="AE59" s="961"/>
      <c r="AF59" s="961"/>
      <c r="AG59" s="961"/>
      <c r="AH59" s="961"/>
    </row>
    <row r="60" spans="1:34" s="963" customFormat="1">
      <c r="A60" s="963" t="s">
        <v>858</v>
      </c>
      <c r="C60" s="970"/>
      <c r="E60" s="963">
        <f>E45-E58</f>
        <v>223432.39999999944</v>
      </c>
      <c r="G60" s="963">
        <f>G45-G58</f>
        <v>266739.34999999916</v>
      </c>
      <c r="I60" s="963">
        <f>I45-I58</f>
        <v>310792.81195</v>
      </c>
      <c r="K60" s="963">
        <f>K45-K58</f>
        <v>355598.05873174855</v>
      </c>
      <c r="M60" s="963">
        <f>M45-M58</f>
        <v>401159.99417936761</v>
      </c>
      <c r="O60" s="963">
        <f>O45-O58</f>
        <v>447483.12568613677</v>
      </c>
      <c r="Q60" s="963">
        <f>Q45-Q58</f>
        <v>494571.53547812178</v>
      </c>
      <c r="S60" s="963">
        <f>S45-S58</f>
        <v>542428.8504983671</v>
      </c>
      <c r="U60" s="963">
        <f>U45-U58</f>
        <v>591058.21084315993</v>
      </c>
      <c r="W60" s="963">
        <f>W45-W58</f>
        <v>640462.2366896267</v>
      </c>
      <c r="Y60" s="963">
        <f>Y45-Y58</f>
        <v>690642.99365146726</v>
      </c>
      <c r="AA60" s="963">
        <f>AA45-AA58</f>
        <v>741601.95649720577</v>
      </c>
      <c r="AC60" s="963">
        <f>AC45-AC58</f>
        <v>793339.97116276657</v>
      </c>
      <c r="AE60" s="963">
        <f>AE45-AE58</f>
        <v>845857.21498748742</v>
      </c>
      <c r="AG60" s="963">
        <f>AG45-AG58</f>
        <v>899153.15509995492</v>
      </c>
    </row>
    <row r="61" spans="1:34" s="3" customFormat="1" ht="8.25" customHeight="1">
      <c r="C61" s="962"/>
      <c r="E61" s="961"/>
      <c r="F61" s="961"/>
      <c r="G61" s="961"/>
      <c r="H61" s="961"/>
      <c r="I61" s="961"/>
      <c r="J61" s="961"/>
      <c r="K61" s="961"/>
      <c r="L61" s="961"/>
      <c r="M61" s="961"/>
      <c r="N61" s="961"/>
      <c r="O61" s="961"/>
      <c r="P61" s="961"/>
      <c r="Q61" s="961"/>
      <c r="R61" s="961"/>
      <c r="S61" s="961"/>
      <c r="T61" s="961"/>
      <c r="U61" s="961"/>
      <c r="V61" s="961"/>
      <c r="W61" s="961"/>
      <c r="X61" s="961"/>
      <c r="Y61" s="961"/>
      <c r="Z61" s="961"/>
      <c r="AA61" s="961"/>
      <c r="AB61" s="961"/>
      <c r="AC61" s="961"/>
      <c r="AD61" s="961"/>
      <c r="AE61" s="961"/>
      <c r="AF61" s="961"/>
      <c r="AG61" s="961"/>
      <c r="AH61" s="961"/>
    </row>
    <row r="62" spans="1:34" s="963" customFormat="1">
      <c r="A62" s="963" t="s">
        <v>857</v>
      </c>
      <c r="C62" s="960">
        <v>1</v>
      </c>
      <c r="E62" s="965">
        <f>E60*$C$62</f>
        <v>223432.39999999944</v>
      </c>
      <c r="G62" s="963">
        <f>G60*$C$62</f>
        <v>266739.34999999916</v>
      </c>
      <c r="I62" s="963">
        <f>I60*$C$62</f>
        <v>310792.81195</v>
      </c>
      <c r="K62" s="963">
        <f>K60*$C$62</f>
        <v>355598.05873174855</v>
      </c>
      <c r="M62" s="963">
        <f>M60*$C$62</f>
        <v>401159.99417936761</v>
      </c>
      <c r="O62" s="963">
        <f>O60*$C$62</f>
        <v>447483.12568613677</v>
      </c>
      <c r="Q62" s="963">
        <f>Q60*$C$62</f>
        <v>494571.53547812178</v>
      </c>
      <c r="S62" s="963">
        <f>S60*$C$62</f>
        <v>542428.8504983671</v>
      </c>
      <c r="U62" s="963">
        <f>U60*$C$62</f>
        <v>591058.21084315993</v>
      </c>
      <c r="W62" s="963">
        <f>W60*$C$62</f>
        <v>640462.2366896267</v>
      </c>
      <c r="Y62" s="963">
        <f>Y60*$C$62</f>
        <v>690642.99365146726</v>
      </c>
      <c r="AA62" s="963">
        <f>Application!$AO$631-SUM(E62:Y62)</f>
        <v>560782.43229200598</v>
      </c>
      <c r="AC62" s="963">
        <f>Application!$AO$631-SUM(E62:AA62)</f>
        <v>0</v>
      </c>
      <c r="AE62" s="963">
        <f>Application!$AO$631-SUM(E62:AC62)</f>
        <v>0</v>
      </c>
      <c r="AG62" s="963">
        <f>Application!$AO$631-SUM(E62:AE62)</f>
        <v>0</v>
      </c>
    </row>
    <row r="63" spans="1:34" s="963" customFormat="1">
      <c r="A63" s="2697" t="s">
        <v>2726</v>
      </c>
      <c r="B63" s="2697"/>
      <c r="C63" s="2697"/>
    </row>
    <row r="64" spans="1:34" s="3" customFormat="1" ht="8.25" customHeight="1">
      <c r="C64" s="962"/>
      <c r="E64" s="961"/>
      <c r="F64" s="961"/>
      <c r="G64" s="961"/>
      <c r="H64" s="961"/>
      <c r="I64" s="961"/>
      <c r="J64" s="961"/>
      <c r="K64" s="961"/>
      <c r="L64" s="961"/>
      <c r="M64" s="961"/>
      <c r="N64" s="961"/>
      <c r="O64" s="961"/>
      <c r="P64" s="961"/>
      <c r="Q64" s="961"/>
      <c r="R64" s="961"/>
      <c r="S64" s="961"/>
      <c r="T64" s="961"/>
      <c r="U64" s="961"/>
      <c r="V64" s="961"/>
      <c r="W64" s="961"/>
      <c r="X64" s="961"/>
      <c r="Y64" s="961"/>
      <c r="Z64" s="961"/>
      <c r="AA64" s="961"/>
      <c r="AB64" s="961"/>
      <c r="AC64" s="961"/>
      <c r="AD64" s="961"/>
      <c r="AE64" s="961"/>
      <c r="AF64" s="961"/>
      <c r="AG64" s="961"/>
      <c r="AH64" s="961"/>
    </row>
    <row r="65" spans="1:34" s="3" customFormat="1">
      <c r="A65" s="3" t="s">
        <v>861</v>
      </c>
      <c r="C65" s="960">
        <v>0</v>
      </c>
      <c r="E65" s="961"/>
      <c r="F65" s="961"/>
      <c r="G65" s="961"/>
      <c r="H65" s="961"/>
      <c r="I65" s="961"/>
      <c r="J65" s="961"/>
      <c r="K65" s="961"/>
      <c r="L65" s="961"/>
      <c r="M65" s="961"/>
      <c r="N65" s="961"/>
      <c r="O65" s="961"/>
      <c r="P65" s="961"/>
      <c r="Q65" s="961"/>
      <c r="R65" s="961"/>
      <c r="S65" s="961"/>
      <c r="T65" s="961"/>
      <c r="U65" s="961"/>
      <c r="V65" s="961"/>
      <c r="W65" s="961"/>
      <c r="X65" s="961"/>
      <c r="Y65" s="961"/>
      <c r="Z65" s="961"/>
      <c r="AA65" s="961"/>
      <c r="AB65" s="961"/>
      <c r="AC65" s="961"/>
      <c r="AD65" s="961"/>
      <c r="AE65" s="961"/>
      <c r="AF65" s="961"/>
      <c r="AG65" s="961"/>
      <c r="AH65" s="961"/>
    </row>
    <row r="66" spans="1:34" s="963" customFormat="1">
      <c r="A66" s="965" t="s">
        <v>2748</v>
      </c>
      <c r="B66" s="965"/>
      <c r="C66" s="964"/>
      <c r="E66" s="965">
        <f>$E60*$C$65</f>
        <v>0</v>
      </c>
      <c r="G66" s="961">
        <f>G60*$C$65</f>
        <v>0</v>
      </c>
      <c r="I66" s="961">
        <f>I60*$C$65</f>
        <v>0</v>
      </c>
      <c r="K66" s="961">
        <f>K60*$C$65</f>
        <v>0</v>
      </c>
      <c r="M66" s="961">
        <f>M60*$C$65</f>
        <v>0</v>
      </c>
      <c r="O66" s="961">
        <f>O60*$C$65</f>
        <v>0</v>
      </c>
      <c r="Q66" s="961">
        <f>Q60*$C$65</f>
        <v>0</v>
      </c>
      <c r="S66" s="961">
        <f>S60*$C$65</f>
        <v>0</v>
      </c>
      <c r="U66" s="961">
        <f>U60*$C$65</f>
        <v>0</v>
      </c>
      <c r="W66" s="961">
        <f>W60*$C$65</f>
        <v>0</v>
      </c>
      <c r="Y66" s="961">
        <f>Y60*$C$65</f>
        <v>0</v>
      </c>
      <c r="AA66" s="961">
        <f>IF(AA62=0,AA60,AA60-AA62)</f>
        <v>180819.52420519979</v>
      </c>
      <c r="AB66" s="961"/>
      <c r="AC66" s="961">
        <f t="shared" ref="AC66:AG66" si="2">IF(AC62=0,AC60,AC60-AC62)</f>
        <v>793339.97116276657</v>
      </c>
      <c r="AD66" s="961"/>
      <c r="AE66" s="961">
        <f t="shared" si="2"/>
        <v>845857.21498748742</v>
      </c>
      <c r="AF66" s="961"/>
      <c r="AG66" s="961">
        <f t="shared" si="2"/>
        <v>899153.15509995492</v>
      </c>
    </row>
    <row r="67" spans="1:34" s="961" customFormat="1">
      <c r="A67" s="966"/>
      <c r="B67" s="966"/>
      <c r="C67" s="971"/>
      <c r="E67" s="965">
        <f>$E60*$C$65</f>
        <v>0</v>
      </c>
      <c r="G67" s="961">
        <f>G60*$C$65</f>
        <v>0</v>
      </c>
      <c r="I67" s="961">
        <f>I60*$C$65</f>
        <v>0</v>
      </c>
      <c r="K67" s="961">
        <f>K60*$C$65</f>
        <v>0</v>
      </c>
      <c r="M67" s="961">
        <f>M60*$C$65</f>
        <v>0</v>
      </c>
      <c r="O67" s="961">
        <f>O60*$C$65</f>
        <v>0</v>
      </c>
      <c r="Q67" s="961">
        <f>Q60*$C$65</f>
        <v>0</v>
      </c>
      <c r="S67" s="961">
        <f>S60*$C$65</f>
        <v>0</v>
      </c>
      <c r="U67" s="961">
        <f>U60*$C$65</f>
        <v>0</v>
      </c>
      <c r="W67" s="961">
        <f>W60*$C$65</f>
        <v>0</v>
      </c>
      <c r="Y67" s="961">
        <f>Y60*$C$65</f>
        <v>0</v>
      </c>
      <c r="AA67" s="961">
        <f>AA60*$C$65</f>
        <v>0</v>
      </c>
      <c r="AC67" s="961">
        <f>AC60*$C$65</f>
        <v>0</v>
      </c>
      <c r="AE67" s="961">
        <f>AE60*$C$65</f>
        <v>0</v>
      </c>
      <c r="AG67" s="961">
        <f>AG60*$C$65</f>
        <v>0</v>
      </c>
    </row>
    <row r="68" spans="1:34" s="961" customFormat="1">
      <c r="A68" s="966"/>
      <c r="B68" s="966"/>
      <c r="C68" s="971"/>
      <c r="E68" s="966"/>
      <c r="G68" s="961">
        <f t="shared" ref="G68:AG69" si="3">E68*$C$66</f>
        <v>0</v>
      </c>
      <c r="I68" s="961">
        <f t="shared" si="3"/>
        <v>0</v>
      </c>
      <c r="K68" s="961">
        <f t="shared" si="3"/>
        <v>0</v>
      </c>
      <c r="M68" s="961">
        <f t="shared" si="3"/>
        <v>0</v>
      </c>
      <c r="O68" s="961">
        <f t="shared" si="3"/>
        <v>0</v>
      </c>
      <c r="Q68" s="961">
        <f t="shared" si="3"/>
        <v>0</v>
      </c>
      <c r="S68" s="961">
        <f t="shared" si="3"/>
        <v>0</v>
      </c>
      <c r="U68" s="961">
        <f t="shared" si="3"/>
        <v>0</v>
      </c>
      <c r="W68" s="961">
        <f t="shared" si="3"/>
        <v>0</v>
      </c>
      <c r="Y68" s="961">
        <f t="shared" si="3"/>
        <v>0</v>
      </c>
      <c r="AA68" s="961">
        <f t="shared" si="3"/>
        <v>0</v>
      </c>
      <c r="AC68" s="961">
        <f t="shared" si="3"/>
        <v>0</v>
      </c>
      <c r="AE68" s="961">
        <f t="shared" si="3"/>
        <v>0</v>
      </c>
      <c r="AG68" s="961">
        <f t="shared" si="3"/>
        <v>0</v>
      </c>
    </row>
    <row r="69" spans="1:34" s="961" customFormat="1">
      <c r="A69" s="966"/>
      <c r="B69" s="966"/>
      <c r="C69" s="971"/>
      <c r="E69" s="968"/>
      <c r="G69" s="969">
        <f t="shared" si="3"/>
        <v>0</v>
      </c>
      <c r="I69" s="969">
        <f t="shared" si="3"/>
        <v>0</v>
      </c>
      <c r="K69" s="969">
        <f t="shared" si="3"/>
        <v>0</v>
      </c>
      <c r="M69" s="969">
        <f t="shared" si="3"/>
        <v>0</v>
      </c>
      <c r="O69" s="969">
        <f t="shared" si="3"/>
        <v>0</v>
      </c>
      <c r="Q69" s="969">
        <f t="shared" si="3"/>
        <v>0</v>
      </c>
      <c r="S69" s="969">
        <f t="shared" si="3"/>
        <v>0</v>
      </c>
      <c r="U69" s="969">
        <f t="shared" si="3"/>
        <v>0</v>
      </c>
      <c r="W69" s="969">
        <f t="shared" si="3"/>
        <v>0</v>
      </c>
      <c r="Y69" s="969">
        <f t="shared" si="3"/>
        <v>0</v>
      </c>
      <c r="AA69" s="969">
        <f t="shared" si="3"/>
        <v>0</v>
      </c>
      <c r="AC69" s="969">
        <f t="shared" si="3"/>
        <v>0</v>
      </c>
      <c r="AE69" s="969">
        <f t="shared" si="3"/>
        <v>0</v>
      </c>
      <c r="AG69" s="969">
        <f t="shared" si="3"/>
        <v>0</v>
      </c>
    </row>
    <row r="70" spans="1:34" s="961" customFormat="1">
      <c r="A70" s="963" t="s">
        <v>853</v>
      </c>
      <c r="C70" s="971"/>
      <c r="E70" s="961">
        <f>SUM(E66:E69)</f>
        <v>0</v>
      </c>
      <c r="G70" s="961">
        <f>SUM(G66:G69)</f>
        <v>0</v>
      </c>
      <c r="I70" s="961">
        <f>SUM(I66:I69)</f>
        <v>0</v>
      </c>
      <c r="K70" s="961">
        <f>SUM(K66:K69)</f>
        <v>0</v>
      </c>
      <c r="M70" s="961">
        <f>SUM(M66:M69)</f>
        <v>0</v>
      </c>
      <c r="O70" s="961">
        <f>SUM(O66:O69)</f>
        <v>0</v>
      </c>
      <c r="Q70" s="961">
        <f>SUM(Q66:Q69)</f>
        <v>0</v>
      </c>
      <c r="S70" s="961">
        <f>SUM(S66:S69)</f>
        <v>0</v>
      </c>
      <c r="U70" s="961">
        <f>SUM(U66:U69)</f>
        <v>0</v>
      </c>
      <c r="W70" s="961">
        <f>SUM(W66:W69)</f>
        <v>0</v>
      </c>
      <c r="Y70" s="961">
        <f>SUM(Y66:Y69)</f>
        <v>0</v>
      </c>
      <c r="AA70" s="961">
        <f>SUM(AA66:AA69)</f>
        <v>180819.52420519979</v>
      </c>
      <c r="AC70" s="961">
        <f>SUM(AC66:AC69)</f>
        <v>793339.97116276657</v>
      </c>
      <c r="AE70" s="961">
        <f>SUM(AE66:AE69)</f>
        <v>845857.21498748742</v>
      </c>
      <c r="AG70" s="961">
        <f>SUM(AG66:AG69)</f>
        <v>899153.15509995492</v>
      </c>
    </row>
    <row r="71" spans="1:34" s="961" customFormat="1">
      <c r="A71" s="963"/>
      <c r="C71" s="971"/>
    </row>
    <row r="72" spans="1:34" s="961" customFormat="1">
      <c r="A72" s="963" t="s">
        <v>1722</v>
      </c>
      <c r="C72" s="971"/>
      <c r="E72" s="963">
        <f>E60-E62-E70</f>
        <v>0</v>
      </c>
      <c r="G72" s="963">
        <f>G60-G62-G70</f>
        <v>0</v>
      </c>
      <c r="I72" s="963">
        <f>I60-I62-I70</f>
        <v>0</v>
      </c>
      <c r="K72" s="963">
        <f>K60-K62-K70</f>
        <v>0</v>
      </c>
      <c r="M72" s="963">
        <f>M60-M62-M70</f>
        <v>0</v>
      </c>
      <c r="O72" s="963">
        <f>O60-O62-O70</f>
        <v>0</v>
      </c>
      <c r="Q72" s="963">
        <f>Q60-Q62-Q70</f>
        <v>0</v>
      </c>
      <c r="S72" s="963">
        <f>S60-S62-S70</f>
        <v>0</v>
      </c>
      <c r="U72" s="963">
        <f>U60-U62-U70</f>
        <v>0</v>
      </c>
      <c r="W72" s="963">
        <f>W60-W62-W70</f>
        <v>0</v>
      </c>
      <c r="Y72" s="963">
        <f>Y60-Y62-Y70</f>
        <v>0</v>
      </c>
      <c r="AA72" s="963">
        <f>AA60-AA62-AA70</f>
        <v>0</v>
      </c>
      <c r="AC72" s="963">
        <f>AC60-AC62-AC70</f>
        <v>0</v>
      </c>
      <c r="AE72" s="963">
        <f>AE60-AE62-AE70</f>
        <v>0</v>
      </c>
      <c r="AG72" s="963">
        <f>AG60-AG62-AG70</f>
        <v>0</v>
      </c>
    </row>
    <row r="73" spans="1:34" s="961" customFormat="1">
      <c r="A73" s="530"/>
      <c r="C73" s="971"/>
    </row>
    <row r="74" spans="1:34" s="218" customFormat="1">
      <c r="A74" s="530"/>
      <c r="C74" s="183"/>
    </row>
    <row r="75" spans="1:34" s="218" customFormat="1">
      <c r="A75" s="961" t="s">
        <v>1721</v>
      </c>
      <c r="C75" s="183"/>
    </row>
    <row r="76" spans="1:34" s="218" customFormat="1">
      <c r="C76" s="183"/>
    </row>
    <row r="77" spans="1:34" s="235" customFormat="1" ht="30" customHeight="1">
      <c r="A77" s="2695" t="s">
        <v>1720</v>
      </c>
      <c r="B77" s="2696"/>
      <c r="C77" s="2696"/>
      <c r="D77" s="2696"/>
      <c r="E77" s="2696"/>
      <c r="F77" s="2696"/>
      <c r="G77" s="2696"/>
      <c r="H77" s="2696"/>
      <c r="I77" s="2696"/>
      <c r="J77" s="2696"/>
      <c r="K77" s="2696"/>
      <c r="L77" s="2696"/>
      <c r="M77" s="2696"/>
      <c r="N77" s="2696"/>
      <c r="O77" s="2696"/>
      <c r="P77" s="2696"/>
      <c r="Q77" s="2696"/>
      <c r="R77" s="2696"/>
      <c r="S77" s="2696"/>
      <c r="T77" s="2696"/>
      <c r="U77" s="2696"/>
      <c r="V77" s="2696"/>
      <c r="W77" s="2696"/>
      <c r="X77" s="2696"/>
      <c r="Y77" s="2696"/>
      <c r="Z77" s="2696"/>
      <c r="AA77" s="2696"/>
      <c r="AB77" s="2696"/>
      <c r="AC77" s="2696"/>
      <c r="AD77" s="2696"/>
      <c r="AE77" s="2696"/>
      <c r="AF77" s="2696"/>
      <c r="AG77" s="2696"/>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workbookViewId="0"/>
  </sheetViews>
  <sheetFormatPr defaultColWidth="0" defaultRowHeight="12.75" zeroHeight="1"/>
  <cols>
    <col min="1" max="1" width="161.7109375" customWidth="1"/>
    <col min="2" max="16384" width="8.85546875" hidden="1"/>
  </cols>
  <sheetData>
    <row r="1" spans="1:1" ht="47.25">
      <c r="A1" s="314" t="s">
        <v>970</v>
      </c>
    </row>
    <row r="2" spans="1:1" ht="15.75">
      <c r="A2" s="315"/>
    </row>
    <row r="3" spans="1:1" ht="15.75">
      <c r="A3" s="316" t="s">
        <v>965</v>
      </c>
    </row>
    <row r="4" spans="1:1" ht="15.75">
      <c r="A4" s="316" t="s">
        <v>966</v>
      </c>
    </row>
    <row r="5" spans="1:1" ht="15.75">
      <c r="A5" s="316" t="s">
        <v>967</v>
      </c>
    </row>
    <row r="6" spans="1:1" ht="15.75">
      <c r="A6" s="316" t="s">
        <v>969</v>
      </c>
    </row>
    <row r="7" spans="1:1" ht="15.75">
      <c r="A7" s="316" t="s">
        <v>968</v>
      </c>
    </row>
    <row r="8" spans="1:1" ht="15.75">
      <c r="A8" s="347" t="s">
        <v>1023</v>
      </c>
    </row>
    <row r="9" spans="1:1" ht="15.75">
      <c r="A9" s="316" t="s">
        <v>1024</v>
      </c>
    </row>
  </sheetData>
  <sheetProtection algorithmName="SHA-512" hashValue="MJ38VdBPcRPeFkIpamdOp5f74HI9QhoIePg8D38RwHf5UPcq59DjEPmTjKriPyXiBmcAMzWzHJj3I3CEMTY1jg==" saltValue="mZIUeJdIhf0VSuIRDGMDG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workbookViewId="0">
      <selection activeCell="B5" sqref="B5"/>
    </sheetView>
  </sheetViews>
  <sheetFormatPr defaultColWidth="9.140625" defaultRowHeight="12.75" zeroHeight="1"/>
  <cols>
    <col min="1" max="1" width="35.7109375" style="205" customWidth="1"/>
    <col min="2" max="4" width="14.7109375" style="205" customWidth="1"/>
    <col min="5" max="5" width="50.7109375" style="205" customWidth="1"/>
    <col min="6" max="253" width="9.140625" style="205" customWidth="1"/>
    <col min="254" max="16384" width="9.140625" style="205"/>
  </cols>
  <sheetData>
    <row r="1" spans="1:6" s="276" customFormat="1" ht="18" customHeight="1">
      <c r="A1" s="514" t="s">
        <v>1216</v>
      </c>
      <c r="D1" s="281"/>
    </row>
    <row r="2" spans="1:6" s="276" customFormat="1">
      <c r="A2" s="260" t="s">
        <v>889</v>
      </c>
      <c r="B2" s="262"/>
      <c r="C2" s="262"/>
      <c r="D2" s="259"/>
      <c r="E2" s="263"/>
      <c r="F2" s="262"/>
    </row>
    <row r="3" spans="1:6" s="352" customFormat="1" ht="80.25" customHeight="1">
      <c r="A3" s="278"/>
      <c r="B3" s="264" t="s">
        <v>890</v>
      </c>
      <c r="C3" s="264" t="s">
        <v>891</v>
      </c>
      <c r="D3" s="264" t="s">
        <v>892</v>
      </c>
      <c r="E3" s="261" t="s">
        <v>893</v>
      </c>
      <c r="F3" s="261"/>
    </row>
    <row r="4" spans="1:6" s="353" customFormat="1">
      <c r="A4" s="265" t="s">
        <v>26</v>
      </c>
      <c r="B4" s="265"/>
      <c r="C4" s="265"/>
      <c r="D4" s="265"/>
      <c r="E4" s="283"/>
      <c r="F4" s="265"/>
    </row>
    <row r="5" spans="1:6" s="353" customFormat="1">
      <c r="A5" s="365" t="s">
        <v>27</v>
      </c>
      <c r="B5" s="267">
        <f>'Sources and Uses Budget'!$C4</f>
        <v>7750000</v>
      </c>
      <c r="C5" s="267">
        <f>'Sources and Uses Budget'!$C4</f>
        <v>7750000</v>
      </c>
      <c r="D5" s="271">
        <f>C5-B5</f>
        <v>0</v>
      </c>
      <c r="E5" s="269"/>
      <c r="F5" s="268"/>
    </row>
    <row r="6" spans="1:6" s="353" customFormat="1">
      <c r="A6" s="365" t="s">
        <v>28</v>
      </c>
      <c r="B6" s="267">
        <f>'Sources and Uses Budget'!$C5</f>
        <v>0</v>
      </c>
      <c r="C6" s="267">
        <f>'Sources and Uses Budget'!$C5</f>
        <v>0</v>
      </c>
      <c r="D6" s="271">
        <f t="shared" ref="D6:D77" si="0">C6-B6</f>
        <v>0</v>
      </c>
      <c r="E6" s="269"/>
      <c r="F6" s="268"/>
    </row>
    <row r="7" spans="1:6" s="353" customFormat="1">
      <c r="A7" s="365" t="s">
        <v>29</v>
      </c>
      <c r="B7" s="267">
        <f>'Sources and Uses Budget'!$C6</f>
        <v>100000</v>
      </c>
      <c r="C7" s="267">
        <f>'Sources and Uses Budget'!$C6</f>
        <v>100000</v>
      </c>
      <c r="D7" s="271">
        <f t="shared" si="0"/>
        <v>0</v>
      </c>
      <c r="E7" s="269"/>
      <c r="F7" s="268"/>
    </row>
    <row r="8" spans="1:6" s="353" customFormat="1">
      <c r="A8" s="365" t="s">
        <v>97</v>
      </c>
      <c r="B8" s="267">
        <f>'Sources and Uses Budget'!$C7</f>
        <v>0</v>
      </c>
      <c r="C8" s="267">
        <f>'Sources and Uses Budget'!$C7</f>
        <v>0</v>
      </c>
      <c r="D8" s="271">
        <f t="shared" si="0"/>
        <v>0</v>
      </c>
      <c r="E8" s="269"/>
      <c r="F8" s="268"/>
    </row>
    <row r="9" spans="1:6" s="353" customFormat="1">
      <c r="A9" s="366" t="s">
        <v>593</v>
      </c>
      <c r="B9" s="271">
        <f>SUM(B5:B8)</f>
        <v>7850000</v>
      </c>
      <c r="C9" s="271">
        <f>SUM(C5:C8)</f>
        <v>7850000</v>
      </c>
      <c r="D9" s="271">
        <f t="shared" si="0"/>
        <v>0</v>
      </c>
      <c r="E9" s="269"/>
      <c r="F9" s="268"/>
    </row>
    <row r="10" spans="1:6" s="353" customFormat="1">
      <c r="A10" s="365" t="s">
        <v>594</v>
      </c>
      <c r="B10" s="267">
        <f>'Sources and Uses Budget'!$C9</f>
        <v>0</v>
      </c>
      <c r="C10" s="267">
        <f>'Sources and Uses Budget'!$C9</f>
        <v>0</v>
      </c>
      <c r="D10" s="271">
        <f t="shared" si="0"/>
        <v>0</v>
      </c>
      <c r="E10" s="269"/>
      <c r="F10" s="268"/>
    </row>
    <row r="11" spans="1:6" s="353" customFormat="1">
      <c r="A11" s="365" t="s">
        <v>595</v>
      </c>
      <c r="B11" s="267">
        <f>'Sources and Uses Budget'!$C10</f>
        <v>0</v>
      </c>
      <c r="C11" s="267">
        <f>'Sources and Uses Budget'!$C10</f>
        <v>0</v>
      </c>
      <c r="D11" s="271">
        <f t="shared" si="0"/>
        <v>0</v>
      </c>
      <c r="E11" s="269"/>
      <c r="F11" s="268"/>
    </row>
    <row r="12" spans="1:6" s="353" customFormat="1">
      <c r="A12" s="366" t="s">
        <v>596</v>
      </c>
      <c r="B12" s="271">
        <f>SUM(B10:B11)</f>
        <v>0</v>
      </c>
      <c r="C12" s="271">
        <f>SUM(C10:C11)</f>
        <v>0</v>
      </c>
      <c r="D12" s="271">
        <f t="shared" si="0"/>
        <v>0</v>
      </c>
      <c r="E12" s="269"/>
      <c r="F12" s="268"/>
    </row>
    <row r="13" spans="1:6" s="353" customFormat="1">
      <c r="A13" s="366" t="s">
        <v>84</v>
      </c>
      <c r="B13" s="271">
        <f>SUM(B9+B12)</f>
        <v>7850000</v>
      </c>
      <c r="C13" s="271">
        <f>SUM(C9+C12)</f>
        <v>7850000</v>
      </c>
      <c r="D13" s="271">
        <f t="shared" si="0"/>
        <v>0</v>
      </c>
      <c r="E13" s="269"/>
      <c r="F13" s="268"/>
    </row>
    <row r="14" spans="1:6" s="353" customFormat="1">
      <c r="A14" s="367" t="s">
        <v>902</v>
      </c>
      <c r="B14" s="267">
        <f>'Sources and Uses Budget'!$C13</f>
        <v>0</v>
      </c>
      <c r="C14" s="267">
        <f>'Sources and Uses Budget'!$C13</f>
        <v>0</v>
      </c>
      <c r="D14" s="271">
        <f t="shared" si="0"/>
        <v>0</v>
      </c>
      <c r="E14" s="269"/>
      <c r="F14" s="268"/>
    </row>
    <row r="15" spans="1:6" s="353" customFormat="1" ht="24">
      <c r="A15" s="365" t="s">
        <v>903</v>
      </c>
      <c r="B15" s="267">
        <f>'Sources and Uses Budget'!$C14</f>
        <v>0</v>
      </c>
      <c r="C15" s="267">
        <f>'Sources and Uses Budget'!$C14</f>
        <v>0</v>
      </c>
      <c r="D15" s="271">
        <f t="shared" si="0"/>
        <v>0</v>
      </c>
      <c r="E15" s="269"/>
      <c r="F15" s="268"/>
    </row>
    <row r="16" spans="1:6" s="353" customFormat="1">
      <c r="A16" s="365" t="s">
        <v>1160</v>
      </c>
      <c r="B16" s="267">
        <f>'Sources and Uses Budget'!$C15</f>
        <v>0</v>
      </c>
      <c r="C16" s="267">
        <f>'Sources and Uses Budget'!$C15</f>
        <v>0</v>
      </c>
      <c r="D16" s="271">
        <f t="shared" si="0"/>
        <v>0</v>
      </c>
      <c r="E16" s="269"/>
      <c r="F16" s="268"/>
    </row>
    <row r="17" spans="1:6" s="353" customFormat="1">
      <c r="A17" s="265" t="s">
        <v>597</v>
      </c>
      <c r="B17" s="265"/>
      <c r="C17" s="265"/>
      <c r="D17" s="265"/>
      <c r="E17" s="283"/>
      <c r="F17" s="265"/>
    </row>
    <row r="18" spans="1:6" s="353" customFormat="1">
      <c r="A18" s="145" t="s">
        <v>598</v>
      </c>
      <c r="B18" s="267">
        <f>'Sources and Uses Budget'!$C17</f>
        <v>0</v>
      </c>
      <c r="C18" s="267">
        <f>'Sources and Uses Budget'!$C17</f>
        <v>0</v>
      </c>
      <c r="D18" s="271">
        <f t="shared" si="0"/>
        <v>0</v>
      </c>
      <c r="E18" s="269"/>
      <c r="F18" s="268"/>
    </row>
    <row r="19" spans="1:6" s="353" customFormat="1">
      <c r="A19" s="145" t="s">
        <v>599</v>
      </c>
      <c r="B19" s="267">
        <f>'Sources and Uses Budget'!$C18</f>
        <v>0</v>
      </c>
      <c r="C19" s="267">
        <f>'Sources and Uses Budget'!$C18</f>
        <v>0</v>
      </c>
      <c r="D19" s="271">
        <f t="shared" si="0"/>
        <v>0</v>
      </c>
      <c r="E19" s="269"/>
      <c r="F19" s="268"/>
    </row>
    <row r="20" spans="1:6" s="353" customFormat="1">
      <c r="A20" s="145" t="s">
        <v>600</v>
      </c>
      <c r="B20" s="267">
        <f>'Sources and Uses Budget'!$C19</f>
        <v>0</v>
      </c>
      <c r="C20" s="267">
        <f>'Sources and Uses Budget'!$C19</f>
        <v>0</v>
      </c>
      <c r="D20" s="271">
        <f t="shared" si="0"/>
        <v>0</v>
      </c>
      <c r="E20" s="269"/>
      <c r="F20" s="268"/>
    </row>
    <row r="21" spans="1:6" s="353" customFormat="1">
      <c r="A21" s="145" t="s">
        <v>137</v>
      </c>
      <c r="B21" s="267">
        <f>'Sources and Uses Budget'!$C20</f>
        <v>0</v>
      </c>
      <c r="C21" s="267">
        <f>'Sources and Uses Budget'!$C20</f>
        <v>0</v>
      </c>
      <c r="D21" s="271">
        <f t="shared" si="0"/>
        <v>0</v>
      </c>
      <c r="E21" s="269"/>
      <c r="F21" s="268"/>
    </row>
    <row r="22" spans="1:6" s="353" customFormat="1">
      <c r="A22" s="145" t="s">
        <v>138</v>
      </c>
      <c r="B22" s="267">
        <f>'Sources and Uses Budget'!$C21</f>
        <v>0</v>
      </c>
      <c r="C22" s="267">
        <f>'Sources and Uses Budget'!$C21</f>
        <v>0</v>
      </c>
      <c r="D22" s="271">
        <f t="shared" si="0"/>
        <v>0</v>
      </c>
      <c r="E22" s="269"/>
      <c r="F22" s="268"/>
    </row>
    <row r="23" spans="1:6" s="353" customFormat="1">
      <c r="A23" s="145" t="s">
        <v>139</v>
      </c>
      <c r="B23" s="267">
        <f>'Sources and Uses Budget'!$C22</f>
        <v>0</v>
      </c>
      <c r="C23" s="267">
        <f>'Sources and Uses Budget'!$C22</f>
        <v>0</v>
      </c>
      <c r="D23" s="271">
        <f t="shared" si="0"/>
        <v>0</v>
      </c>
      <c r="E23" s="269"/>
      <c r="F23" s="268"/>
    </row>
    <row r="24" spans="1:6" s="353" customFormat="1">
      <c r="A24" s="145" t="s">
        <v>140</v>
      </c>
      <c r="B24" s="267">
        <f>'Sources and Uses Budget'!$C23</f>
        <v>0</v>
      </c>
      <c r="C24" s="267">
        <f>'Sources and Uses Budget'!$C23</f>
        <v>0</v>
      </c>
      <c r="D24" s="271">
        <f t="shared" si="0"/>
        <v>0</v>
      </c>
      <c r="E24" s="269"/>
      <c r="F24" s="268"/>
    </row>
    <row r="25" spans="1:6" s="353" customFormat="1">
      <c r="A25" s="509" t="s">
        <v>1639</v>
      </c>
      <c r="B25" s="267">
        <f>'Sources and Uses Budget'!$C24</f>
        <v>0</v>
      </c>
      <c r="C25" s="267">
        <f>'Sources and Uses Budget'!$C24</f>
        <v>0</v>
      </c>
      <c r="D25" s="271">
        <f t="shared" si="0"/>
        <v>0</v>
      </c>
      <c r="E25" s="269"/>
      <c r="F25" s="268"/>
    </row>
    <row r="26" spans="1:6" s="353" customFormat="1">
      <c r="A26" s="155">
        <f>'Sources and Uses Budget'!A25</f>
        <v>0</v>
      </c>
      <c r="B26" s="267">
        <f>'Sources and Uses Budget'!$C25</f>
        <v>0</v>
      </c>
      <c r="C26" s="267">
        <f>'Sources and Uses Budget'!$C25</f>
        <v>0</v>
      </c>
      <c r="D26" s="271">
        <f t="shared" si="0"/>
        <v>0</v>
      </c>
      <c r="E26" s="269"/>
      <c r="F26" s="268"/>
    </row>
    <row r="27" spans="1:6" s="353" customFormat="1">
      <c r="A27" s="1019" t="s">
        <v>133</v>
      </c>
      <c r="B27" s="271">
        <f>SUM(B18:B26)</f>
        <v>0</v>
      </c>
      <c r="C27" s="271">
        <f>SUM(C18:C26)</f>
        <v>0</v>
      </c>
      <c r="D27" s="271">
        <f>SUM(D18:D26)</f>
        <v>0</v>
      </c>
      <c r="E27" s="269"/>
      <c r="F27" s="268"/>
    </row>
    <row r="28" spans="1:6" s="353" customFormat="1">
      <c r="A28" s="272" t="s">
        <v>141</v>
      </c>
      <c r="B28" s="267">
        <f>'Sources and Uses Budget'!$C$27</f>
        <v>0</v>
      </c>
      <c r="C28" s="267">
        <f>'Sources and Uses Budget'!$C$27</f>
        <v>0</v>
      </c>
      <c r="D28" s="271">
        <f t="shared" si="0"/>
        <v>0</v>
      </c>
      <c r="E28" s="269"/>
      <c r="F28" s="268"/>
    </row>
    <row r="29" spans="1:6" s="353" customFormat="1">
      <c r="A29" s="265" t="s">
        <v>142</v>
      </c>
      <c r="B29" s="265"/>
      <c r="C29" s="265"/>
      <c r="D29" s="265"/>
      <c r="E29" s="283"/>
      <c r="F29" s="265"/>
    </row>
    <row r="30" spans="1:6" s="353" customFormat="1">
      <c r="A30" s="145" t="s">
        <v>598</v>
      </c>
      <c r="B30" s="267">
        <f>'Sources and Uses Budget'!$C29</f>
        <v>970502</v>
      </c>
      <c r="C30" s="267">
        <f>'Sources and Uses Budget'!$C29</f>
        <v>970502</v>
      </c>
      <c r="D30" s="271">
        <f t="shared" si="0"/>
        <v>0</v>
      </c>
      <c r="E30" s="269"/>
      <c r="F30" s="268"/>
    </row>
    <row r="31" spans="1:6" s="353" customFormat="1">
      <c r="A31" s="145" t="s">
        <v>599</v>
      </c>
      <c r="B31" s="267">
        <f>'Sources and Uses Budget'!$C30</f>
        <v>39790599</v>
      </c>
      <c r="C31" s="267">
        <f>'Sources and Uses Budget'!$C30</f>
        <v>39790599</v>
      </c>
      <c r="D31" s="271">
        <f t="shared" si="0"/>
        <v>0</v>
      </c>
      <c r="E31" s="269"/>
      <c r="F31" s="268"/>
    </row>
    <row r="32" spans="1:6" s="353" customFormat="1">
      <c r="A32" s="145" t="s">
        <v>600</v>
      </c>
      <c r="B32" s="267">
        <f>'Sources and Uses Budget'!$C31</f>
        <v>2329206</v>
      </c>
      <c r="C32" s="267">
        <f>'Sources and Uses Budget'!$C31</f>
        <v>2329206</v>
      </c>
      <c r="D32" s="271">
        <f t="shared" si="0"/>
        <v>0</v>
      </c>
      <c r="E32" s="269"/>
      <c r="F32" s="268"/>
    </row>
    <row r="33" spans="1:6" s="353" customFormat="1">
      <c r="A33" s="145" t="s">
        <v>137</v>
      </c>
      <c r="B33" s="267">
        <f>'Sources and Uses Budget'!$C32</f>
        <v>776402</v>
      </c>
      <c r="C33" s="267">
        <f>'Sources and Uses Budget'!$C32</f>
        <v>776402</v>
      </c>
      <c r="D33" s="271">
        <f t="shared" si="0"/>
        <v>0</v>
      </c>
      <c r="E33" s="269"/>
      <c r="F33" s="268"/>
    </row>
    <row r="34" spans="1:6" s="353" customFormat="1">
      <c r="A34" s="145" t="s">
        <v>138</v>
      </c>
      <c r="B34" s="267">
        <f>'Sources and Uses Budget'!$C33</f>
        <v>2329206</v>
      </c>
      <c r="C34" s="267">
        <f>'Sources and Uses Budget'!$C33</f>
        <v>2329206</v>
      </c>
      <c r="D34" s="271">
        <f t="shared" si="0"/>
        <v>0</v>
      </c>
      <c r="E34" s="269"/>
      <c r="F34" s="268"/>
    </row>
    <row r="35" spans="1:6" s="353" customFormat="1">
      <c r="A35" s="145" t="s">
        <v>139</v>
      </c>
      <c r="B35" s="267">
        <f>'Sources and Uses Budget'!$C34</f>
        <v>0</v>
      </c>
      <c r="C35" s="267">
        <f>'Sources and Uses Budget'!$C34</f>
        <v>0</v>
      </c>
      <c r="D35" s="271">
        <f t="shared" si="0"/>
        <v>0</v>
      </c>
      <c r="E35" s="269"/>
      <c r="F35" s="268"/>
    </row>
    <row r="36" spans="1:6" s="353" customFormat="1">
      <c r="A36" s="145" t="s">
        <v>140</v>
      </c>
      <c r="B36" s="267">
        <f>'Sources and Uses Budget'!$C35</f>
        <v>776402</v>
      </c>
      <c r="C36" s="267">
        <f>'Sources and Uses Budget'!$C35</f>
        <v>776402</v>
      </c>
      <c r="D36" s="271">
        <f t="shared" si="0"/>
        <v>0</v>
      </c>
      <c r="E36" s="269"/>
      <c r="F36" s="268"/>
    </row>
    <row r="37" spans="1:6" s="353" customFormat="1">
      <c r="A37" s="284" t="s">
        <v>1639</v>
      </c>
      <c r="B37" s="267">
        <f>'Sources and Uses Budget'!$C36</f>
        <v>0</v>
      </c>
      <c r="C37" s="267">
        <f>'Sources and Uses Budget'!$C36</f>
        <v>0</v>
      </c>
      <c r="D37" s="271"/>
      <c r="E37" s="269"/>
      <c r="F37" s="268"/>
    </row>
    <row r="38" spans="1:6" s="353" customFormat="1">
      <c r="A38" s="155" t="str">
        <f>'Sources and Uses Budget'!A37</f>
        <v>Other: (Specify)</v>
      </c>
      <c r="B38" s="267">
        <f>'Sources and Uses Budget'!$C37</f>
        <v>0</v>
      </c>
      <c r="C38" s="267">
        <f>'Sources and Uses Budget'!$C37</f>
        <v>0</v>
      </c>
      <c r="D38" s="271">
        <f t="shared" si="0"/>
        <v>0</v>
      </c>
      <c r="E38" s="269"/>
      <c r="F38" s="268"/>
    </row>
    <row r="39" spans="1:6" s="353" customFormat="1">
      <c r="A39" s="272" t="s">
        <v>143</v>
      </c>
      <c r="B39" s="271">
        <f>SUM(B30:B38)</f>
        <v>46972317</v>
      </c>
      <c r="C39" s="271">
        <f>SUM(C30:C38)</f>
        <v>46972317</v>
      </c>
      <c r="D39" s="271">
        <f t="shared" si="0"/>
        <v>0</v>
      </c>
      <c r="E39" s="269"/>
      <c r="F39" s="268"/>
    </row>
    <row r="40" spans="1:6" s="353" customFormat="1">
      <c r="A40" s="265" t="s">
        <v>144</v>
      </c>
      <c r="B40" s="265"/>
      <c r="C40" s="265"/>
      <c r="D40" s="265"/>
      <c r="E40" s="283"/>
      <c r="F40" s="265"/>
    </row>
    <row r="41" spans="1:6" s="353" customFormat="1">
      <c r="A41" s="270" t="s">
        <v>145</v>
      </c>
      <c r="B41" s="267">
        <f>'Sources and Uses Budget'!$C40</f>
        <v>5397894</v>
      </c>
      <c r="C41" s="267">
        <f>'Sources and Uses Budget'!$C40</f>
        <v>5397894</v>
      </c>
      <c r="D41" s="271">
        <f t="shared" si="0"/>
        <v>0</v>
      </c>
      <c r="E41" s="269"/>
      <c r="F41" s="268"/>
    </row>
    <row r="42" spans="1:6" s="353" customFormat="1">
      <c r="A42" s="270" t="s">
        <v>146</v>
      </c>
      <c r="B42" s="267">
        <f>'Sources and Uses Budget'!$C41</f>
        <v>0</v>
      </c>
      <c r="C42" s="267">
        <f>'Sources and Uses Budget'!$C41</f>
        <v>0</v>
      </c>
      <c r="D42" s="271">
        <f t="shared" si="0"/>
        <v>0</v>
      </c>
      <c r="E42" s="269"/>
      <c r="F42" s="268"/>
    </row>
    <row r="43" spans="1:6" s="353" customFormat="1">
      <c r="A43" s="272" t="s">
        <v>147</v>
      </c>
      <c r="B43" s="271">
        <f>SUM(B41:B42)</f>
        <v>5397894</v>
      </c>
      <c r="C43" s="271">
        <f>SUM(C41:C42)</f>
        <v>5397894</v>
      </c>
      <c r="D43" s="271">
        <f t="shared" si="0"/>
        <v>0</v>
      </c>
      <c r="E43" s="269"/>
      <c r="F43" s="268"/>
    </row>
    <row r="44" spans="1:6" s="353" customFormat="1">
      <c r="A44" s="272" t="s">
        <v>148</v>
      </c>
      <c r="B44" s="267">
        <f>'Sources and Uses Budget'!$C43</f>
        <v>0</v>
      </c>
      <c r="C44" s="267">
        <f>'Sources and Uses Budget'!$C43</f>
        <v>0</v>
      </c>
      <c r="D44" s="271">
        <f t="shared" si="0"/>
        <v>0</v>
      </c>
      <c r="E44" s="269"/>
      <c r="F44" s="268"/>
    </row>
    <row r="45" spans="1:6" s="353" customFormat="1" ht="12" customHeight="1">
      <c r="A45" s="265" t="s">
        <v>149</v>
      </c>
      <c r="B45" s="265"/>
      <c r="C45" s="265"/>
      <c r="D45" s="265"/>
      <c r="E45" s="283"/>
      <c r="F45" s="265"/>
    </row>
    <row r="46" spans="1:6" s="353" customFormat="1">
      <c r="A46" s="145" t="s">
        <v>150</v>
      </c>
      <c r="B46" s="267">
        <f>'Sources and Uses Budget'!$C45</f>
        <v>6955593</v>
      </c>
      <c r="C46" s="267">
        <f>'Sources and Uses Budget'!$C45</f>
        <v>6955593</v>
      </c>
      <c r="D46" s="271">
        <f t="shared" si="0"/>
        <v>0</v>
      </c>
      <c r="E46" s="269"/>
      <c r="F46" s="268"/>
    </row>
    <row r="47" spans="1:6" s="353" customFormat="1">
      <c r="A47" s="145" t="s">
        <v>151</v>
      </c>
      <c r="B47" s="267">
        <f>'Sources and Uses Budget'!$C46</f>
        <v>636751</v>
      </c>
      <c r="C47" s="267">
        <f>'Sources and Uses Budget'!$C46</f>
        <v>636751</v>
      </c>
      <c r="D47" s="271">
        <f t="shared" si="0"/>
        <v>0</v>
      </c>
      <c r="E47" s="269"/>
      <c r="F47" s="268"/>
    </row>
    <row r="48" spans="1:6" s="353" customFormat="1" ht="12" customHeight="1">
      <c r="A48" s="186" t="s">
        <v>152</v>
      </c>
      <c r="B48" s="267">
        <f>'Sources and Uses Budget'!$C47</f>
        <v>40000</v>
      </c>
      <c r="C48" s="267">
        <f>'Sources and Uses Budget'!$C47</f>
        <v>40000</v>
      </c>
      <c r="D48" s="271">
        <f t="shared" si="0"/>
        <v>0</v>
      </c>
      <c r="E48" s="269"/>
      <c r="F48" s="268"/>
    </row>
    <row r="49" spans="1:6" s="353" customFormat="1">
      <c r="A49" s="145" t="s">
        <v>153</v>
      </c>
      <c r="B49" s="267">
        <f>'Sources and Uses Budget'!$C48</f>
        <v>106125</v>
      </c>
      <c r="C49" s="267">
        <f>'Sources and Uses Budget'!$C48</f>
        <v>106125</v>
      </c>
      <c r="D49" s="271">
        <f t="shared" si="0"/>
        <v>0</v>
      </c>
      <c r="E49" s="269"/>
      <c r="F49" s="268"/>
    </row>
    <row r="50" spans="1:6" s="353" customFormat="1">
      <c r="A50" s="145" t="s">
        <v>57</v>
      </c>
      <c r="B50" s="267">
        <f>'Sources and Uses Budget'!$C49</f>
        <v>106125</v>
      </c>
      <c r="C50" s="267">
        <f>'Sources and Uses Budget'!$C49</f>
        <v>106125</v>
      </c>
      <c r="D50" s="271">
        <f t="shared" si="0"/>
        <v>0</v>
      </c>
      <c r="E50" s="269"/>
      <c r="F50" s="268"/>
    </row>
    <row r="51" spans="1:6" s="353" customFormat="1">
      <c r="A51" s="145" t="s">
        <v>156</v>
      </c>
      <c r="B51" s="267">
        <f>'Sources and Uses Budget'!$C50</f>
        <v>0</v>
      </c>
      <c r="C51" s="267">
        <f>'Sources and Uses Budget'!$C50</f>
        <v>0</v>
      </c>
      <c r="D51" s="271">
        <f t="shared" si="0"/>
        <v>0</v>
      </c>
      <c r="E51" s="269"/>
      <c r="F51" s="268"/>
    </row>
    <row r="52" spans="1:6" s="353" customFormat="1">
      <c r="A52" s="284" t="s">
        <v>154</v>
      </c>
      <c r="B52" s="267">
        <f>'Sources and Uses Budget'!$C51</f>
        <v>0</v>
      </c>
      <c r="C52" s="267">
        <f>'Sources and Uses Budget'!$C51</f>
        <v>0</v>
      </c>
      <c r="D52" s="271">
        <f t="shared" si="0"/>
        <v>0</v>
      </c>
      <c r="E52" s="269"/>
      <c r="F52" s="268"/>
    </row>
    <row r="53" spans="1:6" s="353" customFormat="1">
      <c r="A53" s="145" t="s">
        <v>155</v>
      </c>
      <c r="B53" s="267">
        <f>'Sources and Uses Budget'!$C52</f>
        <v>0</v>
      </c>
      <c r="C53" s="267">
        <f>'Sources and Uses Budget'!$C52</f>
        <v>0</v>
      </c>
      <c r="D53" s="271">
        <f t="shared" si="0"/>
        <v>0</v>
      </c>
      <c r="E53" s="269"/>
      <c r="F53" s="268"/>
    </row>
    <row r="54" spans="1:6" s="353" customFormat="1" ht="36">
      <c r="A54" s="155" t="str">
        <f>'Sources and Uses Budget'!A53</f>
        <v>Other: Bond Underwriting, Trustee, Rating, Monitoring Fee, Cost of Issuance Contingency</v>
      </c>
      <c r="B54" s="267">
        <f>'Sources and Uses Budget'!$C53</f>
        <v>649121</v>
      </c>
      <c r="C54" s="267">
        <f>'Sources and Uses Budget'!$C53</f>
        <v>649121</v>
      </c>
      <c r="D54" s="271">
        <f t="shared" si="0"/>
        <v>0</v>
      </c>
      <c r="E54" s="269"/>
      <c r="F54" s="268"/>
    </row>
    <row r="55" spans="1:6" s="354" customFormat="1">
      <c r="A55" s="272" t="s">
        <v>157</v>
      </c>
      <c r="B55" s="274">
        <f>SUM(B46:B54)</f>
        <v>8493715</v>
      </c>
      <c r="C55" s="274">
        <f>SUM(C46:C54)</f>
        <v>8493715</v>
      </c>
      <c r="D55" s="271">
        <f t="shared" si="0"/>
        <v>0</v>
      </c>
      <c r="E55" s="269"/>
      <c r="F55" s="268"/>
    </row>
    <row r="56" spans="1:6" s="353" customFormat="1">
      <c r="A56" s="265" t="s">
        <v>417</v>
      </c>
      <c r="B56" s="265"/>
      <c r="C56" s="265"/>
      <c r="D56" s="265"/>
      <c r="E56" s="283"/>
      <c r="F56" s="265"/>
    </row>
    <row r="57" spans="1:6" s="353" customFormat="1">
      <c r="A57" s="270" t="s">
        <v>158</v>
      </c>
      <c r="B57" s="267">
        <f>'Sources and Uses Budget'!$C56</f>
        <v>0</v>
      </c>
      <c r="C57" s="267">
        <f>'Sources and Uses Budget'!$C56</f>
        <v>0</v>
      </c>
      <c r="D57" s="271">
        <f t="shared" si="0"/>
        <v>0</v>
      </c>
      <c r="E57" s="269"/>
      <c r="F57" s="268"/>
    </row>
    <row r="58" spans="1:6" s="353" customFormat="1" ht="12" customHeight="1">
      <c r="A58" s="270" t="s">
        <v>152</v>
      </c>
      <c r="B58" s="267">
        <f>'Sources and Uses Budget'!$C57</f>
        <v>0</v>
      </c>
      <c r="C58" s="267">
        <f>'Sources and Uses Budget'!$C57</f>
        <v>0</v>
      </c>
      <c r="D58" s="271">
        <f t="shared" si="0"/>
        <v>0</v>
      </c>
      <c r="E58" s="269"/>
      <c r="F58" s="268"/>
    </row>
    <row r="59" spans="1:6" s="353" customFormat="1">
      <c r="A59" s="270" t="s">
        <v>156</v>
      </c>
      <c r="B59" s="267">
        <f>'Sources and Uses Budget'!$C58</f>
        <v>0</v>
      </c>
      <c r="C59" s="267">
        <f>'Sources and Uses Budget'!$C58</f>
        <v>0</v>
      </c>
      <c r="D59" s="271">
        <f t="shared" si="0"/>
        <v>0</v>
      </c>
      <c r="E59" s="269"/>
      <c r="F59" s="268"/>
    </row>
    <row r="60" spans="1:6" s="353" customFormat="1">
      <c r="A60" s="270" t="s">
        <v>154</v>
      </c>
      <c r="B60" s="267">
        <f>'Sources and Uses Budget'!$C59</f>
        <v>0</v>
      </c>
      <c r="C60" s="267">
        <f>'Sources and Uses Budget'!$C59</f>
        <v>0</v>
      </c>
      <c r="D60" s="271">
        <f t="shared" si="0"/>
        <v>0</v>
      </c>
      <c r="E60" s="269"/>
      <c r="F60" s="268"/>
    </row>
    <row r="61" spans="1:6" s="353" customFormat="1">
      <c r="A61" s="270" t="s">
        <v>155</v>
      </c>
      <c r="B61" s="267">
        <f>'Sources and Uses Budget'!$C60</f>
        <v>0</v>
      </c>
      <c r="C61" s="267">
        <f>'Sources and Uses Budget'!$C60</f>
        <v>0</v>
      </c>
      <c r="D61" s="271">
        <f t="shared" si="0"/>
        <v>0</v>
      </c>
      <c r="E61" s="269"/>
      <c r="F61" s="268"/>
    </row>
    <row r="62" spans="1:6" s="353" customFormat="1">
      <c r="A62" s="1020" t="str">
        <f>'Sources and Uses Budget'!A61</f>
        <v>Other: (Specify)</v>
      </c>
      <c r="B62" s="267">
        <f>'Sources and Uses Budget'!$C61</f>
        <v>0</v>
      </c>
      <c r="C62" s="267">
        <f>'Sources and Uses Budget'!$C61</f>
        <v>0</v>
      </c>
      <c r="D62" s="271">
        <f t="shared" si="0"/>
        <v>0</v>
      </c>
      <c r="E62" s="269"/>
      <c r="F62" s="268"/>
    </row>
    <row r="63" spans="1:6" s="353" customFormat="1" ht="13.7" customHeight="1">
      <c r="A63" s="272" t="s">
        <v>300</v>
      </c>
      <c r="B63" s="271">
        <f>SUM(B57:B62)</f>
        <v>0</v>
      </c>
      <c r="C63" s="271">
        <f>SUM(C57:C62)</f>
        <v>0</v>
      </c>
      <c r="D63" s="271">
        <f t="shared" si="0"/>
        <v>0</v>
      </c>
      <c r="E63" s="269"/>
      <c r="F63" s="268"/>
    </row>
    <row r="64" spans="1:6" s="353" customFormat="1">
      <c r="A64" s="275" t="s">
        <v>301</v>
      </c>
      <c r="B64" s="271">
        <f>SUM(B9+B12+B14+B15+B17+B26+B28+B39+B43+B44+B55+B63)</f>
        <v>68713926</v>
      </c>
      <c r="C64" s="271">
        <f>SUM(C9+C12+C14+C15+C17+C26+C28+C39+C43+C44+C55+C63)</f>
        <v>68713926</v>
      </c>
      <c r="D64" s="271">
        <f t="shared" si="0"/>
        <v>0</v>
      </c>
      <c r="E64" s="269"/>
      <c r="F64" s="268"/>
    </row>
    <row r="65" spans="1:6" s="353" customFormat="1" ht="24">
      <c r="A65" s="141" t="s">
        <v>1643</v>
      </c>
      <c r="B65" s="265"/>
      <c r="C65" s="265"/>
      <c r="D65" s="265"/>
      <c r="E65" s="283"/>
      <c r="F65" s="265"/>
    </row>
    <row r="66" spans="1:6" s="353" customFormat="1">
      <c r="A66" s="145" t="s">
        <v>170</v>
      </c>
      <c r="B66" s="267">
        <f>'Sources and Uses Budget'!$C65</f>
        <v>115000</v>
      </c>
      <c r="C66" s="267">
        <f>'Sources and Uses Budget'!$C65</f>
        <v>115000</v>
      </c>
      <c r="D66" s="271">
        <f t="shared" si="0"/>
        <v>0</v>
      </c>
      <c r="E66" s="269"/>
      <c r="F66" s="268"/>
    </row>
    <row r="67" spans="1:6" s="353" customFormat="1" ht="24">
      <c r="A67" s="284" t="s">
        <v>1640</v>
      </c>
      <c r="B67" s="267">
        <f>'Sources and Uses Budget'!$C66</f>
        <v>0</v>
      </c>
      <c r="C67" s="267">
        <f>'Sources and Uses Budget'!$C66</f>
        <v>0</v>
      </c>
      <c r="D67" s="271"/>
      <c r="E67" s="269"/>
      <c r="F67" s="268"/>
    </row>
    <row r="68" spans="1:6" s="353" customFormat="1" ht="24">
      <c r="A68" s="284" t="s">
        <v>1641</v>
      </c>
      <c r="B68" s="267">
        <f>'Sources and Uses Budget'!$C67</f>
        <v>46400</v>
      </c>
      <c r="C68" s="267">
        <f>'Sources and Uses Budget'!$C67</f>
        <v>46400</v>
      </c>
      <c r="D68" s="271"/>
      <c r="E68" s="269"/>
      <c r="F68" s="268"/>
    </row>
    <row r="69" spans="1:6" s="353" customFormat="1">
      <c r="A69" s="284" t="s">
        <v>1647</v>
      </c>
      <c r="B69" s="267">
        <f>'Sources and Uses Budget'!$C68</f>
        <v>0</v>
      </c>
      <c r="C69" s="267">
        <f>'Sources and Uses Budget'!$C68</f>
        <v>0</v>
      </c>
      <c r="D69" s="271"/>
      <c r="E69" s="269"/>
      <c r="F69" s="268"/>
    </row>
    <row r="70" spans="1:6" s="353" customFormat="1">
      <c r="A70" s="155" t="str">
        <f>'Sources and Uses Budget'!A69</f>
        <v>Other: Owner Legal</v>
      </c>
      <c r="B70" s="267">
        <f>'Sources and Uses Budget'!$C69</f>
        <v>1350000</v>
      </c>
      <c r="C70" s="267">
        <f>'Sources and Uses Budget'!$C69</f>
        <v>1350000</v>
      </c>
      <c r="D70" s="271">
        <f t="shared" si="0"/>
        <v>0</v>
      </c>
      <c r="E70" s="269"/>
      <c r="F70" s="268"/>
    </row>
    <row r="71" spans="1:6" s="353" customFormat="1">
      <c r="A71" s="149" t="s">
        <v>1644</v>
      </c>
      <c r="B71" s="271">
        <f>SUM(B66:B70)</f>
        <v>1511400</v>
      </c>
      <c r="C71" s="271">
        <f>SUM(C66:C70)</f>
        <v>1511400</v>
      </c>
      <c r="D71" s="271">
        <f t="shared" si="0"/>
        <v>0</v>
      </c>
      <c r="E71" s="269"/>
      <c r="F71" s="268"/>
    </row>
    <row r="72" spans="1:6" s="353" customFormat="1">
      <c r="A72" s="265" t="s">
        <v>602</v>
      </c>
      <c r="B72" s="265"/>
      <c r="C72" s="265"/>
      <c r="D72" s="265"/>
      <c r="E72" s="283"/>
      <c r="F72" s="265"/>
    </row>
    <row r="73" spans="1:6" s="353" customFormat="1">
      <c r="A73" s="270" t="s">
        <v>603</v>
      </c>
      <c r="B73" s="267">
        <f>'Sources and Uses Budget'!$C72</f>
        <v>0</v>
      </c>
      <c r="C73" s="267">
        <f>'Sources and Uses Budget'!$C72</f>
        <v>0</v>
      </c>
      <c r="D73" s="271">
        <f t="shared" si="0"/>
        <v>0</v>
      </c>
      <c r="E73" s="269"/>
      <c r="F73" s="268"/>
    </row>
    <row r="74" spans="1:6" s="353" customFormat="1">
      <c r="A74" s="270" t="s">
        <v>604</v>
      </c>
      <c r="B74" s="267">
        <f>'Sources and Uses Budget'!$C73</f>
        <v>0</v>
      </c>
      <c r="C74" s="267">
        <f>'Sources and Uses Budget'!$C73</f>
        <v>0</v>
      </c>
      <c r="D74" s="271">
        <f t="shared" si="0"/>
        <v>0</v>
      </c>
      <c r="E74" s="269"/>
      <c r="F74" s="268"/>
    </row>
    <row r="75" spans="1:6" s="353" customFormat="1">
      <c r="A75" s="288" t="s">
        <v>985</v>
      </c>
      <c r="B75" s="267">
        <f>'Sources and Uses Budget'!$C74</f>
        <v>0</v>
      </c>
      <c r="C75" s="267">
        <f>'Sources and Uses Budget'!$C74</f>
        <v>0</v>
      </c>
      <c r="D75" s="271">
        <f t="shared" si="0"/>
        <v>0</v>
      </c>
      <c r="E75" s="269"/>
      <c r="F75" s="268"/>
    </row>
    <row r="76" spans="1:6" s="353" customFormat="1">
      <c r="A76" s="270" t="s">
        <v>605</v>
      </c>
      <c r="B76" s="267">
        <f>'Sources and Uses Budget'!$C75</f>
        <v>1042396</v>
      </c>
      <c r="C76" s="267">
        <f>'Sources and Uses Budget'!$C75</f>
        <v>1042396</v>
      </c>
      <c r="D76" s="271">
        <f t="shared" si="0"/>
        <v>0</v>
      </c>
      <c r="E76" s="269"/>
      <c r="F76" s="268"/>
    </row>
    <row r="77" spans="1:6" s="353" customFormat="1">
      <c r="A77" s="273" t="s">
        <v>34</v>
      </c>
      <c r="B77" s="267">
        <f>'Sources and Uses Budget'!$C76</f>
        <v>0</v>
      </c>
      <c r="C77" s="267">
        <f>'Sources and Uses Budget'!$C76</f>
        <v>0</v>
      </c>
      <c r="D77" s="271">
        <f t="shared" si="0"/>
        <v>0</v>
      </c>
      <c r="E77" s="269"/>
      <c r="F77" s="268"/>
    </row>
    <row r="78" spans="1:6" s="353" customFormat="1">
      <c r="A78" s="272" t="s">
        <v>606</v>
      </c>
      <c r="B78" s="271">
        <f>SUM(B73:B77)</f>
        <v>1042396</v>
      </c>
      <c r="C78" s="271">
        <f>SUM(C73:C77)</f>
        <v>1042396</v>
      </c>
      <c r="D78" s="271">
        <f t="shared" ref="D78:D106" si="1">C78-B78</f>
        <v>0</v>
      </c>
      <c r="E78" s="269"/>
      <c r="F78" s="268"/>
    </row>
    <row r="79" spans="1:6" s="353" customFormat="1">
      <c r="A79" s="265" t="s">
        <v>1209</v>
      </c>
      <c r="B79" s="265"/>
      <c r="C79" s="265"/>
      <c r="D79" s="265"/>
      <c r="E79" s="283"/>
      <c r="F79" s="265"/>
    </row>
    <row r="80" spans="1:6" s="353" customFormat="1">
      <c r="A80" s="511" t="s">
        <v>1211</v>
      </c>
      <c r="B80" s="267">
        <f>'Sources and Uses Budget'!$C79</f>
        <v>1941005</v>
      </c>
      <c r="C80" s="267">
        <f>'Sources and Uses Budget'!$C79</f>
        <v>1941005</v>
      </c>
      <c r="D80" s="271">
        <f t="shared" si="1"/>
        <v>0</v>
      </c>
      <c r="E80" s="269"/>
      <c r="F80" s="268"/>
    </row>
    <row r="81" spans="1:6" s="353" customFormat="1">
      <c r="A81" s="511" t="s">
        <v>58</v>
      </c>
      <c r="B81" s="267">
        <f>'Sources and Uses Budget'!$C80</f>
        <v>0</v>
      </c>
      <c r="C81" s="267">
        <f>'Sources and Uses Budget'!$C80</f>
        <v>0</v>
      </c>
      <c r="D81" s="271">
        <f>C81-B81</f>
        <v>0</v>
      </c>
      <c r="E81" s="269"/>
      <c r="F81" s="268"/>
    </row>
    <row r="82" spans="1:6" s="353" customFormat="1">
      <c r="A82" s="272" t="s">
        <v>1208</v>
      </c>
      <c r="B82" s="271">
        <f>SUM(B80:B81)</f>
        <v>1941005</v>
      </c>
      <c r="C82" s="271">
        <f>SUM(C80:C81)</f>
        <v>1941005</v>
      </c>
      <c r="D82" s="271">
        <f t="shared" si="1"/>
        <v>0</v>
      </c>
      <c r="E82" s="269"/>
      <c r="F82" s="268"/>
    </row>
    <row r="83" spans="1:6" s="353" customFormat="1">
      <c r="A83" s="265" t="s">
        <v>765</v>
      </c>
      <c r="B83" s="265"/>
      <c r="C83" s="265"/>
      <c r="D83" s="265"/>
      <c r="E83" s="283"/>
      <c r="F83" s="265"/>
    </row>
    <row r="84" spans="1:6" s="353" customFormat="1" ht="13.7" customHeight="1">
      <c r="A84" s="270" t="s">
        <v>766</v>
      </c>
      <c r="B84" s="267">
        <f>'Sources and Uses Budget'!$C83</f>
        <v>202012</v>
      </c>
      <c r="C84" s="267">
        <f>'Sources and Uses Budget'!$C83</f>
        <v>202012</v>
      </c>
      <c r="D84" s="271">
        <f t="shared" si="1"/>
        <v>0</v>
      </c>
      <c r="E84" s="269"/>
      <c r="F84" s="268"/>
    </row>
    <row r="85" spans="1:6" s="353" customFormat="1">
      <c r="A85" s="270" t="s">
        <v>767</v>
      </c>
      <c r="B85" s="267">
        <f>'Sources and Uses Budget'!$C84</f>
        <v>0</v>
      </c>
      <c r="C85" s="267">
        <f>'Sources and Uses Budget'!$C84</f>
        <v>0</v>
      </c>
      <c r="D85" s="271">
        <f t="shared" si="1"/>
        <v>0</v>
      </c>
      <c r="E85" s="269"/>
      <c r="F85" s="268"/>
    </row>
    <row r="86" spans="1:6" s="353" customFormat="1">
      <c r="A86" s="270" t="s">
        <v>768</v>
      </c>
      <c r="B86" s="267">
        <f>'Sources and Uses Budget'!$C85</f>
        <v>0</v>
      </c>
      <c r="C86" s="267">
        <f>'Sources and Uses Budget'!$C85</f>
        <v>0</v>
      </c>
      <c r="D86" s="271">
        <f t="shared" si="1"/>
        <v>0</v>
      </c>
      <c r="E86" s="269"/>
      <c r="F86" s="268"/>
    </row>
    <row r="87" spans="1:6" s="353" customFormat="1">
      <c r="A87" s="270" t="s">
        <v>769</v>
      </c>
      <c r="B87" s="267">
        <f>'Sources and Uses Budget'!$C86</f>
        <v>974400</v>
      </c>
      <c r="C87" s="267">
        <f>'Sources and Uses Budget'!$C86</f>
        <v>974400</v>
      </c>
      <c r="D87" s="271">
        <f t="shared" si="1"/>
        <v>0</v>
      </c>
      <c r="E87" s="269"/>
      <c r="F87" s="268"/>
    </row>
    <row r="88" spans="1:6" s="353" customFormat="1">
      <c r="A88" s="270" t="s">
        <v>770</v>
      </c>
      <c r="B88" s="267">
        <f>'Sources and Uses Budget'!$C87</f>
        <v>0</v>
      </c>
      <c r="C88" s="267">
        <f>'Sources and Uses Budget'!$C87</f>
        <v>0</v>
      </c>
      <c r="D88" s="271">
        <f t="shared" si="1"/>
        <v>0</v>
      </c>
      <c r="E88" s="269"/>
      <c r="F88" s="268"/>
    </row>
    <row r="89" spans="1:6" s="353" customFormat="1">
      <c r="A89" s="270" t="s">
        <v>771</v>
      </c>
      <c r="B89" s="267">
        <f>'Sources and Uses Budget'!$C88</f>
        <v>100000</v>
      </c>
      <c r="C89" s="267">
        <f>'Sources and Uses Budget'!$C88</f>
        <v>100000</v>
      </c>
      <c r="D89" s="271">
        <f t="shared" si="1"/>
        <v>0</v>
      </c>
      <c r="E89" s="269"/>
      <c r="F89" s="268"/>
    </row>
    <row r="90" spans="1:6" s="353" customFormat="1">
      <c r="A90" s="270" t="s">
        <v>772</v>
      </c>
      <c r="B90" s="267">
        <f>'Sources and Uses Budget'!$C89</f>
        <v>945000</v>
      </c>
      <c r="C90" s="267">
        <f>'Sources and Uses Budget'!$C89</f>
        <v>945000</v>
      </c>
      <c r="D90" s="271">
        <f t="shared" si="1"/>
        <v>0</v>
      </c>
      <c r="E90" s="269"/>
      <c r="F90" s="268"/>
    </row>
    <row r="91" spans="1:6" s="353" customFormat="1">
      <c r="A91" s="270" t="s">
        <v>773</v>
      </c>
      <c r="B91" s="267">
        <f>'Sources and Uses Budget'!$C90</f>
        <v>0</v>
      </c>
      <c r="C91" s="267">
        <f>'Sources and Uses Budget'!$C90</f>
        <v>0</v>
      </c>
      <c r="D91" s="271">
        <f t="shared" si="1"/>
        <v>0</v>
      </c>
      <c r="E91" s="269"/>
      <c r="F91" s="268"/>
    </row>
    <row r="92" spans="1:6" s="353" customFormat="1">
      <c r="A92" s="270" t="s">
        <v>371</v>
      </c>
      <c r="B92" s="267">
        <f>'Sources and Uses Budget'!$C91</f>
        <v>0</v>
      </c>
      <c r="C92" s="267">
        <f>'Sources and Uses Budget'!$C91</f>
        <v>0</v>
      </c>
      <c r="D92" s="271">
        <f t="shared" si="1"/>
        <v>0</v>
      </c>
      <c r="E92" s="269"/>
      <c r="F92" s="268"/>
    </row>
    <row r="93" spans="1:6" s="353" customFormat="1">
      <c r="A93" s="511" t="s">
        <v>1210</v>
      </c>
      <c r="B93" s="267">
        <f>'Sources and Uses Budget'!$C92</f>
        <v>0</v>
      </c>
      <c r="C93" s="267">
        <f>'Sources and Uses Budget'!$C92</f>
        <v>0</v>
      </c>
      <c r="D93" s="271">
        <f t="shared" si="1"/>
        <v>0</v>
      </c>
      <c r="E93" s="269"/>
      <c r="F93" s="268"/>
    </row>
    <row r="94" spans="1:6" s="353" customFormat="1">
      <c r="A94" s="273" t="s">
        <v>34</v>
      </c>
      <c r="B94" s="267">
        <f>'Sources and Uses Budget'!$C93</f>
        <v>847871</v>
      </c>
      <c r="C94" s="267">
        <f>'Sources and Uses Budget'!$C93</f>
        <v>847871</v>
      </c>
      <c r="D94" s="271">
        <f t="shared" si="1"/>
        <v>0</v>
      </c>
      <c r="E94" s="269"/>
      <c r="F94" s="268"/>
    </row>
    <row r="95" spans="1:6" s="353" customFormat="1">
      <c r="A95" s="273" t="s">
        <v>34</v>
      </c>
      <c r="B95" s="267">
        <f>'Sources and Uses Budget'!$C94</f>
        <v>195000</v>
      </c>
      <c r="C95" s="267">
        <f>'Sources and Uses Budget'!$C94</f>
        <v>195000</v>
      </c>
      <c r="D95" s="271">
        <f t="shared" si="1"/>
        <v>0</v>
      </c>
      <c r="E95" s="269"/>
      <c r="F95" s="268"/>
    </row>
    <row r="96" spans="1:6" s="353" customFormat="1">
      <c r="A96" s="273" t="s">
        <v>34</v>
      </c>
      <c r="B96" s="267">
        <f>'Sources and Uses Budget'!$C95</f>
        <v>430000</v>
      </c>
      <c r="C96" s="267">
        <f>'Sources and Uses Budget'!$C95</f>
        <v>430000</v>
      </c>
      <c r="D96" s="271">
        <f t="shared" si="1"/>
        <v>0</v>
      </c>
      <c r="E96" s="269"/>
      <c r="F96" s="268"/>
    </row>
    <row r="97" spans="1:6" s="353" customFormat="1">
      <c r="A97" s="272" t="s">
        <v>774</v>
      </c>
      <c r="B97" s="271">
        <f>SUM(B84:B96)</f>
        <v>3694283</v>
      </c>
      <c r="C97" s="271">
        <f>SUM(C84:C96)</f>
        <v>3694283</v>
      </c>
      <c r="D97" s="271">
        <f t="shared" si="1"/>
        <v>0</v>
      </c>
      <c r="E97" s="269"/>
      <c r="F97" s="268"/>
    </row>
    <row r="98" spans="1:6" s="353" customFormat="1">
      <c r="A98" s="272" t="s">
        <v>775</v>
      </c>
      <c r="B98" s="271">
        <f>SUM(B64+B71+B78+B82+B97)</f>
        <v>76903010</v>
      </c>
      <c r="C98" s="271">
        <f>SUM(C64+C71+C78+C82+C97)</f>
        <v>76903010</v>
      </c>
      <c r="D98" s="271">
        <f t="shared" si="1"/>
        <v>0</v>
      </c>
      <c r="E98" s="269"/>
      <c r="F98" s="268"/>
    </row>
    <row r="99" spans="1:6" s="353" customFormat="1">
      <c r="A99" s="265" t="s">
        <v>776</v>
      </c>
      <c r="B99" s="265"/>
      <c r="C99" s="265"/>
      <c r="D99" s="265"/>
      <c r="E99" s="283"/>
      <c r="F99" s="265"/>
    </row>
    <row r="100" spans="1:6" s="353" customFormat="1">
      <c r="A100" s="145" t="s">
        <v>777</v>
      </c>
      <c r="B100" s="267">
        <f>'Sources and Uses Budget'!$C99</f>
        <v>9287728</v>
      </c>
      <c r="C100" s="267">
        <f>'Sources and Uses Budget'!$C99</f>
        <v>9287728</v>
      </c>
      <c r="D100" s="271">
        <f t="shared" si="1"/>
        <v>0</v>
      </c>
      <c r="E100" s="269"/>
      <c r="F100" s="268"/>
    </row>
    <row r="101" spans="1:6" s="353" customFormat="1">
      <c r="A101" s="284" t="s">
        <v>1645</v>
      </c>
      <c r="B101" s="267">
        <f>'Sources and Uses Budget'!$C100</f>
        <v>0</v>
      </c>
      <c r="C101" s="267">
        <f>'Sources and Uses Budget'!$C100</f>
        <v>0</v>
      </c>
      <c r="D101" s="271">
        <f t="shared" si="1"/>
        <v>0</v>
      </c>
      <c r="E101" s="269"/>
      <c r="F101" s="268"/>
    </row>
    <row r="102" spans="1:6" s="353" customFormat="1">
      <c r="A102" s="145" t="s">
        <v>778</v>
      </c>
      <c r="B102" s="267">
        <f>'Sources and Uses Budget'!$C101</f>
        <v>0</v>
      </c>
      <c r="C102" s="267">
        <f>'Sources and Uses Budget'!$C101</f>
        <v>0</v>
      </c>
      <c r="D102" s="271">
        <f t="shared" si="1"/>
        <v>0</v>
      </c>
      <c r="E102" s="269"/>
      <c r="F102" s="268"/>
    </row>
    <row r="103" spans="1:6" s="353" customFormat="1" ht="12" customHeight="1">
      <c r="A103" s="284" t="s">
        <v>1646</v>
      </c>
      <c r="B103" s="267">
        <f>'Sources and Uses Budget'!$C102</f>
        <v>0</v>
      </c>
      <c r="C103" s="267">
        <f>'Sources and Uses Budget'!$C102</f>
        <v>0</v>
      </c>
      <c r="D103" s="271">
        <f t="shared" si="1"/>
        <v>0</v>
      </c>
      <c r="E103" s="269"/>
      <c r="F103" s="268"/>
    </row>
    <row r="104" spans="1:6" s="353" customFormat="1">
      <c r="A104" s="1020" t="str">
        <f>'Sources and Uses Budget'!A103</f>
        <v>Other: (Specify)</v>
      </c>
      <c r="B104" s="267">
        <f>'Sources and Uses Budget'!$C103</f>
        <v>0</v>
      </c>
      <c r="C104" s="267">
        <f>'Sources and Uses Budget'!$C103</f>
        <v>0</v>
      </c>
      <c r="D104" s="271">
        <f t="shared" si="1"/>
        <v>0</v>
      </c>
      <c r="E104" s="269"/>
      <c r="F104" s="268"/>
    </row>
    <row r="105" spans="1:6" s="353" customFormat="1">
      <c r="A105" s="272" t="s">
        <v>779</v>
      </c>
      <c r="B105" s="271">
        <f>SUM(B100:B104)</f>
        <v>9287728</v>
      </c>
      <c r="C105" s="271">
        <f>SUM(C100:C104)</f>
        <v>9287728</v>
      </c>
      <c r="D105" s="271">
        <f t="shared" si="1"/>
        <v>0</v>
      </c>
      <c r="E105" s="269"/>
      <c r="F105" s="268"/>
    </row>
    <row r="106" spans="1:6" s="353" customFormat="1">
      <c r="A106" s="272" t="s">
        <v>780</v>
      </c>
      <c r="B106" s="274">
        <f>SUM(B98+B105)</f>
        <v>86190738</v>
      </c>
      <c r="C106" s="274">
        <f>SUM(C98+C105)</f>
        <v>86190738</v>
      </c>
      <c r="D106" s="271">
        <f t="shared" si="1"/>
        <v>0</v>
      </c>
      <c r="E106" s="269"/>
      <c r="F106" s="268"/>
    </row>
    <row r="107" spans="1:6" s="353" customFormat="1">
      <c r="A107" s="278" t="s">
        <v>781</v>
      </c>
      <c r="B107" s="279"/>
      <c r="C107" s="280"/>
      <c r="D107" s="282"/>
      <c r="E107" s="266"/>
      <c r="F107" s="277"/>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workbookViewId="0">
      <selection sqref="A1:XFD1"/>
    </sheetView>
  </sheetViews>
  <sheetFormatPr defaultColWidth="0" defaultRowHeight="12.4" customHeight="1" zeroHeight="1"/>
  <cols>
    <col min="1" max="10" width="10.7109375" style="403" customWidth="1"/>
    <col min="11" max="16384" width="8.85546875" style="403" hidden="1"/>
  </cols>
  <sheetData>
    <row r="1" spans="1:10" ht="15.75">
      <c r="A1" s="1272" t="s">
        <v>1868</v>
      </c>
      <c r="B1" s="1273"/>
      <c r="C1" s="1273"/>
      <c r="D1" s="1273"/>
      <c r="E1" s="1273"/>
      <c r="F1" s="1273"/>
      <c r="G1" s="1273"/>
      <c r="H1" s="1273"/>
      <c r="I1" s="1273"/>
      <c r="J1" s="1273"/>
    </row>
    <row r="2" spans="1:10" ht="15">
      <c r="A2" s="1276" t="s">
        <v>1267</v>
      </c>
      <c r="B2" s="1277"/>
      <c r="C2" s="1277"/>
      <c r="D2" s="1277"/>
      <c r="E2" s="1277"/>
      <c r="F2" s="1277"/>
      <c r="G2" s="1277"/>
      <c r="H2" s="1277"/>
      <c r="I2" s="1277"/>
      <c r="J2" s="1277"/>
    </row>
    <row r="3" spans="1:10" ht="12.75"/>
    <row r="4" spans="1:10" ht="12.75" customHeight="1">
      <c r="A4" s="1274" t="s">
        <v>2047</v>
      </c>
      <c r="B4" s="1274"/>
      <c r="C4" s="1274"/>
      <c r="D4" s="1274"/>
      <c r="E4" s="1274"/>
      <c r="F4" s="1274"/>
      <c r="G4" s="1274"/>
      <c r="H4" s="1274"/>
      <c r="I4" s="1274"/>
      <c r="J4" s="1274"/>
    </row>
    <row r="5" spans="1:10" ht="12.75">
      <c r="A5" s="1274"/>
      <c r="B5" s="1274"/>
      <c r="C5" s="1274"/>
      <c r="D5" s="1274"/>
      <c r="E5" s="1274"/>
      <c r="F5" s="1274"/>
      <c r="G5" s="1274"/>
      <c r="H5" s="1274"/>
      <c r="I5" s="1274"/>
      <c r="J5" s="1274"/>
    </row>
    <row r="6" spans="1:10" ht="30" customHeight="1">
      <c r="A6" s="1274"/>
      <c r="B6" s="1274"/>
      <c r="C6" s="1274"/>
      <c r="D6" s="1274"/>
      <c r="E6" s="1274"/>
      <c r="F6" s="1274"/>
      <c r="G6" s="1274"/>
      <c r="H6" s="1274"/>
      <c r="I6" s="1274"/>
      <c r="J6" s="1274"/>
    </row>
    <row r="7" spans="1:10" ht="12.75">
      <c r="A7" s="417"/>
      <c r="B7" s="417"/>
      <c r="C7" s="417"/>
      <c r="D7" s="417"/>
      <c r="E7" s="417"/>
      <c r="F7" s="417"/>
      <c r="G7" s="417"/>
      <c r="H7" s="417"/>
      <c r="I7" s="417"/>
      <c r="J7" s="417"/>
    </row>
    <row r="8" spans="1:10" ht="12.75" customHeight="1">
      <c r="A8" s="403" t="s">
        <v>1871</v>
      </c>
      <c r="B8" s="417"/>
      <c r="C8" s="417"/>
      <c r="D8" s="417"/>
      <c r="E8" s="417"/>
      <c r="F8" s="417"/>
      <c r="G8" s="417"/>
      <c r="H8" s="417"/>
      <c r="I8" s="417"/>
      <c r="J8" s="417"/>
    </row>
    <row r="9" spans="1:10" ht="12.75"/>
    <row r="10" spans="1:10" ht="12.75" customHeight="1">
      <c r="A10" s="1278" t="s">
        <v>1873</v>
      </c>
      <c r="B10" s="1278"/>
      <c r="C10" s="1278"/>
      <c r="D10" s="1278"/>
      <c r="E10" s="1278"/>
      <c r="F10" s="1278"/>
      <c r="G10" s="1278"/>
      <c r="H10" s="1278"/>
      <c r="I10" s="1278"/>
      <c r="J10" s="1278"/>
    </row>
    <row r="11" spans="1:10" ht="12.75">
      <c r="A11" s="1278"/>
      <c r="B11" s="1278"/>
      <c r="C11" s="1278"/>
      <c r="D11" s="1278"/>
      <c r="E11" s="1278"/>
      <c r="F11" s="1278"/>
      <c r="G11" s="1278"/>
      <c r="H11" s="1278"/>
      <c r="I11" s="1278"/>
      <c r="J11" s="1278"/>
    </row>
    <row r="12" spans="1:10" ht="12.75">
      <c r="A12" s="1278"/>
      <c r="B12" s="1278"/>
      <c r="C12" s="1278"/>
      <c r="D12" s="1278"/>
      <c r="E12" s="1278"/>
      <c r="F12" s="1278"/>
      <c r="G12" s="1278"/>
      <c r="H12" s="1278"/>
      <c r="I12" s="1278"/>
      <c r="J12" s="1278"/>
    </row>
    <row r="13" spans="1:10" ht="12.75">
      <c r="A13" s="1278"/>
      <c r="B13" s="1278"/>
      <c r="C13" s="1278"/>
      <c r="D13" s="1278"/>
      <c r="E13" s="1278"/>
      <c r="F13" s="1278"/>
      <c r="G13" s="1278"/>
      <c r="H13" s="1278"/>
      <c r="I13" s="1278"/>
      <c r="J13" s="1278"/>
    </row>
    <row r="14" spans="1:10" ht="12.75">
      <c r="A14" s="1278"/>
      <c r="B14" s="1278"/>
      <c r="C14" s="1278"/>
      <c r="D14" s="1278"/>
      <c r="E14" s="1278"/>
      <c r="F14" s="1278"/>
      <c r="G14" s="1278"/>
      <c r="H14" s="1278"/>
      <c r="I14" s="1278"/>
      <c r="J14" s="1278"/>
    </row>
    <row r="15" spans="1:10" ht="12.75">
      <c r="A15" s="1278"/>
      <c r="B15" s="1278"/>
      <c r="C15" s="1278"/>
      <c r="D15" s="1278"/>
      <c r="E15" s="1278"/>
      <c r="F15" s="1278"/>
      <c r="G15" s="1278"/>
      <c r="H15" s="1278"/>
      <c r="I15" s="1278"/>
      <c r="J15" s="1278"/>
    </row>
    <row r="16" spans="1:10" ht="12.75">
      <c r="A16" s="525"/>
      <c r="B16" s="525"/>
      <c r="C16" s="525"/>
      <c r="D16" s="525"/>
      <c r="E16" s="525"/>
      <c r="F16" s="525"/>
      <c r="G16" s="525"/>
      <c r="H16" s="525"/>
      <c r="I16" s="525"/>
      <c r="J16" s="525"/>
    </row>
    <row r="17" spans="1:10" ht="12.75">
      <c r="A17" s="477" t="s">
        <v>1872</v>
      </c>
      <c r="B17" s="417"/>
      <c r="C17" s="417"/>
      <c r="D17" s="417"/>
      <c r="E17" s="417"/>
      <c r="F17" s="417"/>
      <c r="G17" s="417"/>
      <c r="H17" s="417"/>
      <c r="I17" s="417"/>
      <c r="J17" s="417"/>
    </row>
    <row r="18" spans="1:10" ht="12.75">
      <c r="A18" s="417" t="s">
        <v>249</v>
      </c>
      <c r="B18" s="417"/>
      <c r="C18" s="417"/>
      <c r="D18" s="417"/>
      <c r="E18" s="417"/>
      <c r="F18" s="417"/>
      <c r="G18" s="417"/>
      <c r="H18" s="417"/>
      <c r="I18" s="417"/>
      <c r="J18" s="417"/>
    </row>
    <row r="19" spans="1:10" ht="12.75">
      <c r="A19" s="1277" t="s">
        <v>1188</v>
      </c>
      <c r="B19" s="1277"/>
      <c r="C19" s="1277"/>
      <c r="D19" s="1277"/>
      <c r="E19" s="1277"/>
    </row>
    <row r="20" spans="1:10" ht="12.75"/>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c r="A56" s="1274" t="s">
        <v>1189</v>
      </c>
      <c r="B56" s="1274"/>
      <c r="C56" s="1274"/>
      <c r="D56" s="1274"/>
      <c r="E56" s="1274"/>
      <c r="F56" s="1274"/>
      <c r="G56" s="1274"/>
      <c r="H56" s="1274"/>
      <c r="I56" s="1274"/>
      <c r="J56" s="1274"/>
    </row>
    <row r="57" spans="1:10" ht="12.75">
      <c r="A57" s="1274"/>
      <c r="B57" s="1274"/>
      <c r="C57" s="1274"/>
      <c r="D57" s="1274"/>
      <c r="E57" s="1274"/>
      <c r="F57" s="1274"/>
      <c r="G57" s="1274"/>
      <c r="H57" s="1274"/>
      <c r="I57" s="1274"/>
      <c r="J57" s="1274"/>
    </row>
    <row r="58" spans="1:10" ht="12.75">
      <c r="A58" s="1274"/>
      <c r="B58" s="1274"/>
      <c r="C58" s="1274"/>
      <c r="D58" s="1274"/>
      <c r="E58" s="1274"/>
      <c r="F58" s="1274"/>
      <c r="G58" s="1274"/>
      <c r="H58" s="1274"/>
      <c r="I58" s="1274"/>
      <c r="J58" s="1274"/>
    </row>
    <row r="59" spans="1:10" ht="12.75"/>
    <row r="60" spans="1:10" ht="12.75">
      <c r="A60" s="403" t="s">
        <v>1188</v>
      </c>
    </row>
    <row r="61" spans="1:10" ht="12.75"/>
    <row r="62" spans="1:10" ht="12.75"/>
    <row r="63" spans="1:10" ht="12.75"/>
    <row r="64" spans="1:10" ht="12.75"/>
    <row r="65" spans="1:9" ht="12.75"/>
    <row r="66" spans="1:9" ht="12.75"/>
    <row r="67" spans="1:9" ht="12.75"/>
    <row r="68" spans="1:9" ht="12.75"/>
    <row r="69" spans="1:9" ht="12.75"/>
    <row r="70" spans="1:9" ht="12.75"/>
    <row r="71" spans="1:9" ht="12.75">
      <c r="A71" s="1275" t="s">
        <v>1869</v>
      </c>
      <c r="B71" s="1275"/>
      <c r="C71" s="1275"/>
      <c r="D71" s="1275"/>
      <c r="E71" s="1275"/>
      <c r="F71" s="1275"/>
      <c r="G71" s="1275"/>
      <c r="H71" s="1275"/>
      <c r="I71" s="1275"/>
    </row>
    <row r="72" spans="1:9" ht="12.75">
      <c r="A72" s="1267" t="s">
        <v>2045</v>
      </c>
      <c r="B72" s="1267"/>
      <c r="C72" s="1267"/>
      <c r="D72" s="1267"/>
      <c r="E72" s="1267"/>
    </row>
    <row r="73" spans="1:9" ht="12.75">
      <c r="A73" s="1267" t="s">
        <v>2046</v>
      </c>
      <c r="B73" s="1267"/>
      <c r="C73" s="1267"/>
      <c r="D73" s="1267"/>
      <c r="E73" s="1267"/>
    </row>
    <row r="74" spans="1:9" ht="12.75">
      <c r="A74" s="1267" t="s">
        <v>1870</v>
      </c>
      <c r="B74" s="1267"/>
      <c r="C74" s="1267"/>
      <c r="D74" s="1267"/>
      <c r="E74" s="1267"/>
    </row>
    <row r="75" spans="1:9" ht="12.75"/>
    <row r="76" spans="1:9" ht="12.75"/>
    <row r="77" spans="1:9" ht="12.75"/>
    <row r="78" spans="1:9" ht="12.4" customHeight="1"/>
    <row r="79" spans="1:9" ht="12.4" customHeight="1"/>
    <row r="80" spans="1:9" ht="12.4" customHeight="1"/>
    <row r="81" ht="12.4" customHeight="1"/>
    <row r="82" ht="12.4" customHeight="1"/>
    <row r="83" ht="12.4" customHeight="1"/>
    <row r="84" ht="12.4" customHeight="1"/>
    <row r="85" ht="12.4" customHeight="1"/>
  </sheetData>
  <sheetProtection algorithmName="SHA-512" hashValue="shkaiIa62bcvL/tg7qbXJYwSfcfV0w6s36auQmJZzrJLVUt/8fu2xjHdaetiELwxGPyOHvqx4QUMDnV9sZr+WQ==" saltValue="0Ki43Xg6HQVBLZRgcdNsJg==" spinCount="100000" sheet="1" objects="1" scenarios="1"/>
  <mergeCells count="10">
    <mergeCell ref="A74:E74"/>
    <mergeCell ref="A72:E72"/>
    <mergeCell ref="A73:E73"/>
    <mergeCell ref="A1:J1"/>
    <mergeCell ref="A56:J58"/>
    <mergeCell ref="A71:I71"/>
    <mergeCell ref="A2:J2"/>
    <mergeCell ref="A4:J6"/>
    <mergeCell ref="A10:J15"/>
    <mergeCell ref="A19:E19"/>
  </mergeCells>
  <hyperlinks>
    <hyperlink ref="A72" r:id="rId1" display="http://www.treasurer.ca.gov/ctcac/assignments.asp" xr:uid="{00000000-0004-0000-0200-000000000000}"/>
    <hyperlink ref="A73" r:id="rId2" display="http://www.treasurer.ca.gov/ctcac/contacts.asp" xr:uid="{00000000-0004-0000-0200-000001000000}"/>
    <hyperlink ref="A74"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9525</xdr:colOff>
                <xdr:row>77</xdr:row>
                <xdr:rowOff>95250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18"/>
  <sheetViews>
    <sheetView showGridLines="0" workbookViewId="0">
      <selection activeCell="D913" sqref="D913:F920"/>
    </sheetView>
  </sheetViews>
  <sheetFormatPr defaultColWidth="0" defaultRowHeight="12.75" zeroHeight="1"/>
  <cols>
    <col min="1" max="1" width="3.5703125" style="481" customWidth="1"/>
    <col min="2" max="2" width="13.5703125" style="481" customWidth="1"/>
    <col min="3" max="3" width="2.5703125" style="481" customWidth="1"/>
    <col min="4" max="5" width="3.5703125" style="403" customWidth="1"/>
    <col min="6" max="6" width="65.5703125" style="403" customWidth="1"/>
    <col min="7" max="7" width="1.5703125" style="403" customWidth="1"/>
    <col min="8" max="8" width="3.5703125" style="403" customWidth="1"/>
    <col min="9" max="9" width="9.140625" style="405" customWidth="1"/>
    <col min="10" max="10" width="8.85546875" style="403" hidden="1" customWidth="1"/>
    <col min="11" max="16384" width="8.85546875" style="403" hidden="1"/>
  </cols>
  <sheetData>
    <row r="1" spans="1:13"/>
    <row r="2" spans="1:13">
      <c r="A2" s="1329" t="s">
        <v>2460</v>
      </c>
      <c r="B2" s="1329"/>
      <c r="C2" s="1329"/>
      <c r="D2" s="1329"/>
      <c r="E2" s="1329"/>
      <c r="F2" s="1329"/>
      <c r="G2" s="1329"/>
      <c r="H2" s="1329"/>
      <c r="I2" s="1329"/>
    </row>
    <row r="3" spans="1:13">
      <c r="A3" s="1317" t="s">
        <v>2219</v>
      </c>
      <c r="B3" s="1317"/>
      <c r="C3" s="1317"/>
      <c r="D3" s="1317"/>
      <c r="E3" s="1317"/>
      <c r="F3" s="1317"/>
      <c r="G3" s="1317"/>
      <c r="H3" s="1317"/>
      <c r="I3" s="1317"/>
    </row>
    <row r="4" spans="1:13">
      <c r="A4" s="1317"/>
      <c r="B4" s="1317"/>
      <c r="C4" s="1277"/>
      <c r="D4" s="1277"/>
      <c r="E4" s="1277"/>
      <c r="F4" s="1277"/>
      <c r="G4" s="1277"/>
    </row>
    <row r="5" spans="1:13">
      <c r="A5" s="1317"/>
      <c r="B5" s="1317"/>
      <c r="C5" s="1277"/>
      <c r="D5" s="1277"/>
      <c r="E5" s="1277"/>
      <c r="F5" s="1277"/>
      <c r="G5" s="1277"/>
    </row>
    <row r="6" spans="1:13" ht="12.75" customHeight="1">
      <c r="A6" s="1320" t="s">
        <v>2218</v>
      </c>
      <c r="B6" s="1320"/>
      <c r="C6" s="1320"/>
      <c r="D6" s="1320"/>
      <c r="E6" s="1320"/>
      <c r="F6" s="1320"/>
      <c r="G6" s="1320"/>
      <c r="I6" s="491"/>
    </row>
    <row r="7" spans="1:13">
      <c r="A7" s="1320"/>
      <c r="B7" s="1320"/>
      <c r="C7" s="1320"/>
      <c r="D7" s="1320"/>
      <c r="E7" s="1320"/>
      <c r="F7" s="1320"/>
      <c r="G7" s="1320"/>
      <c r="I7" s="491"/>
    </row>
    <row r="8" spans="1:13">
      <c r="A8" s="482"/>
      <c r="B8" s="482"/>
      <c r="C8" s="483"/>
      <c r="D8" s="483"/>
      <c r="E8" s="483"/>
      <c r="F8" s="483"/>
    </row>
    <row r="9" spans="1:13">
      <c r="A9" s="1306" t="s">
        <v>1100</v>
      </c>
      <c r="B9" s="1306"/>
      <c r="C9" s="1306"/>
      <c r="D9" s="1306"/>
      <c r="E9" s="1306"/>
      <c r="F9" s="1306"/>
      <c r="G9" s="1306"/>
      <c r="H9" s="1029"/>
      <c r="I9" s="1030"/>
    </row>
    <row r="10" spans="1:13">
      <c r="A10" s="483"/>
      <c r="B10" s="483"/>
      <c r="E10" s="405"/>
    </row>
    <row r="11" spans="1:13" ht="13.7" customHeight="1">
      <c r="C11" s="483"/>
      <c r="D11" s="1319" t="s">
        <v>1099</v>
      </c>
      <c r="E11" s="1319"/>
      <c r="F11" s="1319"/>
    </row>
    <row r="12" spans="1:13">
      <c r="C12" s="483"/>
      <c r="D12" s="1319"/>
      <c r="E12" s="1319"/>
      <c r="F12" s="1319"/>
    </row>
    <row r="13" spans="1:13">
      <c r="A13" s="484"/>
      <c r="B13" s="484"/>
      <c r="C13" s="484"/>
      <c r="D13" s="1297" t="s">
        <v>1089</v>
      </c>
      <c r="E13" s="1297"/>
      <c r="F13" s="1297"/>
      <c r="M13" s="96"/>
    </row>
    <row r="14" spans="1:13">
      <c r="A14" s="484"/>
      <c r="B14" s="484"/>
      <c r="C14" s="484"/>
      <c r="D14" s="477"/>
      <c r="L14" s="313"/>
    </row>
    <row r="15" spans="1:13" ht="14.25">
      <c r="A15" s="485"/>
      <c r="B15" s="486" t="s">
        <v>2743</v>
      </c>
      <c r="C15" s="484"/>
      <c r="D15" s="1299" t="s">
        <v>1921</v>
      </c>
      <c r="E15" s="1299"/>
      <c r="F15" s="1299"/>
      <c r="I15" s="491"/>
    </row>
    <row r="16" spans="1:13">
      <c r="A16" s="484"/>
      <c r="B16" s="484"/>
      <c r="C16" s="484"/>
      <c r="D16" s="1299"/>
      <c r="E16" s="1299"/>
      <c r="F16" s="1299"/>
      <c r="I16" s="491"/>
    </row>
    <row r="17" spans="1:9">
      <c r="A17" s="484"/>
      <c r="B17" s="484"/>
      <c r="C17" s="484"/>
      <c r="D17" s="1299"/>
      <c r="E17" s="1299"/>
      <c r="F17" s="1299"/>
      <c r="I17" s="491"/>
    </row>
    <row r="18" spans="1:9">
      <c r="A18" s="484"/>
      <c r="B18" s="484"/>
      <c r="C18" s="484"/>
      <c r="D18" s="446"/>
      <c r="E18" s="313" t="s">
        <v>1919</v>
      </c>
      <c r="F18" s="446"/>
      <c r="I18" s="491"/>
    </row>
    <row r="19" spans="1:9">
      <c r="A19" s="484"/>
      <c r="B19" s="484"/>
      <c r="C19" s="484"/>
      <c r="I19" s="491"/>
    </row>
    <row r="20" spans="1:9" ht="14.25">
      <c r="A20" s="485"/>
      <c r="B20" s="486" t="s">
        <v>2743</v>
      </c>
      <c r="D20" s="1299" t="s">
        <v>1922</v>
      </c>
      <c r="E20" s="1299"/>
      <c r="F20" s="1299"/>
      <c r="I20" s="491"/>
    </row>
    <row r="21" spans="1:9" ht="14.25">
      <c r="A21" s="485"/>
      <c r="D21" s="1299"/>
      <c r="E21" s="1299"/>
      <c r="F21" s="1299"/>
      <c r="I21" s="491"/>
    </row>
    <row r="22" spans="1:9" ht="14.25">
      <c r="A22" s="485"/>
      <c r="D22" s="393"/>
      <c r="E22" s="96" t="s">
        <v>1918</v>
      </c>
      <c r="F22" s="393"/>
      <c r="I22" s="491"/>
    </row>
    <row r="23" spans="1:9" ht="14.25">
      <c r="A23" s="485"/>
      <c r="B23" s="485"/>
      <c r="D23" s="447"/>
      <c r="I23" s="491"/>
    </row>
    <row r="24" spans="1:9" ht="14.25">
      <c r="A24" s="485"/>
      <c r="B24" s="486" t="s">
        <v>2747</v>
      </c>
      <c r="D24" s="1299" t="s">
        <v>1090</v>
      </c>
      <c r="E24" s="1299"/>
      <c r="F24" s="1299"/>
      <c r="I24" s="491"/>
    </row>
    <row r="25" spans="1:9" ht="14.25">
      <c r="A25" s="485"/>
      <c r="B25" s="485"/>
      <c r="D25" s="1299"/>
      <c r="E25" s="1299"/>
      <c r="F25" s="1299"/>
      <c r="I25" s="491"/>
    </row>
    <row r="26" spans="1:9">
      <c r="I26" s="491"/>
    </row>
    <row r="27" spans="1:9" ht="14.25">
      <c r="A27" s="485"/>
      <c r="B27" s="486" t="s">
        <v>2743</v>
      </c>
      <c r="D27" s="1299" t="s">
        <v>2048</v>
      </c>
      <c r="E27" s="1299"/>
      <c r="F27" s="1299"/>
      <c r="I27" s="491"/>
    </row>
    <row r="28" spans="1:9">
      <c r="D28" s="1299"/>
      <c r="E28" s="1299"/>
      <c r="F28" s="1299"/>
      <c r="I28" s="491"/>
    </row>
    <row r="29" spans="1:9">
      <c r="D29" s="1299"/>
      <c r="E29" s="1299"/>
      <c r="F29" s="1299"/>
      <c r="I29" s="491"/>
    </row>
    <row r="30" spans="1:9">
      <c r="D30" s="1299"/>
      <c r="E30" s="1299"/>
      <c r="F30" s="1299"/>
      <c r="I30" s="491"/>
    </row>
    <row r="31" spans="1:9">
      <c r="D31" s="1299"/>
      <c r="E31" s="1299"/>
      <c r="F31" s="1299"/>
      <c r="I31" s="491"/>
    </row>
    <row r="32" spans="1:9">
      <c r="D32" s="448"/>
      <c r="I32" s="491"/>
    </row>
    <row r="33" spans="1:9">
      <c r="B33" s="486" t="s">
        <v>2747</v>
      </c>
      <c r="D33" s="1299" t="s">
        <v>2049</v>
      </c>
      <c r="E33" s="1299"/>
      <c r="F33" s="1299"/>
      <c r="I33" s="491"/>
    </row>
    <row r="34" spans="1:9">
      <c r="D34" s="1299"/>
      <c r="E34" s="1299"/>
      <c r="F34" s="1299"/>
      <c r="I34" s="491"/>
    </row>
    <row r="35" spans="1:9" ht="14.25">
      <c r="A35" s="485"/>
      <c r="B35" s="485"/>
      <c r="D35" s="448"/>
      <c r="I35" s="491"/>
    </row>
    <row r="36" spans="1:9" ht="14.45" customHeight="1">
      <c r="A36" s="485"/>
      <c r="B36" s="486" t="s">
        <v>2747</v>
      </c>
      <c r="D36" s="1299" t="s">
        <v>1213</v>
      </c>
      <c r="E36" s="1299"/>
      <c r="F36" s="1299"/>
      <c r="I36" s="491"/>
    </row>
    <row r="37" spans="1:9" ht="14.25">
      <c r="A37" s="485"/>
      <c r="B37" s="485"/>
      <c r="D37" s="1299"/>
      <c r="E37" s="1299"/>
      <c r="F37" s="1299"/>
      <c r="I37" s="491"/>
    </row>
    <row r="38" spans="1:9" ht="14.25">
      <c r="A38" s="485"/>
      <c r="B38" s="485"/>
      <c r="D38" s="1299"/>
      <c r="E38" s="1299"/>
      <c r="F38" s="1299"/>
      <c r="I38" s="491"/>
    </row>
    <row r="39" spans="1:9" ht="14.25">
      <c r="A39" s="485"/>
      <c r="B39" s="485"/>
      <c r="D39" s="1299"/>
      <c r="E39" s="1299"/>
      <c r="F39" s="1299"/>
      <c r="I39" s="491"/>
    </row>
    <row r="40" spans="1:9" ht="14.25">
      <c r="A40" s="485"/>
      <c r="B40" s="485"/>
      <c r="I40" s="491"/>
    </row>
    <row r="41" spans="1:9" ht="14.25">
      <c r="A41" s="485"/>
      <c r="B41" s="486" t="s">
        <v>2747</v>
      </c>
      <c r="D41" s="1299" t="s">
        <v>1091</v>
      </c>
      <c r="E41" s="1299"/>
      <c r="F41" s="1299"/>
      <c r="I41" s="491"/>
    </row>
    <row r="42" spans="1:9" ht="14.25">
      <c r="A42" s="485"/>
      <c r="B42" s="485"/>
      <c r="D42" s="1299"/>
      <c r="E42" s="1299"/>
      <c r="F42" s="1299"/>
      <c r="I42" s="491"/>
    </row>
    <row r="43" spans="1:9" ht="14.25">
      <c r="A43" s="485"/>
      <c r="B43" s="485"/>
      <c r="D43" s="1299"/>
      <c r="E43" s="1299"/>
      <c r="F43" s="1299"/>
      <c r="I43" s="491"/>
    </row>
    <row r="44" spans="1:9" ht="14.25">
      <c r="A44" s="485"/>
      <c r="B44" s="485"/>
      <c r="D44" s="1299"/>
      <c r="E44" s="1299"/>
      <c r="F44" s="1299"/>
      <c r="I44" s="491"/>
    </row>
    <row r="45" spans="1:9" ht="14.25">
      <c r="A45" s="485"/>
      <c r="B45" s="485"/>
      <c r="D45" s="1299"/>
      <c r="E45" s="1299"/>
      <c r="F45" s="1299"/>
      <c r="I45" s="491"/>
    </row>
    <row r="46" spans="1:9" ht="14.25">
      <c r="A46" s="485"/>
      <c r="B46" s="485"/>
      <c r="D46" s="446"/>
      <c r="E46" s="446"/>
      <c r="F46" s="446"/>
      <c r="I46" s="491"/>
    </row>
    <row r="47" spans="1:9" ht="14.25">
      <c r="A47" s="485"/>
      <c r="B47" s="486" t="s">
        <v>2747</v>
      </c>
      <c r="D47" s="1299" t="s">
        <v>1092</v>
      </c>
      <c r="E47" s="1299"/>
      <c r="F47" s="1299"/>
      <c r="I47" s="491"/>
    </row>
    <row r="48" spans="1:9" ht="14.25">
      <c r="A48" s="485"/>
      <c r="B48" s="485"/>
      <c r="D48" s="1299"/>
      <c r="E48" s="1299"/>
      <c r="F48" s="1299"/>
      <c r="I48" s="491"/>
    </row>
    <row r="49" spans="1:9" ht="14.25">
      <c r="A49" s="485"/>
      <c r="B49" s="485"/>
      <c r="D49" s="1299"/>
      <c r="E49" s="1299"/>
      <c r="F49" s="1299"/>
      <c r="I49" s="491"/>
    </row>
    <row r="50" spans="1:9" ht="23.25" customHeight="1">
      <c r="A50" s="485"/>
      <c r="B50" s="485"/>
      <c r="D50" s="1299"/>
      <c r="E50" s="1299"/>
      <c r="F50" s="1299"/>
      <c r="I50" s="491"/>
    </row>
    <row r="51" spans="1:9" ht="14.25">
      <c r="A51" s="485"/>
      <c r="B51" s="485"/>
      <c r="D51" s="447"/>
      <c r="I51" s="491"/>
    </row>
    <row r="52" spans="1:9" ht="14.45" customHeight="1">
      <c r="A52" s="485"/>
      <c r="B52" s="486" t="s">
        <v>2747</v>
      </c>
      <c r="D52" s="1299" t="s">
        <v>1093</v>
      </c>
      <c r="E52" s="1299"/>
      <c r="F52" s="1299"/>
      <c r="I52" s="491"/>
    </row>
    <row r="53" spans="1:9" ht="14.25">
      <c r="A53" s="485"/>
      <c r="B53" s="485"/>
      <c r="D53" s="1299"/>
      <c r="E53" s="1299"/>
      <c r="F53" s="1299"/>
      <c r="I53" s="491"/>
    </row>
    <row r="54" spans="1:9" ht="14.25">
      <c r="A54" s="485"/>
      <c r="B54" s="485"/>
      <c r="D54" s="1299"/>
      <c r="E54" s="1299"/>
      <c r="F54" s="1299"/>
      <c r="I54" s="491"/>
    </row>
    <row r="55" spans="1:9" ht="14.25">
      <c r="A55" s="485"/>
      <c r="B55" s="485"/>
      <c r="I55" s="491"/>
    </row>
    <row r="56" spans="1:9" ht="14.25">
      <c r="A56" s="485"/>
      <c r="B56" s="486" t="s">
        <v>2743</v>
      </c>
      <c r="D56" s="1322" t="s">
        <v>1094</v>
      </c>
      <c r="E56" s="1322"/>
      <c r="F56" s="1322"/>
      <c r="I56" s="491"/>
    </row>
    <row r="57" spans="1:9" ht="14.25">
      <c r="A57" s="485"/>
      <c r="B57" s="485"/>
      <c r="D57" s="1322"/>
      <c r="E57" s="1322"/>
      <c r="F57" s="1322"/>
      <c r="I57" s="491"/>
    </row>
    <row r="58" spans="1:9" ht="14.25">
      <c r="A58" s="485"/>
      <c r="B58" s="485"/>
      <c r="D58" s="393" t="s">
        <v>1920</v>
      </c>
      <c r="E58" s="446"/>
      <c r="F58" s="446"/>
      <c r="I58" s="491"/>
    </row>
    <row r="59" spans="1:9" ht="14.25">
      <c r="A59" s="485"/>
      <c r="B59" s="485"/>
      <c r="D59" s="446"/>
      <c r="E59" s="313" t="s">
        <v>1919</v>
      </c>
      <c r="F59" s="446"/>
      <c r="I59" s="491"/>
    </row>
    <row r="60" spans="1:9">
      <c r="D60" s="448"/>
      <c r="I60" s="491"/>
    </row>
    <row r="61" spans="1:9" ht="14.25">
      <c r="A61" s="485"/>
      <c r="B61" s="486" t="s">
        <v>2743</v>
      </c>
      <c r="D61" s="1299" t="s">
        <v>1095</v>
      </c>
      <c r="E61" s="1299"/>
      <c r="F61" s="1299"/>
      <c r="I61" s="491"/>
    </row>
    <row r="62" spans="1:9">
      <c r="D62" s="1299"/>
      <c r="E62" s="1299"/>
      <c r="F62" s="1299"/>
      <c r="I62" s="491"/>
    </row>
    <row r="63" spans="1:9">
      <c r="D63" s="1299"/>
      <c r="E63" s="1299"/>
      <c r="F63" s="1299"/>
      <c r="I63" s="491"/>
    </row>
    <row r="64" spans="1:9">
      <c r="I64" s="491"/>
    </row>
    <row r="65" spans="1:9" ht="14.25">
      <c r="A65" s="485"/>
      <c r="B65" s="486" t="s">
        <v>2747</v>
      </c>
      <c r="D65" s="1299" t="s">
        <v>1096</v>
      </c>
      <c r="E65" s="1299"/>
      <c r="F65" s="1299"/>
      <c r="I65" s="491"/>
    </row>
    <row r="66" spans="1:9">
      <c r="D66" s="1299"/>
      <c r="E66" s="1299"/>
      <c r="F66" s="1299"/>
      <c r="I66" s="491"/>
    </row>
    <row r="67" spans="1:9">
      <c r="I67" s="491"/>
    </row>
    <row r="68" spans="1:9" ht="14.25">
      <c r="A68" s="485"/>
      <c r="B68" s="486" t="s">
        <v>2747</v>
      </c>
      <c r="D68" s="1299" t="s">
        <v>1097</v>
      </c>
      <c r="E68" s="1299"/>
      <c r="F68" s="1299"/>
      <c r="I68" s="491"/>
    </row>
    <row r="69" spans="1:9">
      <c r="D69" s="1299"/>
      <c r="E69" s="1299"/>
      <c r="F69" s="1299"/>
      <c r="I69" s="491"/>
    </row>
    <row r="70" spans="1:9">
      <c r="D70" s="1299"/>
      <c r="E70" s="1299"/>
      <c r="F70" s="1299"/>
      <c r="I70" s="491"/>
    </row>
    <row r="71" spans="1:9">
      <c r="I71" s="491"/>
    </row>
    <row r="72" spans="1:9" ht="14.25">
      <c r="A72" s="485"/>
      <c r="B72" s="486" t="s">
        <v>2747</v>
      </c>
      <c r="D72" s="1299" t="s">
        <v>1098</v>
      </c>
      <c r="E72" s="1299"/>
      <c r="F72" s="1299"/>
      <c r="I72" s="491"/>
    </row>
    <row r="73" spans="1:9">
      <c r="D73" s="1299"/>
      <c r="E73" s="1299"/>
      <c r="F73" s="1299"/>
      <c r="I73" s="491"/>
    </row>
    <row r="74" spans="1:9" ht="14.25">
      <c r="A74" s="485"/>
      <c r="B74" s="485"/>
      <c r="D74" s="447"/>
      <c r="I74" s="491"/>
    </row>
    <row r="75" spans="1:9">
      <c r="A75" s="1306" t="s">
        <v>1043</v>
      </c>
      <c r="B75" s="1306"/>
      <c r="C75" s="1306"/>
      <c r="D75" s="1306"/>
      <c r="E75" s="1306"/>
      <c r="F75" s="1306"/>
      <c r="G75" s="1306"/>
      <c r="H75" s="1029"/>
      <c r="I75" s="1155"/>
    </row>
    <row r="76" spans="1:9">
      <c r="I76" s="491"/>
    </row>
    <row r="77" spans="1:9">
      <c r="C77" s="487"/>
      <c r="D77" s="1315" t="s">
        <v>1101</v>
      </c>
      <c r="E77" s="1315"/>
      <c r="F77" s="1315"/>
      <c r="I77" s="491"/>
    </row>
    <row r="78" spans="1:9">
      <c r="A78" s="447"/>
      <c r="B78" s="447"/>
      <c r="D78" s="1299" t="s">
        <v>1116</v>
      </c>
      <c r="E78" s="1299"/>
      <c r="F78" s="1299"/>
      <c r="I78" s="491"/>
    </row>
    <row r="79" spans="1:9">
      <c r="A79" s="447"/>
      <c r="B79" s="447"/>
      <c r="I79" s="491"/>
    </row>
    <row r="80" spans="1:9" ht="13.7" customHeight="1">
      <c r="A80" s="485"/>
      <c r="B80" s="486" t="s">
        <v>2743</v>
      </c>
      <c r="D80" s="1299" t="s">
        <v>1244</v>
      </c>
      <c r="E80" s="1299"/>
      <c r="F80" s="1299"/>
      <c r="I80" s="491"/>
    </row>
    <row r="81" spans="1:9" ht="14.25">
      <c r="A81" s="485"/>
      <c r="B81" s="485"/>
      <c r="D81" s="1299"/>
      <c r="E81" s="1299"/>
      <c r="F81" s="1299"/>
      <c r="I81" s="491"/>
    </row>
    <row r="82" spans="1:9" ht="14.25">
      <c r="A82" s="485"/>
      <c r="B82" s="485"/>
      <c r="D82" s="1299"/>
      <c r="E82" s="1299"/>
      <c r="F82" s="1299"/>
      <c r="I82" s="491"/>
    </row>
    <row r="83" spans="1:9" ht="14.25">
      <c r="A83" s="485"/>
      <c r="B83" s="485"/>
      <c r="D83" s="1299"/>
      <c r="E83" s="1299"/>
      <c r="F83" s="1299"/>
      <c r="I83" s="491"/>
    </row>
    <row r="84" spans="1:9" ht="14.25">
      <c r="A84" s="485"/>
      <c r="B84" s="485"/>
      <c r="D84" s="1299"/>
      <c r="E84" s="1299"/>
      <c r="F84" s="1299"/>
      <c r="I84" s="491"/>
    </row>
    <row r="85" spans="1:9" ht="14.25">
      <c r="A85" s="485"/>
      <c r="B85" s="485"/>
      <c r="D85" s="1299"/>
      <c r="E85" s="1299"/>
      <c r="F85" s="1299"/>
      <c r="I85" s="491"/>
    </row>
    <row r="86" spans="1:9" ht="14.25">
      <c r="A86" s="485"/>
      <c r="B86" s="485"/>
      <c r="D86" s="1299"/>
      <c r="E86" s="1299"/>
      <c r="F86" s="1299"/>
      <c r="I86" s="491"/>
    </row>
    <row r="87" spans="1:9" ht="14.25">
      <c r="A87" s="485"/>
      <c r="B87" s="485"/>
      <c r="D87" s="1299"/>
      <c r="E87" s="1299"/>
      <c r="F87" s="1299"/>
      <c r="I87" s="491"/>
    </row>
    <row r="88" spans="1:9" ht="14.25">
      <c r="A88" s="485"/>
      <c r="B88" s="485"/>
      <c r="D88" s="386"/>
      <c r="E88" s="386"/>
      <c r="F88" s="386"/>
      <c r="I88" s="491"/>
    </row>
    <row r="89" spans="1:9" ht="15" customHeight="1">
      <c r="A89" s="485"/>
      <c r="B89" s="486" t="s">
        <v>2743</v>
      </c>
      <c r="D89" s="1299" t="s">
        <v>1741</v>
      </c>
      <c r="E89" s="1299"/>
      <c r="F89" s="1299"/>
      <c r="I89" s="491"/>
    </row>
    <row r="90" spans="1:9" ht="14.25">
      <c r="A90" s="485"/>
      <c r="B90" s="485"/>
      <c r="D90" s="1299"/>
      <c r="E90" s="1299"/>
      <c r="F90" s="1299"/>
      <c r="I90" s="491"/>
    </row>
    <row r="91" spans="1:9" ht="14.25">
      <c r="A91" s="485"/>
      <c r="B91" s="485"/>
      <c r="D91" s="446"/>
      <c r="E91" s="446"/>
      <c r="F91" s="446"/>
      <c r="I91" s="491"/>
    </row>
    <row r="92" spans="1:9" ht="14.25">
      <c r="A92" s="485"/>
      <c r="B92" s="486" t="s">
        <v>2743</v>
      </c>
      <c r="D92" s="1299" t="s">
        <v>1744</v>
      </c>
      <c r="E92" s="1299"/>
      <c r="F92" s="1299"/>
      <c r="I92" s="491"/>
    </row>
    <row r="93" spans="1:9" ht="14.25">
      <c r="A93" s="485"/>
      <c r="B93" s="485"/>
      <c r="D93" s="1299"/>
      <c r="E93" s="1299"/>
      <c r="F93" s="1299"/>
      <c r="I93" s="491"/>
    </row>
    <row r="94" spans="1:9" ht="14.25">
      <c r="A94" s="485"/>
      <c r="B94" s="485"/>
      <c r="D94" s="1299"/>
      <c r="E94" s="1299"/>
      <c r="F94" s="1299"/>
      <c r="I94" s="491"/>
    </row>
    <row r="95" spans="1:9" ht="14.25">
      <c r="A95" s="485"/>
      <c r="B95" s="485"/>
      <c r="D95" s="446"/>
      <c r="E95" s="446"/>
      <c r="F95" s="446"/>
      <c r="I95" s="491"/>
    </row>
    <row r="96" spans="1:9" ht="14.25">
      <c r="A96" s="485"/>
      <c r="B96" s="486" t="s">
        <v>2743</v>
      </c>
      <c r="D96" s="1299" t="s">
        <v>1743</v>
      </c>
      <c r="E96" s="1299"/>
      <c r="F96" s="1299"/>
      <c r="I96" s="491"/>
    </row>
    <row r="97" spans="1:9" s="988" customFormat="1" ht="14.25">
      <c r="A97" s="986"/>
      <c r="B97" s="986"/>
      <c r="C97" s="987"/>
      <c r="D97" s="1299"/>
      <c r="E97" s="1299"/>
      <c r="F97" s="1299"/>
      <c r="I97" s="1156"/>
    </row>
    <row r="98" spans="1:9" ht="14.25">
      <c r="A98" s="485"/>
      <c r="B98" s="485"/>
      <c r="D98" s="393"/>
      <c r="E98" s="313" t="s">
        <v>1923</v>
      </c>
      <c r="F98" s="446"/>
      <c r="I98" s="491"/>
    </row>
    <row r="99" spans="1:9" ht="14.25">
      <c r="A99" s="485"/>
      <c r="B99" s="485"/>
      <c r="D99" s="386"/>
      <c r="E99" s="386"/>
      <c r="F99" s="386"/>
      <c r="I99" s="491"/>
    </row>
    <row r="100" spans="1:9" ht="14.25">
      <c r="A100" s="485"/>
      <c r="B100" s="486" t="s">
        <v>2747</v>
      </c>
      <c r="D100" s="1299" t="s">
        <v>1742</v>
      </c>
      <c r="E100" s="1299"/>
      <c r="F100" s="1299"/>
      <c r="I100" s="491"/>
    </row>
    <row r="101" spans="1:9" ht="14.25">
      <c r="A101" s="485"/>
      <c r="B101" s="485"/>
      <c r="D101" s="1299"/>
      <c r="E101" s="1299"/>
      <c r="F101" s="1299"/>
      <c r="I101" s="491"/>
    </row>
    <row r="102" spans="1:9" ht="14.25">
      <c r="A102" s="485"/>
      <c r="B102" s="485"/>
      <c r="D102" s="446"/>
      <c r="E102" s="446"/>
      <c r="F102" s="446"/>
      <c r="I102" s="491"/>
    </row>
    <row r="103" spans="1:9" ht="14.45" customHeight="1">
      <c r="A103" s="485"/>
      <c r="B103" s="486" t="s">
        <v>2747</v>
      </c>
      <c r="D103" s="1299" t="s">
        <v>1193</v>
      </c>
      <c r="E103" s="1299"/>
      <c r="F103" s="1299"/>
      <c r="I103" s="491"/>
    </row>
    <row r="104" spans="1:9" ht="14.25">
      <c r="A104" s="485"/>
      <c r="B104" s="485"/>
      <c r="D104" s="1299"/>
      <c r="E104" s="1299"/>
      <c r="F104" s="1299"/>
      <c r="I104" s="491"/>
    </row>
    <row r="105" spans="1:9" ht="14.25">
      <c r="A105" s="485"/>
      <c r="B105" s="485"/>
      <c r="D105" s="1299"/>
      <c r="E105" s="1299"/>
      <c r="F105" s="1299"/>
      <c r="I105" s="491"/>
    </row>
    <row r="106" spans="1:9" ht="14.25">
      <c r="A106" s="485"/>
      <c r="B106" s="485"/>
      <c r="D106" s="1299"/>
      <c r="E106" s="1299"/>
      <c r="F106" s="1299"/>
      <c r="I106" s="491"/>
    </row>
    <row r="107" spans="1:9" ht="14.25">
      <c r="A107" s="485"/>
      <c r="B107" s="485"/>
      <c r="D107" s="1299"/>
      <c r="E107" s="1299"/>
      <c r="F107" s="1299"/>
      <c r="I107" s="491"/>
    </row>
    <row r="108" spans="1:9" ht="14.25">
      <c r="A108" s="485"/>
      <c r="B108" s="485"/>
      <c r="D108" s="1299"/>
      <c r="E108" s="1299"/>
      <c r="F108" s="1299"/>
      <c r="I108" s="491"/>
    </row>
    <row r="109" spans="1:9" ht="14.25">
      <c r="A109" s="485"/>
      <c r="B109" s="485"/>
      <c r="D109" s="1299"/>
      <c r="E109" s="1299"/>
      <c r="F109" s="1299"/>
      <c r="I109" s="491"/>
    </row>
    <row r="110" spans="1:9" ht="14.25">
      <c r="A110" s="485"/>
      <c r="B110" s="485"/>
      <c r="D110" s="1299"/>
      <c r="E110" s="1299"/>
      <c r="F110" s="1299"/>
      <c r="I110" s="491"/>
    </row>
    <row r="111" spans="1:9" ht="14.25">
      <c r="A111" s="485"/>
      <c r="B111" s="485"/>
      <c r="D111" s="1299"/>
      <c r="E111" s="1299"/>
      <c r="F111" s="1299"/>
      <c r="I111" s="491"/>
    </row>
    <row r="112" spans="1:9" ht="14.25">
      <c r="A112" s="485"/>
      <c r="B112" s="485"/>
      <c r="D112" s="1299"/>
      <c r="E112" s="1299"/>
      <c r="F112" s="1299"/>
      <c r="I112" s="491"/>
    </row>
    <row r="113" spans="1:9" ht="14.25">
      <c r="A113" s="485"/>
      <c r="B113" s="485"/>
      <c r="D113" s="1299"/>
      <c r="E113" s="1299"/>
      <c r="F113" s="1299"/>
      <c r="I113" s="491"/>
    </row>
    <row r="114" spans="1:9" ht="14.25">
      <c r="A114" s="485"/>
      <c r="B114" s="485"/>
      <c r="D114" s="1299"/>
      <c r="E114" s="1299"/>
      <c r="F114" s="1299"/>
      <c r="I114" s="491"/>
    </row>
    <row r="115" spans="1:9" ht="14.25">
      <c r="A115" s="485"/>
      <c r="B115" s="485"/>
      <c r="D115" s="1299"/>
      <c r="E115" s="1299"/>
      <c r="F115" s="1299"/>
      <c r="I115" s="491"/>
    </row>
    <row r="116" spans="1:9" ht="14.25">
      <c r="A116" s="485"/>
      <c r="B116" s="485"/>
      <c r="D116" s="1299"/>
      <c r="E116" s="1299"/>
      <c r="F116" s="1299"/>
      <c r="I116" s="491"/>
    </row>
    <row r="117" spans="1:9" ht="14.25">
      <c r="A117" s="485"/>
      <c r="B117" s="485"/>
      <c r="D117" s="1299"/>
      <c r="E117" s="1299"/>
      <c r="F117" s="1299"/>
      <c r="I117" s="491"/>
    </row>
    <row r="118" spans="1:9" ht="14.25">
      <c r="A118" s="485"/>
      <c r="B118" s="485"/>
      <c r="D118" s="525"/>
      <c r="E118" s="525"/>
      <c r="F118" s="525"/>
      <c r="I118" s="491"/>
    </row>
    <row r="119" spans="1:9" ht="14.25" customHeight="1">
      <c r="A119" s="485"/>
      <c r="B119" s="486" t="s">
        <v>2747</v>
      </c>
      <c r="D119" s="1321" t="s">
        <v>1102</v>
      </c>
      <c r="E119" s="1321"/>
      <c r="F119" s="1321"/>
      <c r="I119" s="491"/>
    </row>
    <row r="120" spans="1:9" ht="14.25">
      <c r="A120" s="485"/>
      <c r="B120" s="485"/>
      <c r="D120" s="1321"/>
      <c r="E120" s="1321"/>
      <c r="F120" s="1321"/>
      <c r="I120" s="491"/>
    </row>
    <row r="121" spans="1:9" ht="14.25">
      <c r="A121" s="485"/>
      <c r="B121" s="485"/>
      <c r="D121" s="1321"/>
      <c r="E121" s="1321"/>
      <c r="F121" s="1321"/>
      <c r="I121" s="491"/>
    </row>
    <row r="122" spans="1:9" ht="14.25">
      <c r="A122" s="485"/>
      <c r="B122" s="485"/>
      <c r="D122" s="1321"/>
      <c r="E122" s="1321"/>
      <c r="F122" s="1321"/>
      <c r="I122" s="491"/>
    </row>
    <row r="123" spans="1:9" ht="14.25">
      <c r="A123" s="485"/>
      <c r="B123" s="485"/>
      <c r="D123" s="1321"/>
      <c r="E123" s="1321"/>
      <c r="F123" s="1321"/>
      <c r="I123" s="491"/>
    </row>
    <row r="124" spans="1:9" ht="14.25">
      <c r="A124" s="485"/>
      <c r="B124" s="485"/>
      <c r="D124" s="1321"/>
      <c r="E124" s="1321"/>
      <c r="F124" s="1321"/>
      <c r="I124" s="491"/>
    </row>
    <row r="125" spans="1:9" ht="14.25">
      <c r="A125" s="485"/>
      <c r="B125" s="485"/>
      <c r="D125" s="1321"/>
      <c r="E125" s="1321"/>
      <c r="F125" s="1321"/>
      <c r="I125" s="491"/>
    </row>
    <row r="126" spans="1:9" ht="14.25">
      <c r="A126" s="485"/>
      <c r="B126" s="485"/>
      <c r="D126" s="1321"/>
      <c r="E126" s="1321"/>
      <c r="F126" s="1321"/>
      <c r="I126" s="491"/>
    </row>
    <row r="127" spans="1:9">
      <c r="C127" s="403"/>
      <c r="D127" s="526"/>
      <c r="E127" s="526"/>
      <c r="F127" s="526"/>
      <c r="I127" s="491"/>
    </row>
    <row r="128" spans="1:9" ht="14.25">
      <c r="A128" s="485"/>
      <c r="B128" s="486" t="s">
        <v>2743</v>
      </c>
      <c r="C128" s="403"/>
      <c r="D128" s="1321" t="s">
        <v>2050</v>
      </c>
      <c r="E128" s="1321"/>
      <c r="F128" s="1321"/>
      <c r="I128" s="491"/>
    </row>
    <row r="129" spans="1:9" ht="14.25">
      <c r="A129" s="485"/>
      <c r="B129" s="485"/>
      <c r="C129" s="403"/>
      <c r="D129" s="1321"/>
      <c r="E129" s="1321"/>
      <c r="F129" s="1321"/>
      <c r="I129" s="491"/>
    </row>
    <row r="130" spans="1:9">
      <c r="I130" s="491"/>
    </row>
    <row r="131" spans="1:9" ht="14.25">
      <c r="A131" s="485"/>
      <c r="B131" s="486" t="s">
        <v>2743</v>
      </c>
      <c r="D131" s="1299" t="s">
        <v>1103</v>
      </c>
      <c r="E131" s="1299"/>
      <c r="F131" s="1299"/>
      <c r="I131" s="491"/>
    </row>
    <row r="132" spans="1:9">
      <c r="D132" s="1299"/>
      <c r="E132" s="1299"/>
      <c r="F132" s="1299"/>
      <c r="I132" s="491"/>
    </row>
    <row r="133" spans="1:9">
      <c r="D133" s="1299"/>
      <c r="E133" s="1299"/>
      <c r="F133" s="1299"/>
      <c r="I133" s="491"/>
    </row>
    <row r="134" spans="1:9">
      <c r="D134" s="1299"/>
      <c r="E134" s="1299"/>
      <c r="F134" s="1299"/>
      <c r="I134" s="491"/>
    </row>
    <row r="135" spans="1:9">
      <c r="D135" s="1299"/>
      <c r="E135" s="1299"/>
      <c r="F135" s="1299"/>
      <c r="I135" s="491"/>
    </row>
    <row r="136" spans="1:9">
      <c r="I136" s="491"/>
    </row>
    <row r="137" spans="1:9" ht="14.25">
      <c r="A137" s="485"/>
      <c r="B137" s="486" t="s">
        <v>2747</v>
      </c>
      <c r="D137" s="1299" t="s">
        <v>1104</v>
      </c>
      <c r="E137" s="1299"/>
      <c r="F137" s="1299"/>
      <c r="I137" s="491"/>
    </row>
    <row r="138" spans="1:9" s="418" customFormat="1" ht="13.7" customHeight="1">
      <c r="A138" s="489"/>
      <c r="B138" s="489"/>
      <c r="C138" s="489"/>
      <c r="D138" s="1299"/>
      <c r="E138" s="1299"/>
      <c r="F138" s="1299"/>
      <c r="I138" s="1157"/>
    </row>
    <row r="139" spans="1:9" ht="13.7" customHeight="1">
      <c r="D139" s="1299"/>
      <c r="E139" s="1299"/>
      <c r="F139" s="1299"/>
      <c r="I139" s="491"/>
    </row>
    <row r="140" spans="1:9" ht="13.7" customHeight="1">
      <c r="D140" s="1299"/>
      <c r="E140" s="1299"/>
      <c r="F140" s="1299"/>
      <c r="I140" s="491"/>
    </row>
    <row r="141" spans="1:9" ht="13.7" customHeight="1">
      <c r="D141" s="1299"/>
      <c r="E141" s="1299"/>
      <c r="F141" s="1299"/>
      <c r="I141" s="491"/>
    </row>
    <row r="142" spans="1:9" ht="13.7" customHeight="1">
      <c r="A142" s="490"/>
      <c r="B142" s="490"/>
      <c r="D142" s="1299"/>
      <c r="E142" s="1299"/>
      <c r="F142" s="1299"/>
      <c r="I142" s="491"/>
    </row>
    <row r="143" spans="1:9" ht="13.7" customHeight="1">
      <c r="D143" s="1299"/>
      <c r="E143" s="1299"/>
      <c r="F143" s="1299"/>
      <c r="I143" s="491"/>
    </row>
    <row r="144" spans="1:9" ht="13.7" customHeight="1">
      <c r="D144" s="1299"/>
      <c r="E144" s="1299"/>
      <c r="F144" s="1299"/>
      <c r="I144" s="491"/>
    </row>
    <row r="145" spans="2:9" ht="13.7" customHeight="1">
      <c r="D145" s="1299"/>
      <c r="E145" s="1299"/>
      <c r="F145" s="1299"/>
      <c r="I145" s="491"/>
    </row>
    <row r="146" spans="2:9" ht="13.7" customHeight="1">
      <c r="D146" s="1299"/>
      <c r="E146" s="1299"/>
      <c r="F146" s="1299"/>
      <c r="I146" s="491"/>
    </row>
    <row r="147" spans="2:9" ht="13.7" customHeight="1">
      <c r="D147" s="1299"/>
      <c r="E147" s="1299"/>
      <c r="F147" s="1299"/>
      <c r="I147" s="491"/>
    </row>
    <row r="148" spans="2:9" ht="13.7" customHeight="1">
      <c r="D148" s="1299"/>
      <c r="E148" s="1299"/>
      <c r="F148" s="1299"/>
      <c r="I148" s="491"/>
    </row>
    <row r="149" spans="2:9" ht="13.7" customHeight="1">
      <c r="D149" s="1299"/>
      <c r="E149" s="1299"/>
      <c r="F149" s="1299"/>
      <c r="I149" s="491"/>
    </row>
    <row r="150" spans="2:9" ht="13.7" customHeight="1">
      <c r="D150" s="477"/>
      <c r="E150" s="447"/>
      <c r="F150" s="447"/>
      <c r="I150" s="491"/>
    </row>
    <row r="151" spans="2:9" ht="13.7" customHeight="1">
      <c r="B151" s="486" t="s">
        <v>2747</v>
      </c>
      <c r="D151" s="1299" t="s">
        <v>1176</v>
      </c>
      <c r="E151" s="1299"/>
      <c r="F151" s="1299"/>
      <c r="I151" s="491"/>
    </row>
    <row r="152" spans="2:9" ht="13.7" customHeight="1">
      <c r="D152" s="1299"/>
      <c r="E152" s="1299"/>
      <c r="F152" s="1299"/>
      <c r="I152" s="491"/>
    </row>
    <row r="153" spans="2:9" ht="13.7" customHeight="1">
      <c r="D153" s="1299"/>
      <c r="E153" s="1299"/>
      <c r="F153" s="1299"/>
      <c r="I153" s="491"/>
    </row>
    <row r="154" spans="2:9" ht="13.7" customHeight="1">
      <c r="D154" s="1299"/>
      <c r="E154" s="1299"/>
      <c r="F154" s="1299"/>
      <c r="I154" s="491"/>
    </row>
    <row r="155" spans="2:9" ht="13.7" customHeight="1">
      <c r="D155" s="1299"/>
      <c r="E155" s="1299"/>
      <c r="F155" s="1299"/>
      <c r="I155" s="491"/>
    </row>
    <row r="156" spans="2:9" ht="13.7" customHeight="1">
      <c r="D156" s="1299"/>
      <c r="E156" s="1299"/>
      <c r="F156" s="1299"/>
      <c r="I156" s="491"/>
    </row>
    <row r="157" spans="2:9" ht="13.7" customHeight="1">
      <c r="D157" s="1299"/>
      <c r="E157" s="1299"/>
      <c r="F157" s="1299"/>
      <c r="I157" s="491"/>
    </row>
    <row r="158" spans="2:9" ht="13.7" customHeight="1">
      <c r="D158" s="1299"/>
      <c r="E158" s="1299"/>
      <c r="F158" s="1299"/>
      <c r="I158" s="491"/>
    </row>
    <row r="159" spans="2:9" ht="13.7" customHeight="1">
      <c r="D159" s="1299"/>
      <c r="E159" s="1299"/>
      <c r="F159" s="1299"/>
      <c r="I159" s="491"/>
    </row>
    <row r="160" spans="2:9" ht="13.7" customHeight="1">
      <c r="D160" s="1299"/>
      <c r="E160" s="1299"/>
      <c r="F160" s="1299"/>
      <c r="I160" s="491"/>
    </row>
    <row r="161" spans="1:9" ht="13.7" customHeight="1">
      <c r="D161" s="1299"/>
      <c r="E161" s="1299"/>
      <c r="F161" s="1299"/>
      <c r="I161" s="491"/>
    </row>
    <row r="162" spans="1:9" ht="13.7" customHeight="1">
      <c r="D162" s="1299"/>
      <c r="E162" s="1299"/>
      <c r="F162" s="1299"/>
      <c r="I162" s="491"/>
    </row>
    <row r="163" spans="1:9" ht="13.7" customHeight="1">
      <c r="D163" s="1299"/>
      <c r="E163" s="1299"/>
      <c r="F163" s="1299"/>
      <c r="I163" s="491"/>
    </row>
    <row r="164" spans="1:9" ht="13.7" customHeight="1">
      <c r="D164" s="1299"/>
      <c r="E164" s="1299"/>
      <c r="F164" s="1299"/>
      <c r="I164" s="491"/>
    </row>
    <row r="165" spans="1:9" ht="13.7" customHeight="1">
      <c r="D165" s="1299"/>
      <c r="E165" s="1299"/>
      <c r="F165" s="1299"/>
      <c r="I165" s="491"/>
    </row>
    <row r="166" spans="1:9" ht="13.7" customHeight="1">
      <c r="D166" s="1299"/>
      <c r="E166" s="1299"/>
      <c r="F166" s="1299"/>
      <c r="I166" s="491"/>
    </row>
    <row r="167" spans="1:9" ht="13.7" customHeight="1">
      <c r="D167" s="1299"/>
      <c r="E167" s="1299"/>
      <c r="F167" s="1299"/>
      <c r="I167" s="491"/>
    </row>
    <row r="168" spans="1:9" ht="13.7" customHeight="1">
      <c r="D168" s="1299"/>
      <c r="E168" s="1299"/>
      <c r="F168" s="1299"/>
      <c r="I168" s="491"/>
    </row>
    <row r="169" spans="1:9" ht="13.7" customHeight="1">
      <c r="D169" s="1318" t="s">
        <v>2073</v>
      </c>
      <c r="E169" s="1318"/>
      <c r="F169" s="1318"/>
      <c r="G169" s="508"/>
      <c r="I169" s="491"/>
    </row>
    <row r="170" spans="1:9" ht="13.7" customHeight="1">
      <c r="D170" s="1316"/>
      <c r="E170" s="1316"/>
      <c r="F170" s="1316"/>
      <c r="G170" s="1316"/>
      <c r="I170" s="491"/>
    </row>
    <row r="171" spans="1:9" ht="14.45" customHeight="1">
      <c r="A171" s="490"/>
      <c r="B171" s="486" t="s">
        <v>2746</v>
      </c>
      <c r="C171" s="477"/>
      <c r="D171" s="1270" t="s">
        <v>2213</v>
      </c>
      <c r="E171" s="1270"/>
      <c r="F171" s="1270"/>
      <c r="G171" s="477"/>
      <c r="I171" s="491"/>
    </row>
    <row r="172" spans="1:9" ht="14.45" customHeight="1">
      <c r="A172" s="490"/>
      <c r="B172" s="490"/>
      <c r="C172" s="477"/>
      <c r="D172" s="1270"/>
      <c r="E172" s="1270"/>
      <c r="F172" s="1270"/>
      <c r="G172" s="477"/>
      <c r="I172" s="491"/>
    </row>
    <row r="173" spans="1:9" ht="14.45" customHeight="1">
      <c r="A173" s="490"/>
      <c r="B173" s="490"/>
      <c r="C173" s="477"/>
      <c r="D173" s="1270"/>
      <c r="E173" s="1270"/>
      <c r="F173" s="1270"/>
      <c r="G173" s="477"/>
      <c r="I173" s="491"/>
    </row>
    <row r="174" spans="1:9" ht="14.45" customHeight="1">
      <c r="A174" s="490"/>
      <c r="B174" s="490"/>
      <c r="C174" s="477"/>
      <c r="D174" s="1270"/>
      <c r="E174" s="1270"/>
      <c r="F174" s="1270"/>
      <c r="G174" s="477"/>
      <c r="I174" s="491"/>
    </row>
    <row r="175" spans="1:9" ht="13.7" customHeight="1">
      <c r="A175" s="490"/>
      <c r="B175" s="490"/>
      <c r="C175" s="477"/>
      <c r="D175" s="1270"/>
      <c r="E175" s="1270"/>
      <c r="F175" s="1270"/>
      <c r="G175" s="477"/>
      <c r="I175" s="491"/>
    </row>
    <row r="176" spans="1:9" ht="13.7" customHeight="1">
      <c r="A176" s="490"/>
      <c r="B176" s="490"/>
      <c r="C176" s="477"/>
      <c r="D176" s="477"/>
      <c r="E176" s="477"/>
      <c r="F176" s="477"/>
      <c r="G176" s="477"/>
      <c r="I176" s="491"/>
    </row>
    <row r="177" spans="1:9" ht="13.7" customHeight="1">
      <c r="A177" s="490"/>
      <c r="B177" s="486" t="s">
        <v>2747</v>
      </c>
      <c r="C177" s="477"/>
      <c r="D177" s="1270" t="s">
        <v>1105</v>
      </c>
      <c r="E177" s="1270"/>
      <c r="F177" s="1270"/>
      <c r="G177" s="477"/>
      <c r="I177" s="491"/>
    </row>
    <row r="178" spans="1:9" ht="13.7" customHeight="1">
      <c r="A178" s="490"/>
      <c r="B178" s="490"/>
      <c r="C178" s="477"/>
      <c r="D178" s="1270"/>
      <c r="E178" s="1270"/>
      <c r="F178" s="1270"/>
      <c r="G178" s="477"/>
      <c r="I178" s="491"/>
    </row>
    <row r="179" spans="1:9" ht="13.7" customHeight="1">
      <c r="A179" s="490"/>
      <c r="B179" s="490"/>
      <c r="C179" s="477"/>
      <c r="D179" s="1270"/>
      <c r="E179" s="1270"/>
      <c r="F179" s="1270"/>
      <c r="G179" s="477"/>
      <c r="I179" s="491"/>
    </row>
    <row r="180" spans="1:9" ht="13.7" customHeight="1">
      <c r="A180" s="490"/>
      <c r="B180" s="490"/>
      <c r="C180" s="477"/>
      <c r="D180" s="1270"/>
      <c r="E180" s="1270"/>
      <c r="F180" s="1270"/>
      <c r="G180" s="477"/>
      <c r="I180" s="491"/>
    </row>
    <row r="181" spans="1:9" ht="13.7" customHeight="1">
      <c r="D181" s="447"/>
      <c r="E181" s="447"/>
      <c r="F181" s="447"/>
      <c r="I181" s="491"/>
    </row>
    <row r="182" spans="1:9" ht="13.7" customHeight="1">
      <c r="B182" s="486" t="s">
        <v>2747</v>
      </c>
      <c r="D182" s="1311" t="s">
        <v>2051</v>
      </c>
      <c r="E182" s="1311"/>
      <c r="F182" s="1311"/>
      <c r="I182" s="491"/>
    </row>
    <row r="183" spans="1:9" ht="13.7" customHeight="1">
      <c r="D183" s="1311"/>
      <c r="E183" s="1311"/>
      <c r="F183" s="1311"/>
      <c r="I183" s="491"/>
    </row>
    <row r="184" spans="1:9" ht="13.7" customHeight="1">
      <c r="D184" s="1311"/>
      <c r="E184" s="1311"/>
      <c r="F184" s="1311"/>
      <c r="I184" s="491"/>
    </row>
    <row r="185" spans="1:9" ht="13.7" customHeight="1">
      <c r="A185" s="491"/>
      <c r="B185" s="491"/>
      <c r="E185" s="447"/>
      <c r="F185" s="447"/>
      <c r="I185" s="491"/>
    </row>
    <row r="186" spans="1:9">
      <c r="A186" s="1306" t="s">
        <v>2052</v>
      </c>
      <c r="B186" s="1306"/>
      <c r="C186" s="1306"/>
      <c r="D186" s="1306"/>
      <c r="E186" s="1306"/>
      <c r="F186" s="1306"/>
      <c r="G186" s="1306"/>
      <c r="H186" s="1029"/>
      <c r="I186" s="1155"/>
    </row>
    <row r="187" spans="1:9" ht="12" customHeight="1">
      <c r="D187" s="447"/>
      <c r="E187" s="447"/>
      <c r="F187" s="447"/>
      <c r="I187" s="491"/>
    </row>
    <row r="188" spans="1:9">
      <c r="B188" s="1301" t="s">
        <v>446</v>
      </c>
      <c r="C188" s="1301"/>
      <c r="D188" s="1301"/>
      <c r="E188" s="1301"/>
      <c r="F188" s="1301"/>
      <c r="I188" s="491"/>
    </row>
    <row r="189" spans="1:9">
      <c r="B189" s="393" t="s">
        <v>1874</v>
      </c>
      <c r="C189" s="393"/>
      <c r="D189" s="393"/>
      <c r="E189" s="393"/>
      <c r="F189" s="393"/>
      <c r="I189" s="491"/>
    </row>
    <row r="190" spans="1:9" ht="12" customHeight="1">
      <c r="A190" s="483"/>
      <c r="B190" s="483"/>
      <c r="C190" s="483"/>
      <c r="I190" s="491"/>
    </row>
    <row r="191" spans="1:9">
      <c r="A191" s="1306" t="s">
        <v>1044</v>
      </c>
      <c r="B191" s="1306"/>
      <c r="C191" s="1306"/>
      <c r="D191" s="1306"/>
      <c r="E191" s="1306"/>
      <c r="F191" s="1306"/>
      <c r="G191" s="1306"/>
      <c r="H191" s="1029"/>
      <c r="I191" s="1155"/>
    </row>
    <row r="192" spans="1:9" ht="12" customHeight="1">
      <c r="A192" s="405"/>
      <c r="B192" s="405"/>
      <c r="E192" s="405"/>
      <c r="I192" s="491"/>
    </row>
    <row r="193" spans="1:9" ht="13.7" customHeight="1">
      <c r="A193" s="405"/>
      <c r="B193" s="405"/>
      <c r="D193" s="1315" t="s">
        <v>1745</v>
      </c>
      <c r="E193" s="1315"/>
      <c r="F193" s="1315"/>
      <c r="I193" s="491"/>
    </row>
    <row r="194" spans="1:9">
      <c r="A194" s="405"/>
      <c r="B194" s="405"/>
      <c r="D194" s="1315"/>
      <c r="E194" s="1315"/>
      <c r="F194" s="1315"/>
      <c r="I194" s="491"/>
    </row>
    <row r="195" spans="1:9">
      <c r="A195" s="405"/>
      <c r="B195" s="405"/>
      <c r="D195" s="1301" t="s">
        <v>1194</v>
      </c>
      <c r="E195" s="1301"/>
      <c r="F195" s="1301"/>
      <c r="I195" s="491"/>
    </row>
    <row r="196" spans="1:9">
      <c r="A196" s="405"/>
      <c r="B196" s="405"/>
      <c r="D196" s="393"/>
      <c r="E196" s="393"/>
      <c r="F196" s="393"/>
      <c r="I196" s="491"/>
    </row>
    <row r="197" spans="1:9">
      <c r="A197" s="405"/>
      <c r="B197" s="486" t="s">
        <v>2747</v>
      </c>
      <c r="D197" s="1286" t="s">
        <v>1746</v>
      </c>
      <c r="E197" s="1286"/>
      <c r="F197" s="1286"/>
      <c r="I197" s="491"/>
    </row>
    <row r="198" spans="1:9">
      <c r="A198" s="405"/>
      <c r="B198" s="405"/>
      <c r="D198" s="1285" t="s">
        <v>1901</v>
      </c>
      <c r="E198" s="1285"/>
      <c r="F198" s="1285"/>
      <c r="I198" s="491"/>
    </row>
    <row r="199" spans="1:9">
      <c r="A199" s="405"/>
      <c r="B199" s="405"/>
      <c r="D199" s="96" t="s">
        <v>1747</v>
      </c>
      <c r="E199" s="1323" t="s">
        <v>1924</v>
      </c>
      <c r="F199" s="1323"/>
      <c r="I199" s="491"/>
    </row>
    <row r="200" spans="1:9">
      <c r="A200" s="405"/>
      <c r="B200" s="405"/>
      <c r="D200" s="3"/>
      <c r="E200" s="3"/>
      <c r="F200" s="3"/>
      <c r="I200" s="491"/>
    </row>
    <row r="201" spans="1:9">
      <c r="A201" s="405"/>
      <c r="B201" s="486" t="s">
        <v>2747</v>
      </c>
      <c r="D201" s="1285" t="s">
        <v>1748</v>
      </c>
      <c r="E201" s="1285"/>
      <c r="F201" s="1285"/>
      <c r="I201" s="491"/>
    </row>
    <row r="202" spans="1:9">
      <c r="A202" s="405"/>
      <c r="B202" s="405"/>
      <c r="D202" s="1286" t="s">
        <v>1901</v>
      </c>
      <c r="E202" s="1286"/>
      <c r="F202" s="1286"/>
      <c r="I202" s="491"/>
    </row>
    <row r="203" spans="1:9">
      <c r="A203" s="405"/>
      <c r="B203" s="405"/>
      <c r="D203" s="57" t="s">
        <v>1749</v>
      </c>
      <c r="E203" s="1323" t="s">
        <v>1925</v>
      </c>
      <c r="F203" s="1323"/>
      <c r="I203" s="491"/>
    </row>
    <row r="204" spans="1:9">
      <c r="A204" s="405"/>
      <c r="B204" s="405"/>
      <c r="D204" s="3"/>
      <c r="E204" s="3"/>
      <c r="F204" s="3"/>
      <c r="I204" s="491"/>
    </row>
    <row r="205" spans="1:9">
      <c r="A205" s="405"/>
      <c r="B205" s="486" t="s">
        <v>2747</v>
      </c>
      <c r="D205" s="1285" t="s">
        <v>1750</v>
      </c>
      <c r="E205" s="1285"/>
      <c r="F205" s="1285"/>
      <c r="I205" s="491"/>
    </row>
    <row r="206" spans="1:9">
      <c r="A206" s="405"/>
      <c r="B206" s="405"/>
      <c r="D206" s="1286" t="s">
        <v>1901</v>
      </c>
      <c r="E206" s="1286"/>
      <c r="F206" s="1286"/>
      <c r="I206" s="491"/>
    </row>
    <row r="207" spans="1:9">
      <c r="A207" s="405"/>
      <c r="B207" s="405"/>
      <c r="D207" s="57" t="s">
        <v>1747</v>
      </c>
      <c r="E207" s="1323" t="s">
        <v>1926</v>
      </c>
      <c r="F207" s="1323"/>
      <c r="I207" s="491"/>
    </row>
    <row r="208" spans="1:9">
      <c r="A208" s="405"/>
      <c r="B208" s="405"/>
      <c r="D208" s="393"/>
      <c r="E208" s="393"/>
      <c r="F208" s="393"/>
      <c r="I208" s="491"/>
    </row>
    <row r="209" spans="1:9" ht="14.25" customHeight="1">
      <c r="A209" s="485"/>
      <c r="B209" s="486" t="s">
        <v>2747</v>
      </c>
      <c r="D209" s="387" t="s">
        <v>1894</v>
      </c>
      <c r="E209" s="386"/>
      <c r="F209" s="386"/>
      <c r="I209" s="491"/>
    </row>
    <row r="210" spans="1:9" ht="14.25">
      <c r="A210" s="485"/>
      <c r="B210" s="485"/>
      <c r="D210" s="1286" t="s">
        <v>1901</v>
      </c>
      <c r="E210" s="1286"/>
      <c r="F210" s="1286"/>
      <c r="I210" s="491"/>
    </row>
    <row r="211" spans="1:9">
      <c r="D211" s="386"/>
      <c r="E211" s="1323" t="s">
        <v>1927</v>
      </c>
      <c r="F211" s="1323"/>
      <c r="I211" s="491"/>
    </row>
    <row r="212" spans="1:9">
      <c r="D212" s="448"/>
      <c r="I212" s="491"/>
    </row>
    <row r="213" spans="1:9">
      <c r="B213" s="486" t="s">
        <v>2747</v>
      </c>
      <c r="D213" s="1285" t="s">
        <v>1751</v>
      </c>
      <c r="E213" s="1285"/>
      <c r="F213" s="1285"/>
      <c r="I213" s="491"/>
    </row>
    <row r="214" spans="1:9">
      <c r="D214" s="1286" t="s">
        <v>1901</v>
      </c>
      <c r="E214" s="1286"/>
      <c r="F214" s="1286"/>
      <c r="I214" s="491"/>
    </row>
    <row r="215" spans="1:9">
      <c r="D215" s="57" t="s">
        <v>1747</v>
      </c>
      <c r="E215" s="1323" t="s">
        <v>1928</v>
      </c>
      <c r="F215" s="1323"/>
      <c r="I215" s="491"/>
    </row>
    <row r="216" spans="1:9">
      <c r="D216" s="452"/>
      <c r="E216" s="452"/>
      <c r="F216" s="452"/>
      <c r="I216" s="491"/>
    </row>
    <row r="217" spans="1:9" ht="14.25">
      <c r="A217" s="485"/>
      <c r="B217" s="486" t="s">
        <v>2747</v>
      </c>
      <c r="D217" s="1299" t="s">
        <v>1215</v>
      </c>
      <c r="E217" s="1299"/>
      <c r="F217" s="1299"/>
      <c r="I217" s="491"/>
    </row>
    <row r="218" spans="1:9" ht="14.45" customHeight="1">
      <c r="A218" s="485"/>
      <c r="B218" s="403"/>
      <c r="D218" s="1299"/>
      <c r="E218" s="1299"/>
      <c r="F218" s="1299"/>
      <c r="I218" s="491"/>
    </row>
    <row r="219" spans="1:9" ht="14.25">
      <c r="A219" s="485"/>
      <c r="D219" s="1299"/>
      <c r="E219" s="1299"/>
      <c r="F219" s="1299"/>
      <c r="I219" s="491"/>
    </row>
    <row r="220" spans="1:9" ht="14.25">
      <c r="A220" s="485"/>
      <c r="D220" s="1299"/>
      <c r="E220" s="1299"/>
      <c r="F220" s="1299"/>
      <c r="I220" s="491"/>
    </row>
    <row r="221" spans="1:9">
      <c r="D221" s="452"/>
      <c r="E221" s="452"/>
      <c r="F221" s="452"/>
      <c r="I221" s="491"/>
    </row>
    <row r="222" spans="1:9">
      <c r="A222" s="1306" t="s">
        <v>1045</v>
      </c>
      <c r="B222" s="1306"/>
      <c r="C222" s="1306"/>
      <c r="D222" s="1306"/>
      <c r="E222" s="1306"/>
      <c r="F222" s="1306"/>
      <c r="G222" s="1306"/>
      <c r="H222" s="1029"/>
      <c r="I222" s="1155"/>
    </row>
    <row r="223" spans="1:9" ht="12" customHeight="1">
      <c r="D223" s="447"/>
      <c r="E223" s="447"/>
      <c r="F223" s="447"/>
      <c r="I223" s="491"/>
    </row>
    <row r="224" spans="1:9">
      <c r="C224" s="487"/>
      <c r="D224" s="1307" t="s">
        <v>207</v>
      </c>
      <c r="E224" s="1307"/>
      <c r="F224" s="1307"/>
      <c r="I224" s="491"/>
    </row>
    <row r="225" spans="1:9">
      <c r="A225" s="483"/>
      <c r="B225" s="483"/>
      <c r="C225" s="483"/>
      <c r="D225" s="1297" t="s">
        <v>1119</v>
      </c>
      <c r="E225" s="1297"/>
      <c r="F225" s="1297"/>
      <c r="I225" s="491"/>
    </row>
    <row r="226" spans="1:9" ht="12" customHeight="1">
      <c r="A226" s="491"/>
      <c r="B226" s="491"/>
      <c r="C226" s="491"/>
      <c r="I226" s="491"/>
    </row>
    <row r="227" spans="1:9" ht="13.7" customHeight="1">
      <c r="A227" s="491"/>
      <c r="C227" s="491"/>
      <c r="D227" s="1307" t="s">
        <v>546</v>
      </c>
      <c r="E227" s="1307"/>
      <c r="F227" s="1307"/>
      <c r="I227" s="491"/>
    </row>
    <row r="228" spans="1:9" ht="14.25">
      <c r="A228" s="485"/>
      <c r="B228" s="486" t="s">
        <v>2743</v>
      </c>
      <c r="D228" s="1299" t="s">
        <v>1752</v>
      </c>
      <c r="E228" s="1299"/>
      <c r="F228" s="1299"/>
      <c r="I228" s="491"/>
    </row>
    <row r="229" spans="1:9" ht="14.25" customHeight="1">
      <c r="A229" s="485"/>
      <c r="B229" s="485"/>
      <c r="D229" s="1299"/>
      <c r="E229" s="1299"/>
      <c r="F229" s="1299"/>
      <c r="I229" s="491"/>
    </row>
    <row r="230" spans="1:9" ht="14.25" customHeight="1">
      <c r="A230" s="485"/>
      <c r="B230" s="485"/>
      <c r="D230" s="1299"/>
      <c r="E230" s="1299"/>
      <c r="F230" s="1299"/>
      <c r="I230" s="491"/>
    </row>
    <row r="231" spans="1:9" ht="14.25">
      <c r="A231" s="485"/>
      <c r="B231" s="485"/>
      <c r="D231" s="1299"/>
      <c r="E231" s="1299"/>
      <c r="F231" s="1299"/>
      <c r="I231" s="491"/>
    </row>
    <row r="232" spans="1:9" ht="14.25">
      <c r="A232" s="485"/>
      <c r="B232" s="485"/>
      <c r="D232" s="446"/>
      <c r="E232" s="446"/>
      <c r="F232" s="446"/>
      <c r="I232" s="491"/>
    </row>
    <row r="233" spans="1:9" ht="14.25">
      <c r="A233" s="485"/>
      <c r="B233" s="486" t="s">
        <v>2743</v>
      </c>
      <c r="D233" s="1299" t="s">
        <v>1753</v>
      </c>
      <c r="E233" s="1299"/>
      <c r="F233" s="1299"/>
      <c r="I233" s="491"/>
    </row>
    <row r="234" spans="1:9" ht="14.25">
      <c r="A234" s="485"/>
      <c r="B234" s="485"/>
      <c r="D234" s="1299"/>
      <c r="E234" s="1299"/>
      <c r="F234" s="1299"/>
      <c r="I234" s="491"/>
    </row>
    <row r="235" spans="1:9" ht="14.25">
      <c r="A235" s="485"/>
      <c r="B235" s="485"/>
      <c r="D235" s="1299"/>
      <c r="E235" s="1299"/>
      <c r="F235" s="1299"/>
      <c r="I235" s="491"/>
    </row>
    <row r="236" spans="1:9" ht="14.25">
      <c r="A236" s="485"/>
      <c r="B236" s="485"/>
      <c r="D236" s="1299"/>
      <c r="E236" s="1299"/>
      <c r="F236" s="1299"/>
      <c r="I236" s="491"/>
    </row>
    <row r="237" spans="1:9" ht="14.25" customHeight="1">
      <c r="A237" s="485"/>
      <c r="B237" s="485"/>
      <c r="D237" s="1299"/>
      <c r="E237" s="1299"/>
      <c r="F237" s="1299"/>
      <c r="I237" s="491"/>
    </row>
    <row r="238" spans="1:9" ht="14.25" customHeight="1">
      <c r="A238" s="485"/>
      <c r="B238" s="485"/>
      <c r="D238" s="446"/>
      <c r="E238" s="446"/>
      <c r="F238" s="446"/>
      <c r="I238" s="491"/>
    </row>
    <row r="239" spans="1:9" ht="14.25">
      <c r="A239" s="485"/>
      <c r="B239" s="485"/>
      <c r="D239" s="1299" t="s">
        <v>1117</v>
      </c>
      <c r="E239" s="1299"/>
      <c r="F239" s="1299"/>
      <c r="I239" s="491"/>
    </row>
    <row r="240" spans="1:9" ht="14.25">
      <c r="A240" s="485"/>
      <c r="B240" s="485"/>
      <c r="D240" s="1299"/>
      <c r="E240" s="1299"/>
      <c r="F240" s="1299"/>
      <c r="I240" s="491"/>
    </row>
    <row r="241" spans="1:9" ht="14.25">
      <c r="A241" s="485"/>
      <c r="B241" s="485"/>
      <c r="D241" s="1299"/>
      <c r="E241" s="1299"/>
      <c r="F241" s="1299"/>
      <c r="I241" s="491"/>
    </row>
    <row r="242" spans="1:9" ht="14.25">
      <c r="A242" s="485"/>
      <c r="B242" s="485"/>
      <c r="D242" s="1299"/>
      <c r="E242" s="1299"/>
      <c r="F242" s="1299"/>
      <c r="I242" s="491"/>
    </row>
    <row r="243" spans="1:9" ht="14.25">
      <c r="A243" s="485"/>
      <c r="B243" s="485"/>
      <c r="D243" s="1299"/>
      <c r="E243" s="1299"/>
      <c r="F243" s="1299"/>
      <c r="I243" s="491"/>
    </row>
    <row r="244" spans="1:9" ht="14.25">
      <c r="A244" s="485"/>
      <c r="B244" s="485"/>
      <c r="D244" s="447"/>
      <c r="E244" s="447"/>
      <c r="F244" s="447"/>
      <c r="I244" s="491"/>
    </row>
    <row r="245" spans="1:9" ht="14.25">
      <c r="A245" s="485"/>
      <c r="B245" s="486" t="s">
        <v>2743</v>
      </c>
      <c r="D245" s="1299" t="s">
        <v>2053</v>
      </c>
      <c r="E245" s="1299"/>
      <c r="F245" s="1299"/>
      <c r="I245" s="491"/>
    </row>
    <row r="246" spans="1:9" ht="14.25">
      <c r="A246" s="485"/>
      <c r="B246" s="485"/>
      <c r="D246" s="1299"/>
      <c r="E246" s="1299"/>
      <c r="F246" s="1299"/>
      <c r="I246" s="491"/>
    </row>
    <row r="247" spans="1:9" ht="14.25">
      <c r="A247" s="485"/>
      <c r="B247" s="485"/>
      <c r="D247" s="1299"/>
      <c r="E247" s="1299"/>
      <c r="F247" s="1299"/>
      <c r="I247" s="491"/>
    </row>
    <row r="248" spans="1:9" ht="14.25">
      <c r="A248" s="485"/>
      <c r="B248" s="485"/>
      <c r="E248" s="1037" t="s">
        <v>1895</v>
      </c>
      <c r="I248" s="491"/>
    </row>
    <row r="249" spans="1:9" ht="14.25">
      <c r="A249" s="485"/>
      <c r="B249" s="485"/>
      <c r="D249" s="447"/>
      <c r="E249" s="447"/>
      <c r="F249" s="447"/>
      <c r="I249" s="491"/>
    </row>
    <row r="250" spans="1:9" ht="14.45" customHeight="1">
      <c r="A250" s="485"/>
      <c r="B250" s="486" t="s">
        <v>2747</v>
      </c>
      <c r="D250" s="1299" t="s">
        <v>2054</v>
      </c>
      <c r="E250" s="1299"/>
      <c r="F250" s="1299"/>
      <c r="I250" s="491"/>
    </row>
    <row r="251" spans="1:9" ht="14.25">
      <c r="A251" s="485"/>
      <c r="B251" s="485"/>
      <c r="D251" s="1299"/>
      <c r="E251" s="1299"/>
      <c r="F251" s="1299"/>
      <c r="I251" s="491"/>
    </row>
    <row r="252" spans="1:9" ht="14.25">
      <c r="A252" s="485"/>
      <c r="B252" s="485"/>
      <c r="D252" s="1299"/>
      <c r="E252" s="1299"/>
      <c r="F252" s="1299"/>
      <c r="I252" s="491"/>
    </row>
    <row r="253" spans="1:9" ht="14.25">
      <c r="A253" s="485"/>
      <c r="B253" s="485"/>
      <c r="D253" s="1299"/>
      <c r="E253" s="1299"/>
      <c r="F253" s="1299"/>
      <c r="I253" s="491"/>
    </row>
    <row r="254" spans="1:9" ht="14.25">
      <c r="A254" s="485"/>
      <c r="B254" s="485"/>
      <c r="D254" s="1299"/>
      <c r="E254" s="1299"/>
      <c r="F254" s="1299"/>
      <c r="I254" s="491"/>
    </row>
    <row r="255" spans="1:9" ht="14.25">
      <c r="A255" s="485"/>
      <c r="B255" s="485"/>
      <c r="D255" s="446"/>
      <c r="E255" s="446"/>
      <c r="F255" s="446"/>
      <c r="I255" s="491"/>
    </row>
    <row r="256" spans="1:9" ht="14.25">
      <c r="A256" s="485"/>
      <c r="B256" s="486" t="s">
        <v>2743</v>
      </c>
      <c r="D256" s="393" t="s">
        <v>2055</v>
      </c>
      <c r="E256" s="446"/>
      <c r="F256" s="446"/>
      <c r="I256" s="491"/>
    </row>
    <row r="257" spans="1:9" ht="14.25">
      <c r="A257" s="485"/>
      <c r="B257" s="485"/>
      <c r="E257" s="1037" t="s">
        <v>1896</v>
      </c>
      <c r="I257" s="491"/>
    </row>
    <row r="258" spans="1:9">
      <c r="D258" s="447"/>
      <c r="E258" s="447"/>
      <c r="F258" s="447"/>
      <c r="I258" s="491"/>
    </row>
    <row r="259" spans="1:9" ht="14.25">
      <c r="A259" s="485"/>
      <c r="B259" s="486" t="s">
        <v>2743</v>
      </c>
      <c r="D259" s="1299" t="s">
        <v>1118</v>
      </c>
      <c r="E259" s="1299"/>
      <c r="F259" s="1299"/>
      <c r="I259" s="491"/>
    </row>
    <row r="260" spans="1:9" ht="14.25">
      <c r="A260" s="485"/>
      <c r="B260" s="485"/>
      <c r="D260" s="1299"/>
      <c r="E260" s="1299"/>
      <c r="F260" s="1299"/>
      <c r="I260" s="491"/>
    </row>
    <row r="261" spans="1:9">
      <c r="D261" s="492"/>
      <c r="I261" s="491"/>
    </row>
    <row r="262" spans="1:9">
      <c r="A262" s="1306" t="s">
        <v>1046</v>
      </c>
      <c r="B262" s="1306"/>
      <c r="C262" s="1306"/>
      <c r="D262" s="1306"/>
      <c r="E262" s="1306"/>
      <c r="F262" s="1306"/>
      <c r="G262" s="1306"/>
      <c r="H262" s="1029"/>
      <c r="I262" s="1155"/>
    </row>
    <row r="263" spans="1:9">
      <c r="D263" s="492"/>
      <c r="I263" s="491"/>
    </row>
    <row r="264" spans="1:9">
      <c r="C264" s="487"/>
      <c r="D264" s="1307" t="s">
        <v>1120</v>
      </c>
      <c r="E264" s="1307"/>
      <c r="F264" s="1307"/>
      <c r="I264" s="491"/>
    </row>
    <row r="265" spans="1:9">
      <c r="A265" s="483"/>
      <c r="B265" s="483"/>
      <c r="C265" s="483"/>
      <c r="D265" s="447"/>
      <c r="E265" s="447"/>
      <c r="F265" s="447"/>
      <c r="I265" s="491"/>
    </row>
    <row r="266" spans="1:9">
      <c r="A266" s="484"/>
      <c r="B266" s="484"/>
      <c r="C266" s="484"/>
      <c r="D266" s="1307" t="s">
        <v>268</v>
      </c>
      <c r="E266" s="1307"/>
      <c r="F266" s="1307"/>
      <c r="I266" s="491"/>
    </row>
    <row r="267" spans="1:9" ht="14.45" customHeight="1">
      <c r="A267" s="485"/>
      <c r="B267" s="486" t="s">
        <v>2743</v>
      </c>
      <c r="D267" s="1299" t="s">
        <v>1195</v>
      </c>
      <c r="E267" s="1299"/>
      <c r="F267" s="1299"/>
      <c r="I267" s="491"/>
    </row>
    <row r="268" spans="1:9">
      <c r="D268" s="1299"/>
      <c r="E268" s="1299"/>
      <c r="F268" s="1299"/>
      <c r="I268" s="491"/>
    </row>
    <row r="269" spans="1:9">
      <c r="E269" s="1037" t="s">
        <v>1897</v>
      </c>
      <c r="I269" s="491"/>
    </row>
    <row r="270" spans="1:9">
      <c r="D270" s="447"/>
      <c r="E270" s="447"/>
      <c r="F270" s="447"/>
      <c r="I270" s="491"/>
    </row>
    <row r="271" spans="1:9" ht="14.45" customHeight="1">
      <c r="A271" s="485"/>
      <c r="B271" s="486" t="s">
        <v>2747</v>
      </c>
      <c r="D271" s="1299" t="s">
        <v>2056</v>
      </c>
      <c r="E271" s="1299"/>
      <c r="F271" s="1299"/>
      <c r="I271" s="491"/>
    </row>
    <row r="272" spans="1:9">
      <c r="D272" s="1299"/>
      <c r="E272" s="1299"/>
      <c r="F272" s="1299"/>
      <c r="I272" s="491"/>
    </row>
    <row r="273" spans="1:9">
      <c r="D273" s="1299"/>
      <c r="E273" s="1299"/>
      <c r="F273" s="1299"/>
      <c r="I273" s="491"/>
    </row>
    <row r="274" spans="1:9">
      <c r="D274" s="1299"/>
      <c r="E274" s="1299"/>
      <c r="F274" s="1299"/>
      <c r="I274" s="491"/>
    </row>
    <row r="275" spans="1:9">
      <c r="D275" s="1299"/>
      <c r="E275" s="1299"/>
      <c r="F275" s="1299"/>
      <c r="I275" s="491"/>
    </row>
    <row r="276" spans="1:9">
      <c r="D276" s="1299"/>
      <c r="E276" s="1299"/>
      <c r="F276" s="1299"/>
      <c r="I276" s="491"/>
    </row>
    <row r="277" spans="1:9">
      <c r="D277" s="447"/>
      <c r="E277" s="447"/>
      <c r="F277" s="447"/>
      <c r="I277" s="491"/>
    </row>
    <row r="278" spans="1:9" ht="14.25">
      <c r="A278" s="485"/>
      <c r="B278" s="486" t="s">
        <v>2747</v>
      </c>
      <c r="D278" s="1299" t="s">
        <v>1121</v>
      </c>
      <c r="E278" s="1299"/>
      <c r="F278" s="1299"/>
      <c r="I278" s="491"/>
    </row>
    <row r="279" spans="1:9">
      <c r="D279" s="1299"/>
      <c r="E279" s="1299"/>
      <c r="F279" s="1299"/>
      <c r="I279" s="491"/>
    </row>
    <row r="280" spans="1:9">
      <c r="D280" s="1299"/>
      <c r="E280" s="1299"/>
      <c r="F280" s="1299"/>
      <c r="I280" s="491"/>
    </row>
    <row r="281" spans="1:9">
      <c r="D281" s="493"/>
      <c r="E281" s="447"/>
      <c r="F281" s="447"/>
      <c r="I281" s="491"/>
    </row>
    <row r="282" spans="1:9">
      <c r="A282" s="1306" t="s">
        <v>1047</v>
      </c>
      <c r="B282" s="1306"/>
      <c r="C282" s="1306"/>
      <c r="D282" s="1306"/>
      <c r="E282" s="1306"/>
      <c r="F282" s="1306"/>
      <c r="G282" s="1306"/>
      <c r="H282" s="1029"/>
      <c r="I282" s="1155"/>
    </row>
    <row r="283" spans="1:9">
      <c r="D283" s="493"/>
      <c r="E283" s="447"/>
      <c r="F283" s="447"/>
      <c r="I283" s="491"/>
    </row>
    <row r="284" spans="1:9">
      <c r="C284" s="483"/>
      <c r="D284" s="1315" t="s">
        <v>1122</v>
      </c>
      <c r="E284" s="1315"/>
      <c r="F284" s="1315"/>
      <c r="I284" s="491"/>
    </row>
    <row r="285" spans="1:9">
      <c r="C285" s="483"/>
      <c r="D285" s="1315"/>
      <c r="E285" s="1315"/>
      <c r="F285" s="1315"/>
      <c r="I285" s="491"/>
    </row>
    <row r="286" spans="1:9">
      <c r="A286" s="484"/>
      <c r="B286" s="484"/>
      <c r="C286" s="484"/>
      <c r="D286" s="405"/>
      <c r="I286" s="491"/>
    </row>
    <row r="287" spans="1:9">
      <c r="C287" s="484"/>
      <c r="D287" s="1307" t="s">
        <v>208</v>
      </c>
      <c r="E287" s="1307"/>
      <c r="F287" s="1307"/>
      <c r="I287" s="491"/>
    </row>
    <row r="288" spans="1:9" ht="15.75" customHeight="1">
      <c r="A288" s="485"/>
      <c r="B288" s="485"/>
      <c r="D288" s="1324" t="s">
        <v>1123</v>
      </c>
      <c r="E288" s="1324"/>
      <c r="F288" s="1324"/>
      <c r="I288" s="491"/>
    </row>
    <row r="289" spans="1:9">
      <c r="E289" s="447"/>
      <c r="F289" s="447"/>
      <c r="I289" s="491"/>
    </row>
    <row r="290" spans="1:9" ht="14.25">
      <c r="A290" s="485"/>
      <c r="B290" s="486" t="s">
        <v>2747</v>
      </c>
      <c r="D290" s="1299" t="s">
        <v>1124</v>
      </c>
      <c r="E290" s="1299"/>
      <c r="F290" s="1299"/>
      <c r="I290" s="491"/>
    </row>
    <row r="291" spans="1:9" ht="14.25">
      <c r="A291" s="485"/>
      <c r="B291" s="485"/>
      <c r="D291" s="1299"/>
      <c r="E291" s="1299"/>
      <c r="F291" s="1299"/>
      <c r="I291" s="491"/>
    </row>
    <row r="292" spans="1:9">
      <c r="D292" s="447"/>
      <c r="E292" s="447"/>
      <c r="F292" s="447"/>
      <c r="I292" s="491"/>
    </row>
    <row r="293" spans="1:9" ht="14.25">
      <c r="A293" s="485"/>
      <c r="B293" s="486" t="s">
        <v>2747</v>
      </c>
      <c r="D293" s="1299" t="s">
        <v>1125</v>
      </c>
      <c r="E293" s="1299"/>
      <c r="F293" s="1299"/>
      <c r="I293" s="491"/>
    </row>
    <row r="294" spans="1:9" ht="14.25">
      <c r="A294" s="485"/>
      <c r="B294" s="485"/>
      <c r="D294" s="1299"/>
      <c r="E294" s="1299"/>
      <c r="F294" s="1299"/>
      <c r="I294" s="491"/>
    </row>
    <row r="295" spans="1:9" ht="14.25">
      <c r="A295" s="485"/>
      <c r="B295" s="485"/>
      <c r="D295" s="1299"/>
      <c r="E295" s="1299"/>
      <c r="F295" s="1299"/>
      <c r="I295" s="491"/>
    </row>
    <row r="296" spans="1:9">
      <c r="D296" s="447"/>
      <c r="E296" s="447"/>
      <c r="F296" s="447"/>
      <c r="I296" s="491"/>
    </row>
    <row r="297" spans="1:9" ht="14.25">
      <c r="A297" s="485"/>
      <c r="B297" s="486" t="s">
        <v>2747</v>
      </c>
      <c r="D297" s="1299" t="s">
        <v>1126</v>
      </c>
      <c r="E297" s="1299"/>
      <c r="F297" s="1299"/>
      <c r="I297" s="491"/>
    </row>
    <row r="298" spans="1:9" ht="14.25">
      <c r="A298" s="485"/>
      <c r="B298" s="485"/>
      <c r="D298" s="1299"/>
      <c r="E298" s="1299"/>
      <c r="F298" s="1299"/>
      <c r="I298" s="491"/>
    </row>
    <row r="299" spans="1:9">
      <c r="A299" s="491"/>
      <c r="B299" s="491"/>
      <c r="E299" s="447"/>
      <c r="F299" s="447"/>
      <c r="I299" s="491"/>
    </row>
    <row r="300" spans="1:9">
      <c r="A300" s="1306" t="s">
        <v>1048</v>
      </c>
      <c r="B300" s="1306"/>
      <c r="C300" s="1306"/>
      <c r="D300" s="1306"/>
      <c r="E300" s="1306"/>
      <c r="F300" s="1306"/>
      <c r="G300" s="1306"/>
      <c r="H300" s="1029"/>
      <c r="I300" s="1155"/>
    </row>
    <row r="301" spans="1:9">
      <c r="A301" s="491"/>
      <c r="B301" s="491"/>
      <c r="D301" s="447"/>
      <c r="E301" s="447"/>
      <c r="F301" s="447"/>
      <c r="I301" s="491"/>
    </row>
    <row r="302" spans="1:9">
      <c r="C302" s="491"/>
      <c r="D302" s="1307" t="s">
        <v>682</v>
      </c>
      <c r="E302" s="1307"/>
      <c r="F302" s="1307"/>
      <c r="I302" s="491"/>
    </row>
    <row r="303" spans="1:9">
      <c r="C303" s="491"/>
      <c r="D303" s="1297" t="s">
        <v>1127</v>
      </c>
      <c r="E303" s="1297"/>
      <c r="F303" s="1297"/>
      <c r="I303" s="491"/>
    </row>
    <row r="304" spans="1:9">
      <c r="C304" s="491"/>
      <c r="D304" s="494"/>
      <c r="I304" s="491"/>
    </row>
    <row r="305" spans="1:9">
      <c r="B305" s="486" t="s">
        <v>2747</v>
      </c>
      <c r="D305" s="1297" t="s">
        <v>1128</v>
      </c>
      <c r="E305" s="1297"/>
      <c r="F305" s="1297"/>
      <c r="I305" s="491"/>
    </row>
    <row r="306" spans="1:9" ht="14.25">
      <c r="A306" s="485"/>
      <c r="B306" s="485"/>
      <c r="D306" s="495"/>
      <c r="E306" s="496"/>
      <c r="F306" s="496"/>
      <c r="I306" s="491"/>
    </row>
    <row r="307" spans="1:9" ht="13.7" customHeight="1">
      <c r="B307" s="486" t="s">
        <v>2747</v>
      </c>
      <c r="D307" s="1308" t="s">
        <v>1218</v>
      </c>
      <c r="E307" s="1308"/>
      <c r="F307" s="1308"/>
      <c r="I307" s="491"/>
    </row>
    <row r="308" spans="1:9" ht="14.25">
      <c r="A308" s="485"/>
      <c r="B308" s="485"/>
      <c r="D308" s="1308"/>
      <c r="E308" s="1308"/>
      <c r="F308" s="1308"/>
      <c r="I308" s="491"/>
    </row>
    <row r="309" spans="1:9" ht="14.25">
      <c r="A309" s="485"/>
      <c r="B309" s="485"/>
      <c r="D309" s="1308"/>
      <c r="E309" s="1308"/>
      <c r="F309" s="1308"/>
      <c r="I309" s="491"/>
    </row>
    <row r="310" spans="1:9" ht="14.25">
      <c r="A310" s="485"/>
      <c r="B310" s="485"/>
      <c r="D310" s="1308"/>
      <c r="E310" s="1308"/>
      <c r="F310" s="1308"/>
      <c r="I310" s="491"/>
    </row>
    <row r="311" spans="1:9" ht="14.25">
      <c r="A311" s="485"/>
      <c r="B311" s="485"/>
      <c r="D311" s="1308"/>
      <c r="E311" s="1308"/>
      <c r="F311" s="1308"/>
      <c r="I311" s="491"/>
    </row>
    <row r="312" spans="1:9" ht="14.25">
      <c r="A312" s="485"/>
      <c r="B312" s="485"/>
      <c r="D312" s="495"/>
      <c r="E312" s="496"/>
      <c r="F312" s="496"/>
      <c r="I312" s="491"/>
    </row>
    <row r="313" spans="1:9" ht="13.7" customHeight="1">
      <c r="B313" s="486" t="s">
        <v>2747</v>
      </c>
      <c r="D313" s="1308" t="s">
        <v>1129</v>
      </c>
      <c r="E313" s="1308"/>
      <c r="F313" s="1308"/>
      <c r="I313" s="491"/>
    </row>
    <row r="314" spans="1:9">
      <c r="D314" s="1308"/>
      <c r="E314" s="1308"/>
      <c r="F314" s="1308"/>
      <c r="I314" s="491"/>
    </row>
    <row r="315" spans="1:9" ht="14.25">
      <c r="A315" s="485"/>
      <c r="B315" s="485"/>
      <c r="D315" s="495"/>
      <c r="E315" s="496"/>
      <c r="F315" s="496"/>
      <c r="I315" s="491"/>
    </row>
    <row r="316" spans="1:9">
      <c r="B316" s="486" t="s">
        <v>2747</v>
      </c>
      <c r="D316" s="1297" t="s">
        <v>1130</v>
      </c>
      <c r="E316" s="1297"/>
      <c r="F316" s="1297"/>
      <c r="I316" s="491"/>
    </row>
    <row r="317" spans="1:9">
      <c r="E317" s="447"/>
      <c r="F317" s="447"/>
      <c r="I317" s="491"/>
    </row>
    <row r="318" spans="1:9" ht="14.25">
      <c r="A318" s="485"/>
      <c r="B318" s="486" t="s">
        <v>2747</v>
      </c>
      <c r="D318" s="1299" t="s">
        <v>2247</v>
      </c>
      <c r="E318" s="1299"/>
      <c r="F318" s="1299"/>
      <c r="I318" s="491"/>
    </row>
    <row r="319" spans="1:9" ht="14.25">
      <c r="A319" s="485"/>
      <c r="B319" s="485"/>
      <c r="D319" s="1299"/>
      <c r="E319" s="1299"/>
      <c r="F319" s="1299"/>
      <c r="I319" s="491"/>
    </row>
    <row r="320" spans="1:9" ht="14.25">
      <c r="A320" s="485"/>
      <c r="B320" s="485"/>
      <c r="D320" s="1299"/>
      <c r="E320" s="1299"/>
      <c r="F320" s="1299"/>
      <c r="I320" s="491"/>
    </row>
    <row r="321" spans="1:9" ht="14.25">
      <c r="A321" s="485"/>
      <c r="B321" s="485"/>
      <c r="D321" s="1299"/>
      <c r="E321" s="1299"/>
      <c r="F321" s="1299"/>
      <c r="I321" s="491"/>
    </row>
    <row r="322" spans="1:9" ht="14.25">
      <c r="A322" s="485"/>
      <c r="B322" s="485"/>
      <c r="D322" s="1299"/>
      <c r="E322" s="1299"/>
      <c r="F322" s="1299"/>
      <c r="I322" s="491"/>
    </row>
    <row r="323" spans="1:9" ht="14.25">
      <c r="A323" s="485"/>
      <c r="B323" s="485"/>
      <c r="D323" s="1299"/>
      <c r="E323" s="1299"/>
      <c r="F323" s="1299"/>
      <c r="I323" s="491"/>
    </row>
    <row r="324" spans="1:9" ht="14.25">
      <c r="A324" s="485"/>
      <c r="B324" s="485"/>
      <c r="D324" s="1299"/>
      <c r="E324" s="1299"/>
      <c r="F324" s="1299"/>
      <c r="I324" s="491"/>
    </row>
    <row r="325" spans="1:9" ht="14.25">
      <c r="A325" s="485"/>
      <c r="B325" s="485"/>
      <c r="D325" s="1299"/>
      <c r="E325" s="1299"/>
      <c r="F325" s="1299"/>
      <c r="I325" s="491"/>
    </row>
    <row r="326" spans="1:9" ht="14.25">
      <c r="A326" s="485"/>
      <c r="B326" s="485"/>
      <c r="D326" s="1299"/>
      <c r="E326" s="1299"/>
      <c r="F326" s="1299"/>
      <c r="I326" s="491"/>
    </row>
    <row r="327" spans="1:9" ht="14.25">
      <c r="A327" s="485"/>
      <c r="B327" s="485"/>
      <c r="D327" s="1299"/>
      <c r="E327" s="1299"/>
      <c r="F327" s="1299"/>
      <c r="I327" s="491"/>
    </row>
    <row r="328" spans="1:9" ht="14.25">
      <c r="A328" s="485"/>
      <c r="B328" s="485"/>
      <c r="D328" s="1299"/>
      <c r="E328" s="1299"/>
      <c r="F328" s="1299"/>
      <c r="I328" s="491"/>
    </row>
    <row r="329" spans="1:9" ht="14.25">
      <c r="A329" s="485"/>
      <c r="B329" s="485"/>
      <c r="D329" s="1299"/>
      <c r="E329" s="1299"/>
      <c r="F329" s="1299"/>
      <c r="I329" s="491"/>
    </row>
    <row r="330" spans="1:9" ht="14.25">
      <c r="A330" s="485"/>
      <c r="B330" s="485"/>
      <c r="D330" s="1299"/>
      <c r="E330" s="1299"/>
      <c r="F330" s="1299"/>
      <c r="I330" s="491"/>
    </row>
    <row r="331" spans="1:9" ht="14.25">
      <c r="A331" s="485"/>
      <c r="B331" s="485"/>
      <c r="D331" s="1299"/>
      <c r="E331" s="1299"/>
      <c r="F331" s="1299"/>
      <c r="I331" s="491"/>
    </row>
    <row r="332" spans="1:9" ht="14.25">
      <c r="A332" s="485"/>
      <c r="B332" s="485"/>
      <c r="D332" s="1299"/>
      <c r="E332" s="1299"/>
      <c r="F332" s="1299"/>
      <c r="I332" s="491"/>
    </row>
    <row r="333" spans="1:9">
      <c r="D333" s="447"/>
      <c r="E333" s="447"/>
      <c r="F333" s="447"/>
      <c r="I333" s="491"/>
    </row>
    <row r="334" spans="1:9" ht="14.25">
      <c r="A334" s="485"/>
      <c r="B334" s="486" t="s">
        <v>2747</v>
      </c>
      <c r="D334" s="1299" t="s">
        <v>1131</v>
      </c>
      <c r="E334" s="1299"/>
      <c r="F334" s="1299"/>
      <c r="I334" s="491"/>
    </row>
    <row r="335" spans="1:9">
      <c r="D335" s="1299"/>
      <c r="E335" s="1299"/>
      <c r="F335" s="1299"/>
      <c r="I335" s="491"/>
    </row>
    <row r="336" spans="1:9">
      <c r="D336" s="1299"/>
      <c r="E336" s="1299"/>
      <c r="F336" s="1299"/>
      <c r="I336" s="491"/>
    </row>
    <row r="337" spans="1:9">
      <c r="D337" s="1299"/>
      <c r="E337" s="1299"/>
      <c r="F337" s="1299"/>
      <c r="I337" s="491"/>
    </row>
    <row r="338" spans="1:9">
      <c r="D338" s="1299"/>
      <c r="E338" s="1299"/>
      <c r="F338" s="1299"/>
      <c r="I338" s="491"/>
    </row>
    <row r="339" spans="1:9">
      <c r="D339" s="1299"/>
      <c r="E339" s="1299"/>
      <c r="F339" s="1299"/>
      <c r="I339" s="491"/>
    </row>
    <row r="340" spans="1:9">
      <c r="D340" s="1299"/>
      <c r="E340" s="1299"/>
      <c r="F340" s="1299"/>
      <c r="I340" s="491"/>
    </row>
    <row r="341" spans="1:9">
      <c r="D341" s="1299"/>
      <c r="E341" s="1299"/>
      <c r="F341" s="1299"/>
      <c r="I341" s="491"/>
    </row>
    <row r="342" spans="1:9">
      <c r="D342" s="1299"/>
      <c r="E342" s="1299"/>
      <c r="F342" s="1299"/>
      <c r="I342" s="491"/>
    </row>
    <row r="343" spans="1:9">
      <c r="D343" s="447"/>
      <c r="E343" s="447"/>
      <c r="F343" s="447"/>
      <c r="I343" s="491"/>
    </row>
    <row r="344" spans="1:9" ht="14.25" customHeight="1">
      <c r="A344" s="485"/>
      <c r="B344" s="486" t="s">
        <v>2747</v>
      </c>
      <c r="D344" s="1299" t="s">
        <v>1902</v>
      </c>
      <c r="E344" s="1299"/>
      <c r="F344" s="1299"/>
      <c r="I344" s="491"/>
    </row>
    <row r="345" spans="1:9">
      <c r="D345" s="1299"/>
      <c r="E345" s="1299"/>
      <c r="F345" s="1299"/>
      <c r="I345" s="491"/>
    </row>
    <row r="346" spans="1:9">
      <c r="D346" s="1299"/>
      <c r="E346" s="1299"/>
      <c r="F346" s="1299"/>
      <c r="I346" s="491"/>
    </row>
    <row r="347" spans="1:9">
      <c r="D347" s="1299"/>
      <c r="E347" s="1299"/>
      <c r="F347" s="1299"/>
      <c r="I347" s="491"/>
    </row>
    <row r="348" spans="1:9">
      <c r="D348" s="387" t="s">
        <v>1901</v>
      </c>
      <c r="E348" s="386"/>
      <c r="F348" s="386"/>
      <c r="I348" s="491"/>
    </row>
    <row r="349" spans="1:9">
      <c r="D349" s="386"/>
      <c r="E349" s="96" t="s">
        <v>1898</v>
      </c>
      <c r="G349" s="96"/>
      <c r="I349" s="491"/>
    </row>
    <row r="350" spans="1:9">
      <c r="D350" s="446"/>
      <c r="E350" s="446"/>
      <c r="F350" s="446"/>
      <c r="I350" s="491"/>
    </row>
    <row r="351" spans="1:9" ht="13.5" thickBot="1">
      <c r="A351" s="1023"/>
      <c r="B351" s="1023"/>
      <c r="C351" s="1023"/>
      <c r="D351" s="1327" t="s">
        <v>978</v>
      </c>
      <c r="E351" s="1327"/>
      <c r="F351" s="1327"/>
      <c r="G351" s="1028"/>
      <c r="H351" s="1028"/>
      <c r="I351" s="1158"/>
    </row>
    <row r="352" spans="1:9" ht="13.5" thickTop="1">
      <c r="D352" s="1326" t="s">
        <v>2248</v>
      </c>
      <c r="E352" s="1326"/>
      <c r="F352" s="1326"/>
      <c r="I352" s="491"/>
    </row>
    <row r="353" spans="1:9">
      <c r="D353" s="447"/>
      <c r="E353" s="447"/>
      <c r="F353" s="447"/>
      <c r="I353" s="491"/>
    </row>
    <row r="354" spans="1:9">
      <c r="A354" s="477"/>
      <c r="B354" s="477"/>
      <c r="C354" s="477"/>
      <c r="D354" s="448"/>
      <c r="E354" s="448"/>
      <c r="F354" s="447"/>
      <c r="I354" s="491"/>
    </row>
    <row r="355" spans="1:9" ht="14.25">
      <c r="A355" s="485"/>
      <c r="B355" s="486" t="s">
        <v>2747</v>
      </c>
      <c r="C355" s="488"/>
      <c r="D355" s="1297" t="s">
        <v>1900</v>
      </c>
      <c r="E355" s="1297"/>
      <c r="F355" s="1297"/>
      <c r="I355" s="491"/>
    </row>
    <row r="356" spans="1:9" ht="12.75" customHeight="1">
      <c r="D356" s="1038"/>
      <c r="E356" s="96" t="s">
        <v>1899</v>
      </c>
      <c r="F356" s="1038"/>
      <c r="I356" s="491"/>
    </row>
    <row r="357" spans="1:9">
      <c r="D357" s="1299" t="s">
        <v>1238</v>
      </c>
      <c r="E357" s="1299"/>
      <c r="F357" s="1299"/>
      <c r="I357" s="491"/>
    </row>
    <row r="358" spans="1:9">
      <c r="D358" s="1299"/>
      <c r="E358" s="1299"/>
      <c r="F358" s="1299"/>
      <c r="I358" s="491"/>
    </row>
    <row r="359" spans="1:9">
      <c r="D359" s="1299"/>
      <c r="E359" s="1299"/>
      <c r="F359" s="1299"/>
      <c r="I359" s="491"/>
    </row>
    <row r="360" spans="1:9" ht="14.25">
      <c r="A360" s="485"/>
      <c r="B360" s="486" t="s">
        <v>2747</v>
      </c>
      <c r="C360" s="477"/>
      <c r="D360" s="1316" t="s">
        <v>2057</v>
      </c>
      <c r="E360" s="1316"/>
      <c r="F360" s="1316"/>
      <c r="I360" s="481"/>
    </row>
    <row r="361" spans="1:9">
      <c r="A361" s="477"/>
      <c r="B361" s="477"/>
      <c r="C361" s="477"/>
      <c r="D361" s="448"/>
      <c r="E361" s="448"/>
      <c r="F361" s="447"/>
      <c r="I361" s="491"/>
    </row>
    <row r="362" spans="1:9">
      <c r="A362" s="477"/>
      <c r="B362" s="486" t="s">
        <v>2747</v>
      </c>
      <c r="C362" s="477"/>
      <c r="D362" s="1270" t="s">
        <v>2058</v>
      </c>
      <c r="E362" s="1270"/>
      <c r="F362" s="1270"/>
      <c r="I362" s="491"/>
    </row>
    <row r="363" spans="1:9">
      <c r="A363" s="477"/>
      <c r="B363" s="477"/>
      <c r="C363" s="477"/>
      <c r="D363" s="1270"/>
      <c r="E363" s="1270"/>
      <c r="F363" s="1270"/>
      <c r="I363" s="491"/>
    </row>
    <row r="364" spans="1:9">
      <c r="A364" s="477"/>
      <c r="B364" s="477"/>
      <c r="C364" s="477"/>
      <c r="D364" s="1270"/>
      <c r="E364" s="1270"/>
      <c r="F364" s="1270"/>
      <c r="I364" s="491"/>
    </row>
    <row r="365" spans="1:9">
      <c r="A365" s="477"/>
      <c r="B365" s="477"/>
      <c r="C365" s="477"/>
      <c r="D365" s="1270"/>
      <c r="E365" s="1270"/>
      <c r="F365" s="1270"/>
      <c r="I365" s="491"/>
    </row>
    <row r="366" spans="1:9">
      <c r="A366" s="477"/>
      <c r="B366" s="477"/>
      <c r="C366" s="477"/>
      <c r="D366" s="1270"/>
      <c r="E366" s="1270"/>
      <c r="F366" s="1270"/>
      <c r="I366" s="491"/>
    </row>
    <row r="367" spans="1:9">
      <c r="A367" s="477"/>
      <c r="B367" s="477"/>
      <c r="C367" s="477"/>
      <c r="D367" s="1270"/>
      <c r="E367" s="1270"/>
      <c r="F367" s="1270"/>
      <c r="I367" s="491"/>
    </row>
    <row r="368" spans="1:9">
      <c r="A368" s="477"/>
      <c r="B368" s="477"/>
      <c r="C368" s="477"/>
      <c r="D368" s="1270"/>
      <c r="E368" s="1270"/>
      <c r="F368" s="1270"/>
      <c r="I368" s="491"/>
    </row>
    <row r="369" spans="1:9">
      <c r="A369" s="477"/>
      <c r="B369" s="477"/>
      <c r="C369" s="477"/>
      <c r="D369" s="1270"/>
      <c r="E369" s="1270"/>
      <c r="F369" s="1270"/>
      <c r="I369" s="491"/>
    </row>
    <row r="370" spans="1:9">
      <c r="A370" s="477"/>
      <c r="B370" s="477"/>
      <c r="C370" s="477"/>
      <c r="D370" s="1270"/>
      <c r="E370" s="1270"/>
      <c r="F370" s="1270"/>
      <c r="I370" s="491"/>
    </row>
    <row r="371" spans="1:9">
      <c r="A371" s="477"/>
      <c r="B371" s="477"/>
      <c r="C371" s="477"/>
      <c r="D371" s="1270"/>
      <c r="E371" s="1270"/>
      <c r="F371" s="1270"/>
      <c r="I371" s="491"/>
    </row>
    <row r="372" spans="1:9">
      <c r="A372" s="477"/>
      <c r="B372" s="477"/>
      <c r="C372" s="477"/>
      <c r="D372" s="1270"/>
      <c r="E372" s="1270"/>
      <c r="F372" s="1270"/>
      <c r="I372" s="491"/>
    </row>
    <row r="373" spans="1:9">
      <c r="A373" s="477"/>
      <c r="B373" s="477"/>
      <c r="C373" s="477"/>
      <c r="D373" s="1270"/>
      <c r="E373" s="1270"/>
      <c r="F373" s="1270"/>
      <c r="I373" s="491"/>
    </row>
    <row r="374" spans="1:9">
      <c r="A374" s="477"/>
      <c r="B374" s="477"/>
      <c r="C374" s="477"/>
      <c r="D374" s="452"/>
      <c r="E374" s="452"/>
      <c r="F374" s="452"/>
      <c r="I374" s="491"/>
    </row>
    <row r="375" spans="1:9" ht="12.4" customHeight="1">
      <c r="A375" s="477"/>
      <c r="B375" s="486" t="s">
        <v>2747</v>
      </c>
      <c r="C375" s="477"/>
      <c r="D375" s="1278" t="s">
        <v>1220</v>
      </c>
      <c r="E375" s="1278"/>
      <c r="F375" s="1278"/>
      <c r="I375" s="491"/>
    </row>
    <row r="376" spans="1:9">
      <c r="A376" s="477"/>
      <c r="B376" s="477"/>
      <c r="C376" s="477"/>
      <c r="D376" s="1278"/>
      <c r="E376" s="1278"/>
      <c r="F376" s="1278"/>
      <c r="I376" s="491"/>
    </row>
    <row r="377" spans="1:9">
      <c r="A377" s="477"/>
      <c r="B377" s="477"/>
      <c r="C377" s="477"/>
      <c r="D377" s="1278"/>
      <c r="E377" s="1278"/>
      <c r="F377" s="1278"/>
      <c r="I377" s="491"/>
    </row>
    <row r="378" spans="1:9">
      <c r="A378" s="477"/>
      <c r="B378" s="477"/>
      <c r="C378" s="477"/>
      <c r="D378" s="1278"/>
      <c r="E378" s="1278"/>
      <c r="F378" s="1278"/>
      <c r="I378" s="491"/>
    </row>
    <row r="379" spans="1:9">
      <c r="A379" s="477"/>
      <c r="B379" s="477"/>
      <c r="C379" s="477"/>
      <c r="D379" s="525"/>
      <c r="E379" s="525"/>
      <c r="F379" s="525"/>
      <c r="I379" s="491"/>
    </row>
    <row r="380" spans="1:9">
      <c r="A380" s="477"/>
      <c r="B380" s="486" t="s">
        <v>2747</v>
      </c>
      <c r="C380" s="477"/>
      <c r="D380" s="403" t="s">
        <v>1833</v>
      </c>
      <c r="E380" s="525"/>
      <c r="F380" s="525"/>
      <c r="I380" s="491"/>
    </row>
    <row r="381" spans="1:9">
      <c r="A381" s="477"/>
      <c r="B381" s="477"/>
      <c r="C381" s="477"/>
      <c r="D381" s="403" t="s">
        <v>1834</v>
      </c>
      <c r="E381" s="525"/>
      <c r="F381" s="525"/>
      <c r="I381" s="491"/>
    </row>
    <row r="382" spans="1:9">
      <c r="A382" s="477"/>
      <c r="B382" s="477"/>
      <c r="C382" s="477"/>
      <c r="D382" s="403" t="s">
        <v>1835</v>
      </c>
      <c r="E382" s="525"/>
      <c r="F382" s="525"/>
      <c r="I382" s="491"/>
    </row>
    <row r="383" spans="1:9">
      <c r="A383" s="477"/>
      <c r="B383" s="477"/>
      <c r="C383" s="477"/>
      <c r="D383" s="403" t="s">
        <v>1836</v>
      </c>
      <c r="E383" s="525"/>
      <c r="F383" s="525"/>
      <c r="I383" s="491"/>
    </row>
    <row r="384" spans="1:9">
      <c r="A384" s="477"/>
      <c r="B384" s="477"/>
      <c r="C384" s="477"/>
      <c r="D384" s="403" t="s">
        <v>1837</v>
      </c>
      <c r="E384" s="525"/>
      <c r="F384" s="525"/>
      <c r="I384" s="491"/>
    </row>
    <row r="385" spans="1:9">
      <c r="A385" s="477"/>
      <c r="B385" s="477"/>
      <c r="C385" s="477"/>
      <c r="D385" s="403" t="s">
        <v>1838</v>
      </c>
      <c r="E385" s="525"/>
      <c r="F385" s="525"/>
      <c r="I385" s="491"/>
    </row>
    <row r="386" spans="1:9">
      <c r="A386" s="477"/>
      <c r="B386" s="477"/>
      <c r="C386" s="477"/>
      <c r="E386" s="448"/>
      <c r="F386" s="447"/>
      <c r="I386" s="491"/>
    </row>
    <row r="387" spans="1:9" ht="14.25">
      <c r="A387" s="485"/>
      <c r="B387" s="486" t="s">
        <v>2747</v>
      </c>
      <c r="C387" s="477"/>
      <c r="D387" s="1270" t="s">
        <v>1132</v>
      </c>
      <c r="E387" s="1270"/>
      <c r="F387" s="1270"/>
      <c r="I387" s="491"/>
    </row>
    <row r="388" spans="1:9">
      <c r="A388" s="477"/>
      <c r="B388" s="477"/>
      <c r="C388" s="477"/>
      <c r="D388" s="1270"/>
      <c r="E388" s="1270"/>
      <c r="F388" s="1270"/>
      <c r="I388" s="491"/>
    </row>
    <row r="389" spans="1:9">
      <c r="A389" s="477"/>
      <c r="B389" s="477"/>
      <c r="C389" s="477"/>
      <c r="D389" s="1270"/>
      <c r="E389" s="1270"/>
      <c r="F389" s="1270"/>
      <c r="I389" s="491"/>
    </row>
    <row r="390" spans="1:9">
      <c r="A390" s="477"/>
      <c r="B390" s="477"/>
      <c r="C390" s="477"/>
      <c r="D390" s="1270"/>
      <c r="E390" s="1270"/>
      <c r="F390" s="1270"/>
      <c r="I390" s="491"/>
    </row>
    <row r="391" spans="1:9">
      <c r="A391" s="477"/>
      <c r="B391" s="477"/>
      <c r="C391" s="477"/>
      <c r="D391" s="448"/>
      <c r="E391" s="448"/>
      <c r="F391" s="447"/>
      <c r="I391" s="491"/>
    </row>
    <row r="392" spans="1:9">
      <c r="A392" s="477"/>
      <c r="B392" s="477"/>
      <c r="C392" s="477"/>
      <c r="D392" s="1270" t="s">
        <v>1133</v>
      </c>
      <c r="E392" s="1270"/>
      <c r="F392" s="1270"/>
      <c r="I392" s="491"/>
    </row>
    <row r="393" spans="1:9">
      <c r="A393" s="477"/>
      <c r="B393" s="477"/>
      <c r="C393" s="477"/>
      <c r="D393" s="1270"/>
      <c r="E393" s="1270"/>
      <c r="F393" s="1270"/>
      <c r="I393" s="491"/>
    </row>
    <row r="394" spans="1:9">
      <c r="A394" s="477"/>
      <c r="B394" s="477"/>
      <c r="C394" s="477"/>
      <c r="D394" s="1270"/>
      <c r="E394" s="1270"/>
      <c r="F394" s="1270"/>
      <c r="I394" s="491"/>
    </row>
    <row r="395" spans="1:9">
      <c r="A395" s="477"/>
      <c r="B395" s="477"/>
      <c r="C395" s="477"/>
      <c r="D395" s="1270"/>
      <c r="E395" s="1270"/>
      <c r="F395" s="1270"/>
      <c r="I395" s="491"/>
    </row>
    <row r="396" spans="1:9" ht="18" customHeight="1">
      <c r="A396" s="477"/>
      <c r="B396" s="477"/>
      <c r="C396" s="477"/>
      <c r="D396" s="1270"/>
      <c r="E396" s="1270"/>
      <c r="F396" s="1270"/>
      <c r="I396" s="491"/>
    </row>
    <row r="397" spans="1:9">
      <c r="A397" s="477"/>
      <c r="B397" s="477"/>
      <c r="C397" s="477"/>
      <c r="D397" s="1270"/>
      <c r="E397" s="1270"/>
      <c r="F397" s="1270"/>
      <c r="I397" s="491"/>
    </row>
    <row r="398" spans="1:9">
      <c r="A398" s="477"/>
      <c r="B398" s="477"/>
      <c r="C398" s="477"/>
      <c r="D398" s="1270"/>
      <c r="E398" s="1270"/>
      <c r="F398" s="1270"/>
      <c r="I398" s="491"/>
    </row>
    <row r="399" spans="1:9">
      <c r="A399" s="477"/>
      <c r="B399" s="477"/>
      <c r="C399" s="477"/>
      <c r="D399" s="1270"/>
      <c r="E399" s="1270"/>
      <c r="F399" s="1270"/>
      <c r="I399" s="491"/>
    </row>
    <row r="400" spans="1:9" ht="8.25" customHeight="1">
      <c r="A400" s="477"/>
      <c r="B400" s="477"/>
      <c r="C400" s="477"/>
      <c r="D400" s="1270"/>
      <c r="E400" s="1270"/>
      <c r="F400" s="1270"/>
      <c r="I400" s="491"/>
    </row>
    <row r="401" spans="1:9" ht="13.7" customHeight="1">
      <c r="A401" s="477"/>
      <c r="B401" s="477"/>
      <c r="C401" s="477"/>
      <c r="D401" s="1270" t="s">
        <v>1134</v>
      </c>
      <c r="E401" s="1270"/>
      <c r="F401" s="1270"/>
      <c r="I401" s="491"/>
    </row>
    <row r="402" spans="1:9">
      <c r="A402" s="477"/>
      <c r="B402" s="477"/>
      <c r="C402" s="477"/>
      <c r="D402" s="1270"/>
      <c r="E402" s="1270"/>
      <c r="F402" s="1270"/>
      <c r="I402" s="491"/>
    </row>
    <row r="403" spans="1:9">
      <c r="A403" s="477"/>
      <c r="B403" s="477"/>
      <c r="C403" s="477"/>
      <c r="D403" s="1270"/>
      <c r="E403" s="1270"/>
      <c r="F403" s="1270"/>
      <c r="I403" s="491"/>
    </row>
    <row r="404" spans="1:9">
      <c r="A404" s="477"/>
      <c r="B404" s="477"/>
      <c r="C404" s="477"/>
      <c r="D404" s="1270"/>
      <c r="E404" s="1270"/>
      <c r="F404" s="1270"/>
      <c r="I404" s="491"/>
    </row>
    <row r="405" spans="1:9">
      <c r="A405" s="477"/>
      <c r="B405" s="477"/>
      <c r="C405" s="477"/>
      <c r="D405" s="1270"/>
      <c r="E405" s="1270"/>
      <c r="F405" s="1270"/>
      <c r="I405" s="491"/>
    </row>
    <row r="406" spans="1:9">
      <c r="A406" s="477"/>
      <c r="B406" s="477"/>
      <c r="C406" s="477"/>
      <c r="D406" s="1270"/>
      <c r="E406" s="1270"/>
      <c r="F406" s="1270"/>
      <c r="I406" s="491"/>
    </row>
    <row r="407" spans="1:9">
      <c r="A407" s="477"/>
      <c r="B407" s="477"/>
      <c r="C407" s="477"/>
      <c r="D407" s="1270"/>
      <c r="E407" s="1270"/>
      <c r="F407" s="1270"/>
      <c r="I407" s="491"/>
    </row>
    <row r="408" spans="1:9">
      <c r="A408" s="477"/>
      <c r="B408" s="477"/>
      <c r="C408" s="477"/>
      <c r="D408" s="1270"/>
      <c r="E408" s="1270"/>
      <c r="F408" s="1270"/>
      <c r="I408" s="491"/>
    </row>
    <row r="409" spans="1:9">
      <c r="A409" s="477"/>
      <c r="B409" s="477"/>
      <c r="C409" s="477"/>
      <c r="D409" s="1270"/>
      <c r="E409" s="1270"/>
      <c r="F409" s="1270"/>
      <c r="I409" s="491"/>
    </row>
    <row r="410" spans="1:9">
      <c r="A410" s="477"/>
      <c r="B410" s="477"/>
      <c r="C410" s="477"/>
      <c r="D410" s="1270"/>
      <c r="E410" s="1270"/>
      <c r="F410" s="1270"/>
      <c r="I410" s="491"/>
    </row>
    <row r="411" spans="1:9">
      <c r="A411" s="477"/>
      <c r="B411" s="477"/>
      <c r="C411" s="477"/>
      <c r="D411" s="1270"/>
      <c r="E411" s="1270"/>
      <c r="F411" s="1270"/>
      <c r="I411" s="491"/>
    </row>
    <row r="412" spans="1:9">
      <c r="A412" s="477"/>
      <c r="B412" s="477"/>
      <c r="C412" s="477"/>
      <c r="D412" s="1270"/>
      <c r="E412" s="1270"/>
      <c r="F412" s="1270"/>
      <c r="I412" s="491"/>
    </row>
    <row r="413" spans="1:9">
      <c r="A413" s="477"/>
      <c r="B413" s="477"/>
      <c r="C413" s="497"/>
      <c r="D413" s="1270"/>
      <c r="E413" s="1270"/>
      <c r="F413" s="1270"/>
      <c r="I413" s="491"/>
    </row>
    <row r="414" spans="1:9">
      <c r="A414" s="477"/>
      <c r="B414" s="477"/>
      <c r="C414" s="497"/>
      <c r="D414" s="1270"/>
      <c r="E414" s="1270"/>
      <c r="F414" s="1270"/>
      <c r="I414" s="491"/>
    </row>
    <row r="415" spans="1:9">
      <c r="A415" s="477"/>
      <c r="B415" s="477"/>
      <c r="C415" s="477"/>
      <c r="D415" s="1270"/>
      <c r="E415" s="1270"/>
      <c r="F415" s="1270"/>
      <c r="I415" s="491"/>
    </row>
    <row r="416" spans="1:9">
      <c r="A416" s="477"/>
      <c r="B416" s="477"/>
      <c r="C416" s="497"/>
      <c r="D416" s="1270"/>
      <c r="E416" s="1270"/>
      <c r="F416" s="1270"/>
      <c r="I416" s="491"/>
    </row>
    <row r="417" spans="1:9">
      <c r="A417" s="477"/>
      <c r="B417" s="477"/>
      <c r="C417" s="497"/>
      <c r="D417" s="1270"/>
      <c r="E417" s="1270"/>
      <c r="F417" s="1270"/>
      <c r="I417" s="491"/>
    </row>
    <row r="418" spans="1:9">
      <c r="A418" s="477"/>
      <c r="B418" s="477"/>
      <c r="C418" s="497"/>
      <c r="D418" s="1270"/>
      <c r="E418" s="1270"/>
      <c r="F418" s="1270"/>
      <c r="I418" s="491"/>
    </row>
    <row r="419" spans="1:9">
      <c r="A419" s="477"/>
      <c r="B419" s="477"/>
      <c r="C419" s="477"/>
      <c r="D419" s="448"/>
      <c r="E419" s="448"/>
      <c r="F419" s="447"/>
      <c r="I419" s="491"/>
    </row>
    <row r="420" spans="1:9">
      <c r="A420" s="477"/>
      <c r="B420" s="486" t="s">
        <v>2747</v>
      </c>
      <c r="C420" s="477"/>
      <c r="D420" s="1270" t="s">
        <v>1135</v>
      </c>
      <c r="E420" s="1270"/>
      <c r="F420" s="1270"/>
      <c r="I420" s="491"/>
    </row>
    <row r="421" spans="1:9">
      <c r="A421" s="477"/>
      <c r="B421" s="477"/>
      <c r="C421" s="477"/>
      <c r="D421" s="1270"/>
      <c r="E421" s="1270"/>
      <c r="F421" s="1270"/>
      <c r="I421" s="491"/>
    </row>
    <row r="422" spans="1:9">
      <c r="A422" s="477"/>
      <c r="B422" s="477"/>
      <c r="C422" s="477"/>
      <c r="D422" s="452"/>
      <c r="E422" s="452"/>
      <c r="F422" s="452"/>
      <c r="I422" s="491"/>
    </row>
    <row r="423" spans="1:9" ht="14.45" customHeight="1">
      <c r="A423" s="485"/>
      <c r="B423" s="486" t="s">
        <v>2747</v>
      </c>
      <c r="D423" s="1270" t="s">
        <v>1881</v>
      </c>
      <c r="E423" s="1270"/>
      <c r="F423" s="1270"/>
      <c r="I423" s="491"/>
    </row>
    <row r="424" spans="1:9" ht="14.45" customHeight="1">
      <c r="A424" s="485"/>
      <c r="D424" s="1270"/>
      <c r="E424" s="1270"/>
      <c r="F424" s="1270"/>
      <c r="I424" s="491"/>
    </row>
    <row r="425" spans="1:9" ht="14.45" customHeight="1">
      <c r="A425" s="485"/>
      <c r="D425" s="1270"/>
      <c r="E425" s="1270"/>
      <c r="F425" s="1270"/>
      <c r="I425" s="491"/>
    </row>
    <row r="426" spans="1:9" ht="14.45" customHeight="1">
      <c r="A426" s="485"/>
      <c r="D426" s="1270"/>
      <c r="E426" s="1270"/>
      <c r="F426" s="1270"/>
      <c r="I426" s="491"/>
    </row>
    <row r="427" spans="1:9" ht="14.45" customHeight="1">
      <c r="A427" s="485"/>
      <c r="D427" s="1270"/>
      <c r="E427" s="1270"/>
      <c r="F427" s="1270"/>
      <c r="I427" s="491"/>
    </row>
    <row r="428" spans="1:9" ht="14.45" customHeight="1">
      <c r="A428" s="485"/>
      <c r="D428" s="386"/>
      <c r="E428" s="386"/>
      <c r="F428" s="386"/>
      <c r="I428" s="491"/>
    </row>
    <row r="429" spans="1:9" ht="13.7" customHeight="1">
      <c r="A429" s="485"/>
      <c r="B429" s="486" t="s">
        <v>2747</v>
      </c>
      <c r="C429" s="477"/>
      <c r="D429" s="1270" t="s">
        <v>1239</v>
      </c>
      <c r="E429" s="1270"/>
      <c r="F429" s="1270"/>
      <c r="I429" s="491"/>
    </row>
    <row r="430" spans="1:9" ht="14.25">
      <c r="A430" s="498"/>
      <c r="B430" s="498"/>
      <c r="C430" s="477"/>
      <c r="D430" s="1270"/>
      <c r="E430" s="1270"/>
      <c r="F430" s="1270"/>
      <c r="I430" s="491"/>
    </row>
    <row r="431" spans="1:9" ht="14.25">
      <c r="A431" s="498"/>
      <c r="B431" s="498"/>
      <c r="C431" s="477"/>
      <c r="D431" s="1270"/>
      <c r="E431" s="1270"/>
      <c r="F431" s="1270"/>
      <c r="I431" s="491"/>
    </row>
    <row r="432" spans="1:9" ht="14.25">
      <c r="A432" s="498"/>
      <c r="B432" s="498"/>
      <c r="C432" s="477"/>
      <c r="D432" s="1270"/>
      <c r="E432" s="1270"/>
      <c r="F432" s="1270"/>
      <c r="I432" s="491"/>
    </row>
    <row r="433" spans="1:9" ht="15.75" customHeight="1">
      <c r="A433" s="498"/>
      <c r="B433" s="498"/>
      <c r="C433" s="477"/>
      <c r="D433" s="1328" t="s">
        <v>2074</v>
      </c>
      <c r="E433" s="1270"/>
      <c r="F433" s="1270"/>
      <c r="I433" s="491"/>
    </row>
    <row r="434" spans="1:9">
      <c r="D434" s="447"/>
      <c r="E434" s="447"/>
      <c r="F434" s="447"/>
      <c r="I434" s="491"/>
    </row>
    <row r="435" spans="1:9" ht="14.25">
      <c r="A435" s="485"/>
      <c r="B435" s="486" t="s">
        <v>2747</v>
      </c>
      <c r="C435" s="488"/>
      <c r="D435" s="1299" t="s">
        <v>2059</v>
      </c>
      <c r="E435" s="1299"/>
      <c r="F435" s="1299"/>
      <c r="I435" s="491"/>
    </row>
    <row r="436" spans="1:9" ht="14.25">
      <c r="A436" s="485"/>
      <c r="B436" s="485"/>
      <c r="D436" s="1299"/>
      <c r="E436" s="1299"/>
      <c r="F436" s="1299"/>
      <c r="I436" s="491"/>
    </row>
    <row r="437" spans="1:9">
      <c r="D437" s="1299"/>
      <c r="E437" s="1299"/>
      <c r="F437" s="1299"/>
      <c r="I437" s="491"/>
    </row>
    <row r="438" spans="1:9">
      <c r="D438" s="1299"/>
      <c r="E438" s="1299"/>
      <c r="F438" s="1299"/>
      <c r="I438" s="491"/>
    </row>
    <row r="439" spans="1:9">
      <c r="D439" s="1299"/>
      <c r="E439" s="1299"/>
      <c r="F439" s="1299"/>
      <c r="I439" s="491"/>
    </row>
    <row r="440" spans="1:9">
      <c r="D440" s="1299"/>
      <c r="E440" s="1299"/>
      <c r="F440" s="1299"/>
      <c r="I440" s="491"/>
    </row>
    <row r="441" spans="1:9">
      <c r="D441" s="1299"/>
      <c r="E441" s="1299"/>
      <c r="F441" s="1299"/>
      <c r="I441" s="491"/>
    </row>
    <row r="442" spans="1:9">
      <c r="D442" s="1299"/>
      <c r="E442" s="1299"/>
      <c r="F442" s="1299"/>
      <c r="I442" s="491"/>
    </row>
    <row r="443" spans="1:9">
      <c r="D443" s="1299"/>
      <c r="E443" s="1299"/>
      <c r="F443" s="1299"/>
      <c r="I443" s="491"/>
    </row>
    <row r="444" spans="1:9">
      <c r="D444" s="1299"/>
      <c r="E444" s="1299"/>
      <c r="F444" s="1299"/>
      <c r="I444" s="491"/>
    </row>
    <row r="445" spans="1:9">
      <c r="D445" s="1299"/>
      <c r="E445" s="1299"/>
      <c r="F445" s="1299"/>
      <c r="I445" s="491"/>
    </row>
    <row r="446" spans="1:9">
      <c r="D446" s="1299"/>
      <c r="E446" s="1299"/>
      <c r="F446" s="1299"/>
      <c r="I446" s="491"/>
    </row>
    <row r="447" spans="1:9">
      <c r="D447" s="1299"/>
      <c r="E447" s="1299"/>
      <c r="F447" s="1299"/>
      <c r="I447" s="491"/>
    </row>
    <row r="448" spans="1:9">
      <c r="A448" s="403"/>
      <c r="B448" s="403"/>
      <c r="C448" s="403"/>
      <c r="D448" s="1299"/>
      <c r="E448" s="1299"/>
      <c r="F448" s="1299"/>
      <c r="I448" s="491"/>
    </row>
    <row r="449" spans="1:9">
      <c r="A449" s="403"/>
      <c r="B449" s="403"/>
      <c r="C449" s="403"/>
      <c r="D449" s="1299"/>
      <c r="E449" s="1299"/>
      <c r="F449" s="1299"/>
      <c r="I449" s="491"/>
    </row>
    <row r="450" spans="1:9">
      <c r="A450" s="403"/>
      <c r="B450" s="403"/>
      <c r="C450" s="403"/>
      <c r="D450" s="1299"/>
      <c r="E450" s="1299"/>
      <c r="F450" s="1299"/>
      <c r="I450" s="491"/>
    </row>
    <row r="451" spans="1:9">
      <c r="A451" s="403"/>
      <c r="B451" s="403"/>
      <c r="C451" s="403"/>
      <c r="D451" s="1299"/>
      <c r="E451" s="1299"/>
      <c r="F451" s="1299"/>
      <c r="I451" s="491"/>
    </row>
    <row r="452" spans="1:9">
      <c r="A452" s="403"/>
      <c r="B452" s="403"/>
      <c r="C452" s="403"/>
      <c r="D452" s="1299"/>
      <c r="E452" s="1299"/>
      <c r="F452" s="1299"/>
      <c r="I452" s="491"/>
    </row>
    <row r="453" spans="1:9">
      <c r="A453" s="403"/>
      <c r="B453" s="403"/>
      <c r="C453" s="403"/>
      <c r="D453" s="1299"/>
      <c r="E453" s="1299"/>
      <c r="F453" s="1299"/>
      <c r="I453" s="491"/>
    </row>
    <row r="454" spans="1:9">
      <c r="A454" s="403"/>
      <c r="B454" s="403"/>
      <c r="C454" s="403"/>
      <c r="D454" s="1299"/>
      <c r="E454" s="1299"/>
      <c r="F454" s="1299"/>
      <c r="I454" s="491"/>
    </row>
    <row r="455" spans="1:9">
      <c r="A455" s="403"/>
      <c r="B455" s="403"/>
      <c r="C455" s="403"/>
      <c r="D455" s="1299"/>
      <c r="E455" s="1299"/>
      <c r="F455" s="1299"/>
      <c r="I455" s="491"/>
    </row>
    <row r="456" spans="1:9">
      <c r="A456" s="403"/>
      <c r="B456" s="403"/>
      <c r="C456" s="403"/>
      <c r="D456" s="1299"/>
      <c r="E456" s="1299"/>
      <c r="F456" s="1299"/>
      <c r="I456" s="491"/>
    </row>
    <row r="457" spans="1:9">
      <c r="A457" s="403"/>
      <c r="B457" s="403"/>
      <c r="C457" s="403"/>
      <c r="D457" s="1299"/>
      <c r="E457" s="1299"/>
      <c r="F457" s="1299"/>
      <c r="I457" s="491"/>
    </row>
    <row r="458" spans="1:9">
      <c r="A458" s="403"/>
      <c r="B458" s="403"/>
      <c r="C458" s="403"/>
      <c r="D458" s="1299"/>
      <c r="E458" s="1299"/>
      <c r="F458" s="1299"/>
      <c r="I458" s="491"/>
    </row>
    <row r="459" spans="1:9">
      <c r="A459" s="403"/>
      <c r="B459" s="403"/>
      <c r="C459" s="403"/>
      <c r="D459" s="1299"/>
      <c r="E459" s="1299"/>
      <c r="F459" s="1299"/>
      <c r="I459" s="491"/>
    </row>
    <row r="460" spans="1:9">
      <c r="A460" s="403"/>
      <c r="B460" s="403"/>
      <c r="C460" s="403"/>
      <c r="D460" s="1299"/>
      <c r="E460" s="1299"/>
      <c r="F460" s="1299"/>
      <c r="I460" s="491"/>
    </row>
    <row r="461" spans="1:9">
      <c r="A461" s="403"/>
      <c r="B461" s="403"/>
      <c r="C461" s="403"/>
      <c r="D461" s="1299"/>
      <c r="E461" s="1299"/>
      <c r="F461" s="1299"/>
      <c r="I461" s="491"/>
    </row>
    <row r="462" spans="1:9">
      <c r="A462" s="403"/>
      <c r="B462" s="403"/>
      <c r="C462" s="403"/>
      <c r="D462" s="1299"/>
      <c r="E462" s="1299"/>
      <c r="F462" s="1299"/>
      <c r="I462" s="491"/>
    </row>
    <row r="463" spans="1:9">
      <c r="A463" s="403"/>
      <c r="B463" s="403"/>
      <c r="C463" s="403"/>
      <c r="D463" s="1299"/>
      <c r="E463" s="1299"/>
      <c r="F463" s="1299"/>
      <c r="I463" s="491"/>
    </row>
    <row r="464" spans="1:9">
      <c r="D464" s="1299"/>
      <c r="E464" s="1299"/>
      <c r="F464" s="1299"/>
      <c r="I464" s="491"/>
    </row>
    <row r="465" spans="1:9" ht="40.700000000000003" customHeight="1">
      <c r="D465" s="1299"/>
      <c r="E465" s="1299"/>
      <c r="F465" s="1299"/>
      <c r="I465" s="491"/>
    </row>
    <row r="466" spans="1:9">
      <c r="D466" s="447"/>
      <c r="E466" s="447"/>
      <c r="F466" s="447"/>
      <c r="I466" s="491"/>
    </row>
    <row r="467" spans="1:9" ht="14.25">
      <c r="A467" s="485"/>
      <c r="B467" s="486" t="s">
        <v>2747</v>
      </c>
      <c r="C467" s="488"/>
      <c r="D467" s="1299" t="s">
        <v>1136</v>
      </c>
      <c r="E467" s="1299"/>
      <c r="F467" s="1299"/>
      <c r="I467" s="491"/>
    </row>
    <row r="468" spans="1:9">
      <c r="D468" s="1299"/>
      <c r="E468" s="1299"/>
      <c r="F468" s="1299"/>
      <c r="I468" s="491"/>
    </row>
    <row r="469" spans="1:9">
      <c r="D469" s="1299"/>
      <c r="E469" s="1299"/>
      <c r="F469" s="1299"/>
      <c r="I469" s="491"/>
    </row>
    <row r="470" spans="1:9">
      <c r="D470" s="446"/>
      <c r="E470" s="446"/>
      <c r="F470" s="446"/>
      <c r="I470" s="491"/>
    </row>
    <row r="471" spans="1:9" ht="14.25">
      <c r="B471" s="486" t="s">
        <v>2747</v>
      </c>
      <c r="C471" s="485"/>
      <c r="D471" s="1299" t="s">
        <v>1196</v>
      </c>
      <c r="E471" s="1299"/>
      <c r="F471" s="1299"/>
      <c r="I471" s="491"/>
    </row>
    <row r="472" spans="1:9">
      <c r="D472" s="1299"/>
      <c r="E472" s="1299"/>
      <c r="F472" s="1299"/>
      <c r="I472" s="491"/>
    </row>
    <row r="473" spans="1:9">
      <c r="D473" s="447"/>
      <c r="E473" s="447"/>
      <c r="F473" s="447"/>
      <c r="I473" s="491"/>
    </row>
    <row r="474" spans="1:9" ht="14.25">
      <c r="B474" s="486" t="s">
        <v>2747</v>
      </c>
      <c r="C474" s="485"/>
      <c r="D474" s="1299" t="s">
        <v>1137</v>
      </c>
      <c r="E474" s="1299"/>
      <c r="F474" s="1299"/>
      <c r="I474" s="491"/>
    </row>
    <row r="475" spans="1:9">
      <c r="D475" s="1299"/>
      <c r="E475" s="1299"/>
      <c r="F475" s="1299"/>
      <c r="I475" s="491"/>
    </row>
    <row r="476" spans="1:9">
      <c r="D476" s="1299"/>
      <c r="E476" s="1299"/>
      <c r="F476" s="1299"/>
      <c r="I476" s="491"/>
    </row>
    <row r="477" spans="1:9">
      <c r="D477" s="1299"/>
      <c r="E477" s="1299"/>
      <c r="F477" s="1299"/>
      <c r="I477" s="491"/>
    </row>
    <row r="478" spans="1:9">
      <c r="B478" s="486" t="s">
        <v>2747</v>
      </c>
      <c r="D478" s="1299"/>
      <c r="E478" s="1299"/>
      <c r="F478" s="1299"/>
      <c r="I478" s="491"/>
    </row>
    <row r="479" spans="1:9">
      <c r="A479" s="403"/>
      <c r="B479" s="403"/>
      <c r="C479" s="403"/>
      <c r="D479" s="1299"/>
      <c r="E479" s="1299"/>
      <c r="F479" s="1299"/>
      <c r="I479" s="491"/>
    </row>
    <row r="480" spans="1:9">
      <c r="A480" s="403"/>
      <c r="C480" s="403"/>
      <c r="D480" s="1299"/>
      <c r="E480" s="1299"/>
      <c r="F480" s="1299"/>
      <c r="I480" s="491"/>
    </row>
    <row r="481" spans="1:9">
      <c r="A481" s="403"/>
      <c r="B481" s="486" t="s">
        <v>2747</v>
      </c>
      <c r="C481" s="403"/>
      <c r="D481" s="1299"/>
      <c r="E481" s="1299"/>
      <c r="F481" s="1299"/>
      <c r="I481" s="491"/>
    </row>
    <row r="482" spans="1:9">
      <c r="A482" s="403"/>
      <c r="B482" s="403"/>
      <c r="C482" s="403"/>
      <c r="D482" s="1299"/>
      <c r="E482" s="1299"/>
      <c r="F482" s="1299"/>
      <c r="I482" s="491"/>
    </row>
    <row r="483" spans="1:9">
      <c r="A483" s="403"/>
      <c r="C483" s="403"/>
      <c r="D483" s="1299"/>
      <c r="E483" s="1299"/>
      <c r="F483" s="1299"/>
      <c r="I483" s="491"/>
    </row>
    <row r="484" spans="1:9">
      <c r="A484" s="403"/>
      <c r="C484" s="403"/>
      <c r="D484" s="1299"/>
      <c r="E484" s="1299"/>
      <c r="F484" s="1299"/>
      <c r="I484" s="491"/>
    </row>
    <row r="485" spans="1:9">
      <c r="A485" s="403"/>
      <c r="C485" s="403"/>
      <c r="D485" s="1299"/>
      <c r="E485" s="1299"/>
      <c r="F485" s="1299"/>
      <c r="I485" s="491"/>
    </row>
    <row r="486" spans="1:9">
      <c r="A486" s="403"/>
      <c r="B486" s="486" t="s">
        <v>2747</v>
      </c>
      <c r="C486" s="403"/>
      <c r="D486" s="1299"/>
      <c r="E486" s="1299"/>
      <c r="F486" s="1299"/>
      <c r="I486" s="491"/>
    </row>
    <row r="487" spans="1:9">
      <c r="A487" s="403"/>
      <c r="C487" s="403"/>
      <c r="D487" s="1299"/>
      <c r="E487" s="1299"/>
      <c r="F487" s="1299"/>
      <c r="I487" s="491"/>
    </row>
    <row r="488" spans="1:9">
      <c r="A488" s="403"/>
      <c r="B488" s="486" t="s">
        <v>2747</v>
      </c>
      <c r="C488" s="403"/>
      <c r="D488" s="1299" t="s">
        <v>1138</v>
      </c>
      <c r="E488" s="1299"/>
      <c r="F488" s="1299"/>
      <c r="I488" s="491"/>
    </row>
    <row r="489" spans="1:9">
      <c r="A489" s="403"/>
      <c r="B489" s="403"/>
      <c r="C489" s="403"/>
      <c r="D489" s="1299"/>
      <c r="E489" s="1299"/>
      <c r="F489" s="1299"/>
      <c r="I489" s="491"/>
    </row>
    <row r="490" spans="1:9">
      <c r="A490" s="403"/>
      <c r="B490" s="403"/>
      <c r="C490" s="403"/>
      <c r="D490" s="1299"/>
      <c r="E490" s="1299"/>
      <c r="F490" s="1299"/>
      <c r="I490" s="491"/>
    </row>
    <row r="491" spans="1:9">
      <c r="A491" s="403"/>
      <c r="B491" s="403"/>
      <c r="C491" s="403"/>
      <c r="D491" s="1299"/>
      <c r="E491" s="1299"/>
      <c r="F491" s="1299"/>
      <c r="I491" s="491"/>
    </row>
    <row r="492" spans="1:9">
      <c r="D492" s="1299"/>
      <c r="E492" s="1299"/>
      <c r="F492" s="1299"/>
      <c r="I492" s="491"/>
    </row>
    <row r="493" spans="1:9">
      <c r="D493" s="447"/>
      <c r="E493" s="447"/>
      <c r="F493" s="447"/>
      <c r="I493" s="491"/>
    </row>
    <row r="494" spans="1:9">
      <c r="B494" s="486" t="s">
        <v>2747</v>
      </c>
      <c r="D494" s="1297" t="s">
        <v>1139</v>
      </c>
      <c r="E494" s="1297"/>
      <c r="F494" s="1297"/>
      <c r="I494" s="491"/>
    </row>
    <row r="495" spans="1:9">
      <c r="A495" s="447"/>
      <c r="B495" s="447"/>
      <c r="I495" s="491"/>
    </row>
    <row r="496" spans="1:9">
      <c r="A496" s="1306" t="s">
        <v>1049</v>
      </c>
      <c r="B496" s="1306"/>
      <c r="C496" s="1306"/>
      <c r="D496" s="1306"/>
      <c r="E496" s="1306"/>
      <c r="F496" s="1306"/>
      <c r="G496" s="1306"/>
      <c r="H496" s="1029"/>
      <c r="I496" s="1155"/>
    </row>
    <row r="497" spans="1:9">
      <c r="A497" s="447"/>
      <c r="B497" s="447"/>
      <c r="I497" s="491"/>
    </row>
    <row r="498" spans="1:9">
      <c r="D498" s="1325" t="s">
        <v>883</v>
      </c>
      <c r="E498" s="1325"/>
      <c r="F498" s="1325"/>
      <c r="I498" s="491"/>
    </row>
    <row r="499" spans="1:9" ht="14.25">
      <c r="A499" s="485"/>
      <c r="B499" s="485"/>
      <c r="D499" s="1316" t="s">
        <v>1140</v>
      </c>
      <c r="E499" s="1316"/>
      <c r="F499" s="1316"/>
      <c r="I499" s="491"/>
    </row>
    <row r="500" spans="1:9" ht="14.25">
      <c r="A500" s="485"/>
      <c r="B500" s="485"/>
      <c r="D500" s="448"/>
      <c r="I500" s="491"/>
    </row>
    <row r="501" spans="1:9" ht="14.25">
      <c r="A501" s="485"/>
      <c r="B501" s="486" t="s">
        <v>2747</v>
      </c>
      <c r="D501" s="1270" t="s">
        <v>1141</v>
      </c>
      <c r="E501" s="1270"/>
      <c r="F501" s="1270"/>
      <c r="I501" s="491"/>
    </row>
    <row r="502" spans="1:9" ht="14.25">
      <c r="A502" s="485"/>
      <c r="B502" s="485"/>
      <c r="D502" s="1270"/>
      <c r="E502" s="1270"/>
      <c r="F502" s="1270"/>
      <c r="I502" s="491"/>
    </row>
    <row r="503" spans="1:9" ht="14.25">
      <c r="A503" s="485"/>
      <c r="B503" s="485"/>
      <c r="D503" s="447"/>
      <c r="I503" s="491"/>
    </row>
    <row r="504" spans="1:9" ht="12.75" customHeight="1">
      <c r="B504" s="486" t="s">
        <v>2747</v>
      </c>
      <c r="D504" s="1311" t="s">
        <v>1272</v>
      </c>
      <c r="E504" s="1311"/>
      <c r="F504" s="1311"/>
      <c r="I504" s="491"/>
    </row>
    <row r="505" spans="1:9" ht="14.25">
      <c r="A505" s="485"/>
      <c r="D505" s="1311"/>
      <c r="E505" s="1311"/>
      <c r="F505" s="1311"/>
      <c r="I505" s="491"/>
    </row>
    <row r="506" spans="1:9" ht="14.25">
      <c r="A506" s="485"/>
      <c r="B506" s="485"/>
      <c r="D506" s="1311"/>
      <c r="E506" s="1311"/>
      <c r="F506" s="1311"/>
      <c r="I506" s="491"/>
    </row>
    <row r="507" spans="1:9" ht="14.25">
      <c r="A507" s="485"/>
      <c r="B507" s="485"/>
      <c r="D507" s="1311"/>
      <c r="E507" s="1311"/>
      <c r="F507" s="1311"/>
      <c r="I507" s="491"/>
    </row>
    <row r="508" spans="1:9" ht="14.25">
      <c r="A508" s="485"/>
      <c r="D508" s="521"/>
      <c r="E508" s="521"/>
      <c r="F508" s="521"/>
      <c r="I508" s="491"/>
    </row>
    <row r="509" spans="1:9" ht="14.25">
      <c r="A509" s="485"/>
      <c r="B509" s="486" t="s">
        <v>2747</v>
      </c>
      <c r="D509" s="1297" t="s">
        <v>1142</v>
      </c>
      <c r="E509" s="1297"/>
      <c r="F509" s="1297"/>
      <c r="I509" s="491"/>
    </row>
    <row r="510" spans="1:9" ht="14.25">
      <c r="A510" s="485"/>
      <c r="B510" s="485"/>
      <c r="D510" s="447"/>
      <c r="I510" s="491"/>
    </row>
    <row r="511" spans="1:9" ht="14.25">
      <c r="A511" s="485"/>
      <c r="B511" s="486" t="s">
        <v>2747</v>
      </c>
      <c r="D511" s="1299" t="s">
        <v>1143</v>
      </c>
      <c r="E511" s="1299"/>
      <c r="F511" s="1299"/>
      <c r="I511" s="491"/>
    </row>
    <row r="512" spans="1:9" ht="14.25">
      <c r="A512" s="485"/>
      <c r="D512" s="1299"/>
      <c r="E512" s="1299"/>
      <c r="F512" s="1299"/>
      <c r="I512" s="491"/>
    </row>
    <row r="513" spans="1:9">
      <c r="A513" s="491"/>
      <c r="B513" s="491"/>
      <c r="D513" s="448"/>
      <c r="I513" s="491"/>
    </row>
    <row r="514" spans="1:9">
      <c r="A514" s="491"/>
      <c r="B514" s="486" t="s">
        <v>2747</v>
      </c>
      <c r="D514" s="1297" t="s">
        <v>1144</v>
      </c>
      <c r="E514" s="1297"/>
      <c r="F514" s="1297"/>
      <c r="I514" s="491"/>
    </row>
    <row r="515" spans="1:9">
      <c r="D515" s="447"/>
      <c r="E515" s="447"/>
      <c r="F515" s="447"/>
      <c r="I515" s="491"/>
    </row>
    <row r="516" spans="1:9">
      <c r="B516" s="486" t="s">
        <v>2747</v>
      </c>
      <c r="D516" s="1299" t="s">
        <v>2282</v>
      </c>
      <c r="E516" s="1299"/>
      <c r="F516" s="1299"/>
      <c r="I516" s="491"/>
    </row>
    <row r="517" spans="1:9">
      <c r="D517" s="1299"/>
      <c r="E517" s="1299"/>
      <c r="F517" s="1299"/>
      <c r="I517" s="491"/>
    </row>
    <row r="518" spans="1:9">
      <c r="D518" s="1299"/>
      <c r="E518" s="1299"/>
      <c r="F518" s="1299"/>
      <c r="I518" s="491"/>
    </row>
    <row r="519" spans="1:9">
      <c r="D519" s="447"/>
      <c r="E519" s="447"/>
      <c r="F519" s="447"/>
      <c r="I519" s="491"/>
    </row>
    <row r="520" spans="1:9" ht="14.25">
      <c r="A520" s="485"/>
      <c r="B520" s="485"/>
      <c r="D520" s="447"/>
      <c r="I520" s="491"/>
    </row>
    <row r="521" spans="1:9">
      <c r="A521" s="1306" t="s">
        <v>1050</v>
      </c>
      <c r="B521" s="1306"/>
      <c r="C521" s="1306"/>
      <c r="D521" s="1306"/>
      <c r="E521" s="1306"/>
      <c r="F521" s="1306"/>
      <c r="G521" s="1306"/>
      <c r="H521" s="1029"/>
      <c r="I521" s="1155"/>
    </row>
    <row r="522" spans="1:9" ht="12" customHeight="1">
      <c r="A522" s="485"/>
      <c r="B522" s="485"/>
      <c r="D522" s="447"/>
      <c r="I522" s="491"/>
    </row>
    <row r="523" spans="1:9">
      <c r="C523" s="483"/>
      <c r="D523" s="1307" t="s">
        <v>793</v>
      </c>
      <c r="E523" s="1307"/>
      <c r="F523" s="1307"/>
      <c r="I523" s="491"/>
    </row>
    <row r="524" spans="1:9">
      <c r="C524" s="483"/>
      <c r="D524" s="507" t="s">
        <v>1198</v>
      </c>
      <c r="E524" s="507"/>
      <c r="F524" s="507"/>
      <c r="I524" s="491"/>
    </row>
    <row r="525" spans="1:9">
      <c r="C525" s="483"/>
      <c r="D525" s="507" t="s">
        <v>1199</v>
      </c>
      <c r="E525" s="507"/>
      <c r="F525" s="507"/>
      <c r="I525" s="491"/>
    </row>
    <row r="526" spans="1:9">
      <c r="C526" s="483"/>
      <c r="D526" s="482"/>
      <c r="E526" s="482"/>
      <c r="F526" s="482"/>
      <c r="I526" s="491"/>
    </row>
    <row r="527" spans="1:9" ht="13.7" customHeight="1">
      <c r="A527" s="484"/>
      <c r="B527" s="486" t="s">
        <v>2743</v>
      </c>
      <c r="C527" s="484"/>
      <c r="D527" s="1270" t="s">
        <v>2060</v>
      </c>
      <c r="E527" s="1270"/>
      <c r="F527" s="1270"/>
      <c r="I527" s="491"/>
    </row>
    <row r="528" spans="1:9">
      <c r="A528" s="484"/>
      <c r="B528" s="484"/>
      <c r="C528" s="484"/>
      <c r="D528" s="1270"/>
      <c r="E528" s="1270"/>
      <c r="F528" s="1270"/>
      <c r="I528" s="491"/>
    </row>
    <row r="529" spans="1:9">
      <c r="A529" s="484"/>
      <c r="B529" s="484"/>
      <c r="C529" s="484"/>
      <c r="D529" s="452"/>
      <c r="E529" s="452"/>
      <c r="F529" s="452"/>
      <c r="I529" s="481"/>
    </row>
    <row r="530" spans="1:9" ht="12.75" customHeight="1">
      <c r="A530" s="484"/>
      <c r="B530" s="486" t="s">
        <v>2747</v>
      </c>
      <c r="D530" s="387" t="s">
        <v>1903</v>
      </c>
      <c r="E530" s="386"/>
      <c r="F530" s="386"/>
      <c r="I530" s="491"/>
    </row>
    <row r="531" spans="1:9">
      <c r="A531" s="484"/>
      <c r="B531" s="484"/>
      <c r="C531" s="484"/>
      <c r="D531" s="386"/>
      <c r="E531" s="96" t="s">
        <v>1904</v>
      </c>
      <c r="I531" s="491"/>
    </row>
    <row r="532" spans="1:9">
      <c r="A532" s="484"/>
      <c r="B532" s="484"/>
      <c r="D532" s="1278" t="s">
        <v>2061</v>
      </c>
      <c r="E532" s="1278"/>
      <c r="F532" s="1278"/>
      <c r="I532" s="491"/>
    </row>
    <row r="533" spans="1:9">
      <c r="A533" s="484"/>
      <c r="B533" s="484"/>
      <c r="D533" s="1278"/>
      <c r="E533" s="1278"/>
      <c r="F533" s="1278"/>
      <c r="I533" s="491"/>
    </row>
    <row r="534" spans="1:9">
      <c r="A534" s="484"/>
      <c r="B534" s="484"/>
      <c r="C534" s="484"/>
      <c r="D534" s="1278"/>
      <c r="E534" s="1278"/>
      <c r="F534" s="1278"/>
      <c r="I534" s="491"/>
    </row>
    <row r="535" spans="1:9">
      <c r="A535" s="484"/>
      <c r="B535" s="484"/>
      <c r="C535" s="484"/>
      <c r="D535" s="499"/>
      <c r="F535" s="447"/>
      <c r="I535" s="491"/>
    </row>
    <row r="536" spans="1:9" ht="13.15" customHeight="1">
      <c r="A536" s="484"/>
      <c r="B536" s="486" t="s">
        <v>2747</v>
      </c>
      <c r="C536" s="484"/>
      <c r="D536" s="1299" t="s">
        <v>2062</v>
      </c>
      <c r="E536" s="1299"/>
      <c r="F536" s="1299"/>
      <c r="I536" s="491"/>
    </row>
    <row r="537" spans="1:9">
      <c r="A537" s="484"/>
      <c r="B537" s="484"/>
      <c r="C537" s="484"/>
      <c r="D537" s="1299"/>
      <c r="E537" s="1299"/>
      <c r="F537" s="1299"/>
      <c r="I537" s="491"/>
    </row>
    <row r="538" spans="1:9" ht="12" customHeight="1">
      <c r="A538" s="447"/>
      <c r="B538" s="447"/>
      <c r="C538" s="488"/>
      <c r="D538" s="447"/>
      <c r="F538" s="449"/>
      <c r="I538" s="491"/>
    </row>
    <row r="539" spans="1:9">
      <c r="A539" s="1306" t="s">
        <v>1051</v>
      </c>
      <c r="B539" s="1306"/>
      <c r="C539" s="1306"/>
      <c r="D539" s="1306"/>
      <c r="E539" s="1306"/>
      <c r="F539" s="1306"/>
      <c r="G539" s="1306"/>
      <c r="H539" s="1029"/>
      <c r="I539" s="1155"/>
    </row>
    <row r="540" spans="1:9">
      <c r="A540" s="447"/>
      <c r="B540" s="447"/>
      <c r="C540" s="488"/>
      <c r="F540" s="449"/>
      <c r="I540" s="491"/>
    </row>
    <row r="541" spans="1:9">
      <c r="B541" s="1301" t="s">
        <v>446</v>
      </c>
      <c r="C541" s="1301"/>
      <c r="D541" s="1301"/>
      <c r="E541" s="1301"/>
      <c r="F541" s="1301"/>
      <c r="I541" s="491"/>
    </row>
    <row r="542" spans="1:9">
      <c r="A542" s="447"/>
      <c r="B542" s="447"/>
      <c r="C542" s="488"/>
      <c r="D542" s="447"/>
      <c r="F542" s="447"/>
      <c r="I542" s="491"/>
    </row>
    <row r="543" spans="1:9">
      <c r="A543" s="1298" t="s">
        <v>1052</v>
      </c>
      <c r="B543" s="1298"/>
      <c r="C543" s="1298"/>
      <c r="D543" s="1298"/>
      <c r="E543" s="1298"/>
      <c r="F543" s="1298"/>
      <c r="G543" s="1298"/>
      <c r="H543" s="1029"/>
      <c r="I543" s="1155"/>
    </row>
    <row r="544" spans="1:9">
      <c r="A544" s="447"/>
      <c r="B544" s="447"/>
      <c r="C544" s="488"/>
      <c r="D544" s="447"/>
      <c r="F544" s="447"/>
      <c r="I544" s="491"/>
    </row>
    <row r="545" spans="1:9">
      <c r="C545" s="488"/>
      <c r="D545" s="1307" t="s">
        <v>683</v>
      </c>
      <c r="E545" s="1307"/>
      <c r="F545" s="1307"/>
      <c r="I545" s="491"/>
    </row>
    <row r="546" spans="1:9">
      <c r="C546" s="488"/>
      <c r="D546" s="1297" t="s">
        <v>1080</v>
      </c>
      <c r="E546" s="1297"/>
      <c r="F546" s="1297"/>
      <c r="I546" s="491"/>
    </row>
    <row r="547" spans="1:9">
      <c r="C547" s="488"/>
      <c r="D547" s="447"/>
      <c r="E547" s="447"/>
      <c r="F547" s="447"/>
      <c r="I547" s="491"/>
    </row>
    <row r="548" spans="1:9" ht="13.7" customHeight="1">
      <c r="A548" s="485"/>
      <c r="B548" s="486" t="s">
        <v>2747</v>
      </c>
      <c r="C548" s="488"/>
      <c r="D548" s="1297" t="s">
        <v>884</v>
      </c>
      <c r="E548" s="1297"/>
      <c r="F548" s="1297"/>
      <c r="I548" s="491"/>
    </row>
    <row r="549" spans="1:9" ht="13.7" customHeight="1">
      <c r="A549" s="488"/>
      <c r="B549" s="488"/>
      <c r="C549" s="488"/>
      <c r="D549" s="447"/>
      <c r="I549" s="491"/>
    </row>
    <row r="550" spans="1:9" ht="14.25">
      <c r="A550" s="485"/>
      <c r="B550" s="486" t="s">
        <v>2747</v>
      </c>
      <c r="C550" s="488"/>
      <c r="D550" s="1299" t="s">
        <v>1081</v>
      </c>
      <c r="E550" s="1299"/>
      <c r="F550" s="1299"/>
      <c r="I550" s="491"/>
    </row>
    <row r="551" spans="1:9">
      <c r="A551" s="488"/>
      <c r="B551" s="488"/>
      <c r="C551" s="488"/>
      <c r="D551" s="1299"/>
      <c r="E551" s="1299"/>
      <c r="F551" s="1299"/>
      <c r="I551" s="491"/>
    </row>
    <row r="552" spans="1:9">
      <c r="A552" s="488"/>
      <c r="B552" s="488"/>
      <c r="C552" s="488"/>
      <c r="D552" s="447"/>
      <c r="E552" s="447"/>
      <c r="F552" s="447"/>
      <c r="I552" s="491"/>
    </row>
    <row r="553" spans="1:9" ht="14.25">
      <c r="A553" s="485"/>
      <c r="B553" s="486" t="s">
        <v>2747</v>
      </c>
      <c r="C553" s="488"/>
      <c r="D553" s="1299" t="s">
        <v>1082</v>
      </c>
      <c r="E553" s="1299"/>
      <c r="F553" s="1299"/>
      <c r="I553" s="491"/>
    </row>
    <row r="554" spans="1:9">
      <c r="A554" s="488"/>
      <c r="B554" s="488"/>
      <c r="C554" s="488"/>
      <c r="D554" s="1299"/>
      <c r="E554" s="1299"/>
      <c r="F554" s="1299"/>
      <c r="I554" s="491"/>
    </row>
    <row r="555" spans="1:9">
      <c r="A555" s="488"/>
      <c r="B555" s="488"/>
      <c r="C555" s="488"/>
      <c r="D555" s="447"/>
      <c r="E555" s="447"/>
      <c r="F555" s="447"/>
      <c r="I555" s="491"/>
    </row>
    <row r="556" spans="1:9" ht="14.25">
      <c r="A556" s="485"/>
      <c r="B556" s="486" t="s">
        <v>2747</v>
      </c>
      <c r="C556" s="488"/>
      <c r="D556" s="1299" t="s">
        <v>1083</v>
      </c>
      <c r="E556" s="1299"/>
      <c r="F556" s="1299"/>
      <c r="I556" s="491"/>
    </row>
    <row r="557" spans="1:9">
      <c r="A557" s="488"/>
      <c r="B557" s="488"/>
      <c r="C557" s="488"/>
      <c r="D557" s="1299"/>
      <c r="E557" s="1299"/>
      <c r="F557" s="1299"/>
      <c r="I557" s="491"/>
    </row>
    <row r="558" spans="1:9">
      <c r="A558" s="488"/>
      <c r="B558" s="488"/>
      <c r="C558" s="488"/>
      <c r="D558" s="447"/>
      <c r="E558" s="447"/>
      <c r="F558" s="447"/>
      <c r="I558" s="491"/>
    </row>
    <row r="559" spans="1:9" ht="14.25">
      <c r="A559" s="485"/>
      <c r="B559" s="486" t="s">
        <v>2747</v>
      </c>
      <c r="C559" s="488"/>
      <c r="D559" s="1299" t="s">
        <v>1084</v>
      </c>
      <c r="E559" s="1299"/>
      <c r="F559" s="1299"/>
      <c r="I559" s="491"/>
    </row>
    <row r="560" spans="1:9">
      <c r="A560" s="488"/>
      <c r="B560" s="488"/>
      <c r="C560" s="488"/>
      <c r="D560" s="1299"/>
      <c r="E560" s="1299"/>
      <c r="F560" s="1299"/>
      <c r="I560" s="491"/>
    </row>
    <row r="561" spans="1:9">
      <c r="A561" s="488"/>
      <c r="B561" s="488"/>
      <c r="C561" s="488"/>
      <c r="D561" s="1299"/>
      <c r="E561" s="1299"/>
      <c r="F561" s="1299"/>
      <c r="I561" s="491"/>
    </row>
    <row r="562" spans="1:9">
      <c r="A562" s="488"/>
      <c r="B562" s="488"/>
      <c r="C562" s="488"/>
      <c r="D562" s="447"/>
      <c r="E562" s="447"/>
      <c r="F562" s="447"/>
      <c r="I562" s="491"/>
    </row>
    <row r="563" spans="1:9" ht="14.25">
      <c r="A563" s="485"/>
      <c r="B563" s="486" t="s">
        <v>2747</v>
      </c>
      <c r="C563" s="488"/>
      <c r="D563" s="1299" t="s">
        <v>2249</v>
      </c>
      <c r="E563" s="1299"/>
      <c r="F563" s="1299"/>
      <c r="I563" s="491"/>
    </row>
    <row r="564" spans="1:9">
      <c r="A564" s="488"/>
      <c r="B564" s="488"/>
      <c r="C564" s="488"/>
      <c r="D564" s="1299"/>
      <c r="E564" s="1299"/>
      <c r="F564" s="1299"/>
      <c r="I564" s="491"/>
    </row>
    <row r="565" spans="1:9">
      <c r="A565" s="488"/>
      <c r="B565" s="488"/>
      <c r="C565" s="488"/>
      <c r="D565" s="447"/>
      <c r="E565" s="447"/>
      <c r="F565" s="447"/>
      <c r="I565" s="491"/>
    </row>
    <row r="566" spans="1:9" ht="14.25">
      <c r="A566" s="485"/>
      <c r="B566" s="486" t="s">
        <v>2743</v>
      </c>
      <c r="C566" s="488"/>
      <c r="D566" s="1299" t="s">
        <v>1085</v>
      </c>
      <c r="E566" s="1299"/>
      <c r="F566" s="1299"/>
      <c r="I566" s="491"/>
    </row>
    <row r="567" spans="1:9">
      <c r="A567" s="488"/>
      <c r="B567" s="488"/>
      <c r="C567" s="488"/>
      <c r="D567" s="1299"/>
      <c r="E567" s="1299"/>
      <c r="F567" s="1299"/>
      <c r="I567" s="491"/>
    </row>
    <row r="568" spans="1:9">
      <c r="A568" s="488"/>
      <c r="B568" s="488"/>
      <c r="C568" s="488"/>
      <c r="D568" s="447"/>
      <c r="E568" s="447"/>
      <c r="F568" s="447"/>
      <c r="I568" s="491"/>
    </row>
    <row r="569" spans="1:9" ht="14.25">
      <c r="A569" s="485"/>
      <c r="B569" s="486" t="s">
        <v>2743</v>
      </c>
      <c r="C569" s="488"/>
      <c r="D569" s="1297" t="s">
        <v>1086</v>
      </c>
      <c r="E569" s="1297"/>
      <c r="F569" s="1297"/>
      <c r="I569" s="491"/>
    </row>
    <row r="570" spans="1:9">
      <c r="A570" s="491"/>
      <c r="B570" s="491"/>
      <c r="C570" s="488"/>
      <c r="D570" s="1297" t="s">
        <v>1906</v>
      </c>
      <c r="E570" s="1297"/>
      <c r="F570" s="1297"/>
      <c r="I570" s="491"/>
    </row>
    <row r="571" spans="1:9">
      <c r="A571" s="491"/>
      <c r="B571" s="491"/>
      <c r="C571" s="488"/>
      <c r="E571" s="96" t="s">
        <v>1905</v>
      </c>
      <c r="F571" s="405"/>
      <c r="I571" s="491"/>
    </row>
    <row r="572" spans="1:9" ht="14.25">
      <c r="A572" s="485"/>
      <c r="B572" s="485"/>
      <c r="C572" s="488"/>
      <c r="E572" s="447"/>
      <c r="F572" s="447"/>
      <c r="I572" s="491"/>
    </row>
    <row r="573" spans="1:9" ht="14.25">
      <c r="A573" s="485"/>
      <c r="B573" s="486" t="s">
        <v>2743</v>
      </c>
      <c r="C573" s="488"/>
      <c r="D573" s="1297" t="s">
        <v>1087</v>
      </c>
      <c r="E573" s="1297"/>
      <c r="F573" s="1297"/>
      <c r="I573" s="491"/>
    </row>
    <row r="574" spans="1:9">
      <c r="C574" s="488"/>
      <c r="D574" s="1299" t="s">
        <v>1088</v>
      </c>
      <c r="E574" s="1299"/>
      <c r="F574" s="1299"/>
      <c r="I574" s="491"/>
    </row>
    <row r="575" spans="1:9">
      <c r="A575" s="488"/>
      <c r="B575" s="488"/>
      <c r="C575" s="488"/>
      <c r="D575" s="1299"/>
      <c r="E575" s="1299"/>
      <c r="F575" s="1299"/>
      <c r="I575" s="491"/>
    </row>
    <row r="576" spans="1:9">
      <c r="A576" s="488"/>
      <c r="B576" s="488"/>
      <c r="C576" s="488"/>
      <c r="D576" s="1299"/>
      <c r="E576" s="1299"/>
      <c r="F576" s="1299"/>
      <c r="I576" s="491"/>
    </row>
    <row r="577" spans="1:9">
      <c r="A577" s="488"/>
      <c r="B577" s="488"/>
      <c r="C577" s="488"/>
      <c r="D577" s="447"/>
      <c r="E577" s="447"/>
      <c r="F577" s="447"/>
      <c r="I577" s="491"/>
    </row>
    <row r="578" spans="1:9" ht="14.25">
      <c r="A578" s="485"/>
      <c r="B578" s="486" t="s">
        <v>2743</v>
      </c>
      <c r="C578" s="488"/>
      <c r="D578" s="1299" t="s">
        <v>2063</v>
      </c>
      <c r="E578" s="1299"/>
      <c r="F578" s="1299"/>
      <c r="I578" s="491"/>
    </row>
    <row r="579" spans="1:9" ht="14.25">
      <c r="A579" s="485"/>
      <c r="B579" s="485"/>
      <c r="C579" s="488"/>
      <c r="D579" s="1299"/>
      <c r="E579" s="1299"/>
      <c r="F579" s="1299"/>
      <c r="I579" s="491"/>
    </row>
    <row r="580" spans="1:9" ht="14.25">
      <c r="A580" s="485"/>
      <c r="B580" s="485"/>
      <c r="C580" s="488"/>
      <c r="D580" s="1299"/>
      <c r="E580" s="1299"/>
      <c r="F580" s="1299"/>
      <c r="I580" s="491"/>
    </row>
    <row r="581" spans="1:9" ht="14.25">
      <c r="A581" s="485"/>
      <c r="B581" s="485"/>
      <c r="C581" s="488"/>
      <c r="D581" s="1299"/>
      <c r="E581" s="1299"/>
      <c r="F581" s="1299"/>
      <c r="I581" s="491"/>
    </row>
    <row r="582" spans="1:9" ht="14.25">
      <c r="A582" s="485"/>
      <c r="B582" s="485"/>
      <c r="C582" s="488"/>
      <c r="D582" s="447"/>
      <c r="E582" s="447"/>
      <c r="F582" s="447"/>
      <c r="I582" s="491"/>
    </row>
    <row r="583" spans="1:9">
      <c r="A583" s="1306" t="s">
        <v>1053</v>
      </c>
      <c r="B583" s="1306"/>
      <c r="C583" s="1306"/>
      <c r="D583" s="1306"/>
      <c r="E583" s="1306"/>
      <c r="F583" s="1306"/>
      <c r="G583" s="1306"/>
      <c r="H583" s="1029"/>
      <c r="I583" s="1155"/>
    </row>
    <row r="584" spans="1:9">
      <c r="A584" s="488"/>
      <c r="B584" s="488"/>
      <c r="C584" s="488"/>
      <c r="E584" s="447"/>
      <c r="F584" s="447"/>
      <c r="I584" s="491"/>
    </row>
    <row r="585" spans="1:9" ht="12.75" customHeight="1">
      <c r="C585" s="483"/>
      <c r="D585" s="1315" t="s">
        <v>209</v>
      </c>
      <c r="E585" s="1315"/>
      <c r="F585" s="1315"/>
      <c r="I585" s="491"/>
    </row>
    <row r="586" spans="1:9">
      <c r="A586" s="484"/>
      <c r="B586" s="484"/>
      <c r="C586" s="484"/>
      <c r="D586" s="1311" t="s">
        <v>1066</v>
      </c>
      <c r="E586" s="1311"/>
      <c r="F586" s="1311"/>
      <c r="I586" s="491"/>
    </row>
    <row r="587" spans="1:9">
      <c r="A587" s="403"/>
      <c r="B587" s="403"/>
      <c r="C587" s="484"/>
      <c r="D587" s="500"/>
      <c r="I587" s="491"/>
    </row>
    <row r="588" spans="1:9">
      <c r="A588" s="484"/>
      <c r="B588" s="486" t="s">
        <v>2743</v>
      </c>
      <c r="D588" s="1311" t="s">
        <v>888</v>
      </c>
      <c r="E588" s="1311"/>
      <c r="F588" s="1311"/>
      <c r="I588" s="491"/>
    </row>
    <row r="589" spans="1:9">
      <c r="A589" s="491"/>
      <c r="B589" s="491"/>
      <c r="D589" s="477"/>
      <c r="I589" s="491"/>
    </row>
    <row r="590" spans="1:9">
      <c r="A590" s="491"/>
      <c r="B590" s="486" t="s">
        <v>2743</v>
      </c>
      <c r="D590" s="1311" t="s">
        <v>2064</v>
      </c>
      <c r="E590" s="1311"/>
      <c r="F590" s="1311"/>
      <c r="I590" s="491"/>
    </row>
    <row r="591" spans="1:9">
      <c r="A591" s="491"/>
      <c r="B591" s="491"/>
      <c r="D591" s="1311"/>
      <c r="E591" s="1311"/>
      <c r="F591" s="1311"/>
      <c r="I591" s="491"/>
    </row>
    <row r="592" spans="1:9">
      <c r="A592" s="491"/>
      <c r="B592" s="491"/>
      <c r="D592" s="1311"/>
      <c r="E592" s="1311"/>
      <c r="F592" s="1311"/>
      <c r="I592" s="491"/>
    </row>
    <row r="593" spans="1:9">
      <c r="A593" s="491"/>
      <c r="B593" s="491"/>
      <c r="D593" s="1311"/>
      <c r="E593" s="1311"/>
      <c r="F593" s="1311"/>
      <c r="I593" s="491"/>
    </row>
    <row r="594" spans="1:9">
      <c r="A594" s="491"/>
      <c r="B594" s="486" t="s">
        <v>2747</v>
      </c>
      <c r="D594" s="1311" t="s">
        <v>1067</v>
      </c>
      <c r="E594" s="1311"/>
      <c r="F594" s="1311"/>
      <c r="I594" s="491"/>
    </row>
    <row r="595" spans="1:9">
      <c r="A595" s="491"/>
      <c r="B595" s="491"/>
      <c r="D595" s="1311"/>
      <c r="E595" s="1311"/>
      <c r="F595" s="1311"/>
      <c r="I595" s="491"/>
    </row>
    <row r="596" spans="1:9">
      <c r="A596" s="491"/>
      <c r="B596" s="491"/>
      <c r="D596" s="1311"/>
      <c r="E596" s="1311"/>
      <c r="F596" s="1311"/>
      <c r="I596" s="491"/>
    </row>
    <row r="597" spans="1:9">
      <c r="A597" s="491"/>
      <c r="B597" s="491"/>
      <c r="D597" s="1311"/>
      <c r="E597" s="1311"/>
      <c r="F597" s="1311"/>
      <c r="I597" s="491"/>
    </row>
    <row r="598" spans="1:9">
      <c r="A598" s="491"/>
      <c r="B598" s="491"/>
      <c r="D598" s="441"/>
      <c r="E598" s="441"/>
      <c r="F598" s="441"/>
      <c r="I598" s="491"/>
    </row>
    <row r="599" spans="1:9">
      <c r="A599" s="491"/>
      <c r="B599" s="486" t="s">
        <v>2743</v>
      </c>
      <c r="D599" s="1311" t="s">
        <v>2065</v>
      </c>
      <c r="E599" s="1311"/>
      <c r="F599" s="1311"/>
      <c r="I599" s="491"/>
    </row>
    <row r="600" spans="1:9">
      <c r="A600" s="491"/>
      <c r="B600" s="491"/>
      <c r="D600" s="1311"/>
      <c r="E600" s="1311"/>
      <c r="F600" s="1311"/>
      <c r="I600" s="491"/>
    </row>
    <row r="601" spans="1:9">
      <c r="A601" s="491"/>
      <c r="B601" s="491"/>
      <c r="D601" s="500"/>
      <c r="I601" s="491"/>
    </row>
    <row r="602" spans="1:9">
      <c r="A602" s="491"/>
      <c r="B602" s="486" t="s">
        <v>2747</v>
      </c>
      <c r="D602" s="1311" t="s">
        <v>1068</v>
      </c>
      <c r="E602" s="1311"/>
      <c r="F602" s="1311"/>
      <c r="I602" s="491"/>
    </row>
    <row r="603" spans="1:9">
      <c r="A603" s="491"/>
      <c r="B603" s="491"/>
      <c r="D603" s="1311"/>
      <c r="E603" s="1311"/>
      <c r="F603" s="1311"/>
      <c r="I603" s="491"/>
    </row>
    <row r="604" spans="1:9" ht="14.25">
      <c r="A604" s="485"/>
      <c r="B604" s="485"/>
      <c r="D604" s="500"/>
      <c r="I604" s="491"/>
    </row>
    <row r="605" spans="1:9">
      <c r="A605" s="1306" t="s">
        <v>1054</v>
      </c>
      <c r="B605" s="1306"/>
      <c r="C605" s="1306"/>
      <c r="D605" s="1306"/>
      <c r="E605" s="1306"/>
      <c r="F605" s="1306"/>
      <c r="G605" s="1306"/>
      <c r="H605" s="1029"/>
      <c r="I605" s="1155"/>
    </row>
    <row r="606" spans="1:9">
      <c r="I606" s="491"/>
    </row>
    <row r="607" spans="1:9">
      <c r="D607" s="1307" t="s">
        <v>1106</v>
      </c>
      <c r="E607" s="1307"/>
      <c r="F607" s="1307"/>
      <c r="I607" s="491"/>
    </row>
    <row r="608" spans="1:9">
      <c r="D608" s="1279" t="s">
        <v>1107</v>
      </c>
      <c r="E608" s="1279"/>
      <c r="F608" s="1279"/>
      <c r="I608" s="491"/>
    </row>
    <row r="609" spans="1:9">
      <c r="D609" s="445"/>
      <c r="I609" s="491"/>
    </row>
    <row r="610" spans="1:9" ht="14.25" customHeight="1">
      <c r="A610" s="485"/>
      <c r="B610" s="486" t="s">
        <v>2743</v>
      </c>
      <c r="D610" s="1312" t="s">
        <v>1907</v>
      </c>
      <c r="E610" s="1312"/>
      <c r="F610" s="1312"/>
      <c r="I610" s="491"/>
    </row>
    <row r="611" spans="1:9">
      <c r="D611" s="1312"/>
      <c r="E611" s="1312"/>
      <c r="F611" s="1312"/>
      <c r="I611" s="491"/>
    </row>
    <row r="612" spans="1:9">
      <c r="D612" s="386"/>
      <c r="E612" s="1037" t="s">
        <v>1908</v>
      </c>
      <c r="F612" s="386"/>
      <c r="I612" s="491"/>
    </row>
    <row r="613" spans="1:9">
      <c r="I613" s="491"/>
    </row>
    <row r="614" spans="1:9">
      <c r="A614" s="1306" t="s">
        <v>1055</v>
      </c>
      <c r="B614" s="1306"/>
      <c r="C614" s="1306"/>
      <c r="D614" s="1306"/>
      <c r="E614" s="1306"/>
      <c r="F614" s="1306"/>
      <c r="G614" s="1306"/>
      <c r="H614" s="1029"/>
      <c r="I614" s="1155"/>
    </row>
    <row r="615" spans="1:9">
      <c r="A615" s="447"/>
      <c r="B615" s="447"/>
      <c r="I615" s="491"/>
    </row>
    <row r="616" spans="1:9">
      <c r="A616" s="483"/>
      <c r="B616" s="483"/>
      <c r="C616" s="483"/>
      <c r="D616" s="1296" t="s">
        <v>1108</v>
      </c>
      <c r="E616" s="1296"/>
      <c r="F616" s="1296"/>
      <c r="I616" s="491"/>
    </row>
    <row r="617" spans="1:9">
      <c r="A617" s="483"/>
      <c r="B617" s="483"/>
      <c r="C617" s="483"/>
      <c r="D617" s="1296"/>
      <c r="E617" s="1296"/>
      <c r="F617" s="1296"/>
      <c r="I617" s="491"/>
    </row>
    <row r="618" spans="1:9">
      <c r="C618" s="484"/>
      <c r="D618" s="1279" t="s">
        <v>1109</v>
      </c>
      <c r="E618" s="1279"/>
      <c r="F618" s="1279"/>
      <c r="I618" s="491"/>
    </row>
    <row r="619" spans="1:9">
      <c r="C619" s="484"/>
      <c r="D619" s="445"/>
      <c r="E619" s="445"/>
      <c r="F619" s="445"/>
      <c r="I619" s="491"/>
    </row>
    <row r="620" spans="1:9" ht="12.75" customHeight="1">
      <c r="A620" s="491"/>
      <c r="B620" s="486" t="s">
        <v>2743</v>
      </c>
      <c r="D620" s="1305" t="s">
        <v>1110</v>
      </c>
      <c r="E620" s="1305"/>
      <c r="F620" s="1305"/>
      <c r="I620" s="491"/>
    </row>
    <row r="621" spans="1:9">
      <c r="D621" s="1305"/>
      <c r="E621" s="1305"/>
      <c r="F621" s="1305"/>
      <c r="I621" s="491"/>
    </row>
    <row r="622" spans="1:9">
      <c r="I622" s="491"/>
    </row>
    <row r="623" spans="1:9">
      <c r="B623" s="486" t="s">
        <v>2743</v>
      </c>
      <c r="D623" s="1305" t="s">
        <v>1111</v>
      </c>
      <c r="E623" s="1305"/>
      <c r="F623" s="1305"/>
      <c r="I623" s="491"/>
    </row>
    <row r="624" spans="1:9">
      <c r="C624" s="501"/>
      <c r="D624" s="1305"/>
      <c r="E624" s="1305"/>
      <c r="F624" s="1305"/>
      <c r="I624" s="491"/>
    </row>
    <row r="625" spans="1:9">
      <c r="C625" s="501"/>
      <c r="I625" s="491"/>
    </row>
    <row r="626" spans="1:9">
      <c r="B626" s="486" t="s">
        <v>2747</v>
      </c>
      <c r="C626" s="501"/>
      <c r="D626" s="1305" t="s">
        <v>1112</v>
      </c>
      <c r="E626" s="1305"/>
      <c r="F626" s="1305"/>
      <c r="I626" s="491"/>
    </row>
    <row r="627" spans="1:9">
      <c r="C627" s="501"/>
      <c r="D627" s="1305"/>
      <c r="E627" s="1305"/>
      <c r="F627" s="1305"/>
      <c r="I627" s="501"/>
    </row>
    <row r="628" spans="1:9">
      <c r="C628" s="501"/>
      <c r="I628" s="491"/>
    </row>
    <row r="629" spans="1:9">
      <c r="A629" s="1306" t="s">
        <v>1056</v>
      </c>
      <c r="B629" s="1306"/>
      <c r="C629" s="1306"/>
      <c r="D629" s="1306"/>
      <c r="E629" s="1306"/>
      <c r="F629" s="1306"/>
      <c r="G629" s="1306"/>
      <c r="H629" s="1029"/>
      <c r="I629" s="1155"/>
    </row>
    <row r="630" spans="1:9">
      <c r="A630" s="483"/>
      <c r="B630" s="483"/>
      <c r="C630" s="483"/>
      <c r="I630" s="491"/>
    </row>
    <row r="631" spans="1:9">
      <c r="C631" s="491"/>
      <c r="D631" s="1307" t="s">
        <v>1113</v>
      </c>
      <c r="E631" s="1307"/>
      <c r="F631" s="1307"/>
      <c r="I631" s="491"/>
    </row>
    <row r="632" spans="1:9">
      <c r="A632" s="491"/>
      <c r="B632" s="491"/>
      <c r="D632" s="405"/>
      <c r="I632" s="491"/>
    </row>
    <row r="633" spans="1:9" ht="14.25" customHeight="1">
      <c r="A633" s="485"/>
      <c r="B633" s="486" t="s">
        <v>2743</v>
      </c>
      <c r="D633" s="1312" t="s">
        <v>2066</v>
      </c>
      <c r="E633" s="1312"/>
      <c r="F633" s="1312"/>
      <c r="I633" s="491"/>
    </row>
    <row r="634" spans="1:9">
      <c r="D634" s="1312"/>
      <c r="E634" s="1312"/>
      <c r="F634" s="1312"/>
      <c r="I634" s="491"/>
    </row>
    <row r="635" spans="1:9">
      <c r="D635" s="386"/>
      <c r="E635" s="1037" t="s">
        <v>1910</v>
      </c>
      <c r="F635" s="386"/>
      <c r="I635" s="491"/>
    </row>
    <row r="636" spans="1:9">
      <c r="D636" s="1299" t="s">
        <v>1909</v>
      </c>
      <c r="E636" s="1299"/>
      <c r="F636" s="1299"/>
      <c r="I636" s="491"/>
    </row>
    <row r="637" spans="1:9">
      <c r="D637" s="1299"/>
      <c r="E637" s="1299"/>
      <c r="F637" s="1299"/>
      <c r="I637" s="491"/>
    </row>
    <row r="638" spans="1:9">
      <c r="D638" s="1299"/>
      <c r="E638" s="1299"/>
      <c r="F638" s="1299"/>
      <c r="I638" s="491"/>
    </row>
    <row r="639" spans="1:9">
      <c r="D639" s="446"/>
      <c r="E639" s="446"/>
      <c r="F639" s="446"/>
      <c r="I639" s="491"/>
    </row>
    <row r="640" spans="1:9" ht="14.25">
      <c r="A640" s="485"/>
      <c r="B640" s="486" t="s">
        <v>2747</v>
      </c>
      <c r="D640" s="1299" t="s">
        <v>1114</v>
      </c>
      <c r="E640" s="1299"/>
      <c r="F640" s="1299"/>
      <c r="I640" s="491"/>
    </row>
    <row r="641" spans="1:9">
      <c r="A641" s="488"/>
      <c r="B641" s="488"/>
      <c r="C641" s="488"/>
      <c r="D641" s="1299"/>
      <c r="E641" s="1299"/>
      <c r="F641" s="1299"/>
      <c r="I641" s="491"/>
    </row>
    <row r="642" spans="1:9">
      <c r="A642" s="488"/>
      <c r="B642" s="488"/>
      <c r="C642" s="488"/>
      <c r="D642" s="447"/>
      <c r="E642" s="447"/>
      <c r="F642" s="447"/>
      <c r="I642" s="491"/>
    </row>
    <row r="643" spans="1:9" ht="14.25">
      <c r="A643" s="485"/>
      <c r="B643" s="486" t="s">
        <v>2747</v>
      </c>
      <c r="C643" s="488"/>
      <c r="D643" s="1299" t="s">
        <v>1224</v>
      </c>
      <c r="E643" s="1299"/>
      <c r="F643" s="1299"/>
      <c r="I643" s="491"/>
    </row>
    <row r="644" spans="1:9" ht="14.25">
      <c r="A644" s="485"/>
      <c r="B644" s="485"/>
      <c r="C644" s="488"/>
      <c r="D644" s="1299"/>
      <c r="E644" s="1299"/>
      <c r="F644" s="1299"/>
      <c r="I644" s="491"/>
    </row>
    <row r="645" spans="1:9" ht="14.25">
      <c r="A645" s="485"/>
      <c r="B645" s="485"/>
      <c r="C645" s="488"/>
      <c r="D645" s="1299"/>
      <c r="E645" s="1299"/>
      <c r="F645" s="1299"/>
      <c r="I645" s="491"/>
    </row>
    <row r="646" spans="1:9">
      <c r="A646" s="488"/>
      <c r="B646" s="486" t="s">
        <v>2747</v>
      </c>
      <c r="C646" s="488"/>
      <c r="D646" s="1297" t="s">
        <v>1115</v>
      </c>
      <c r="E646" s="1297"/>
      <c r="F646" s="1297"/>
      <c r="I646" s="491"/>
    </row>
    <row r="647" spans="1:9">
      <c r="A647" s="488"/>
      <c r="B647" s="488"/>
      <c r="C647" s="488"/>
      <c r="D647" s="447"/>
      <c r="E647" s="447"/>
      <c r="F647" s="447"/>
      <c r="I647" s="491"/>
    </row>
    <row r="648" spans="1:9">
      <c r="A648" s="1306" t="s">
        <v>1057</v>
      </c>
      <c r="B648" s="1306"/>
      <c r="C648" s="1306"/>
      <c r="D648" s="1306"/>
      <c r="E648" s="1306"/>
      <c r="F648" s="1306"/>
      <c r="G648" s="1306"/>
      <c r="H648" s="1029"/>
      <c r="I648" s="1155"/>
    </row>
    <row r="649" spans="1:9">
      <c r="A649" s="447"/>
      <c r="B649" s="447"/>
      <c r="C649" s="488"/>
      <c r="D649" s="447"/>
      <c r="E649" s="447"/>
      <c r="F649" s="447"/>
      <c r="I649" s="491"/>
    </row>
    <row r="650" spans="1:9">
      <c r="C650" s="483"/>
      <c r="D650" s="1307" t="s">
        <v>1145</v>
      </c>
      <c r="E650" s="1307"/>
      <c r="F650" s="1307"/>
      <c r="I650" s="491"/>
    </row>
    <row r="651" spans="1:9">
      <c r="A651" s="484"/>
      <c r="B651" s="484"/>
      <c r="C651" s="484"/>
      <c r="D651" s="1297" t="s">
        <v>1146</v>
      </c>
      <c r="E651" s="1297"/>
      <c r="F651" s="1297"/>
      <c r="I651" s="491"/>
    </row>
    <row r="652" spans="1:9">
      <c r="A652" s="484"/>
      <c r="B652" s="484"/>
      <c r="C652" s="484"/>
      <c r="D652" s="447"/>
      <c r="E652" s="447"/>
      <c r="F652" s="447"/>
      <c r="I652" s="491"/>
    </row>
    <row r="653" spans="1:9" ht="12.75" customHeight="1">
      <c r="B653" s="486" t="s">
        <v>2747</v>
      </c>
      <c r="C653" s="488"/>
      <c r="D653" s="1299" t="s">
        <v>1280</v>
      </c>
      <c r="E653" s="1299"/>
      <c r="F653" s="1299"/>
      <c r="I653" s="491"/>
    </row>
    <row r="654" spans="1:9">
      <c r="D654" s="1299"/>
      <c r="E654" s="1299"/>
      <c r="F654" s="1299"/>
      <c r="I654" s="491"/>
    </row>
    <row r="655" spans="1:9">
      <c r="D655" s="1299"/>
      <c r="E655" s="1299"/>
      <c r="F655" s="1299"/>
      <c r="I655" s="491"/>
    </row>
    <row r="656" spans="1:9">
      <c r="D656" s="1299"/>
      <c r="E656" s="1299"/>
      <c r="F656" s="1299"/>
      <c r="I656" s="491"/>
    </row>
    <row r="657" spans="1:9" ht="14.45" customHeight="1">
      <c r="A657" s="485"/>
      <c r="B657" s="485"/>
      <c r="C657" s="488"/>
      <c r="D657" s="386"/>
      <c r="E657" s="386"/>
      <c r="F657" s="386"/>
      <c r="I657" s="491"/>
    </row>
    <row r="658" spans="1:9" ht="12.75" customHeight="1">
      <c r="A658" s="484"/>
      <c r="B658" s="486" t="s">
        <v>2747</v>
      </c>
      <c r="C658" s="488"/>
      <c r="D658" s="1299" t="s">
        <v>1282</v>
      </c>
      <c r="E658" s="1299"/>
      <c r="F658" s="1299"/>
      <c r="I658" s="491"/>
    </row>
    <row r="659" spans="1:9" ht="14.25">
      <c r="A659" s="484"/>
      <c r="B659" s="485"/>
      <c r="C659" s="488"/>
      <c r="D659" s="1299"/>
      <c r="E659" s="1299"/>
      <c r="F659" s="1299"/>
      <c r="I659" s="491"/>
    </row>
    <row r="660" spans="1:9" ht="14.25">
      <c r="A660" s="484"/>
      <c r="B660" s="485"/>
      <c r="C660" s="488"/>
      <c r="D660" s="1299"/>
      <c r="E660" s="1299"/>
      <c r="F660" s="1299"/>
      <c r="I660" s="491"/>
    </row>
    <row r="661" spans="1:9" ht="14.25">
      <c r="A661" s="484"/>
      <c r="B661" s="485"/>
      <c r="C661" s="488"/>
      <c r="D661" s="1299"/>
      <c r="E661" s="1299"/>
      <c r="F661" s="1299"/>
      <c r="I661" s="491"/>
    </row>
    <row r="662" spans="1:9" ht="14.25">
      <c r="A662" s="484"/>
      <c r="B662" s="485"/>
      <c r="C662" s="488"/>
      <c r="D662" s="1299"/>
      <c r="E662" s="1299"/>
      <c r="F662" s="1299"/>
      <c r="I662" s="491"/>
    </row>
    <row r="663" spans="1:9" ht="14.25" customHeight="1">
      <c r="A663" s="484"/>
      <c r="B663" s="485"/>
      <c r="C663" s="488"/>
      <c r="F663" s="387"/>
      <c r="I663" s="491"/>
    </row>
    <row r="664" spans="1:9" ht="12.75" customHeight="1">
      <c r="A664" s="484"/>
      <c r="B664" s="486" t="s">
        <v>2747</v>
      </c>
      <c r="C664" s="488"/>
      <c r="D664" s="1299" t="s">
        <v>1281</v>
      </c>
      <c r="E664" s="1299"/>
      <c r="F664" s="1299"/>
      <c r="I664" s="491"/>
    </row>
    <row r="665" spans="1:9" ht="14.25">
      <c r="A665" s="484"/>
      <c r="B665" s="485"/>
      <c r="C665" s="488"/>
      <c r="D665" s="1299"/>
      <c r="E665" s="1299"/>
      <c r="F665" s="1299"/>
      <c r="I665" s="491"/>
    </row>
    <row r="666" spans="1:9" ht="14.25">
      <c r="A666" s="485"/>
      <c r="B666" s="485"/>
      <c r="C666" s="488"/>
      <c r="D666" s="1299"/>
      <c r="E666" s="1299"/>
      <c r="F666" s="1299"/>
      <c r="I666" s="491"/>
    </row>
    <row r="667" spans="1:9" ht="14.25">
      <c r="A667" s="485"/>
      <c r="B667" s="485"/>
      <c r="C667" s="488"/>
      <c r="D667" s="1299"/>
      <c r="E667" s="1299"/>
      <c r="F667" s="1299"/>
      <c r="I667" s="491"/>
    </row>
    <row r="668" spans="1:9" ht="14.25">
      <c r="A668" s="485"/>
      <c r="B668" s="485"/>
      <c r="C668" s="488"/>
      <c r="D668" s="446"/>
      <c r="E668" s="446"/>
      <c r="F668" s="446"/>
      <c r="I668" s="491"/>
    </row>
    <row r="669" spans="1:9" ht="12.75" customHeight="1">
      <c r="A669" s="484"/>
      <c r="B669" s="486" t="s">
        <v>2747</v>
      </c>
      <c r="C669" s="488"/>
      <c r="D669" s="1299" t="s">
        <v>2067</v>
      </c>
      <c r="E669" s="1299"/>
      <c r="F669" s="1299"/>
      <c r="I669" s="491"/>
    </row>
    <row r="670" spans="1:9" ht="12.75" customHeight="1">
      <c r="A670" s="484"/>
      <c r="B670" s="485"/>
      <c r="C670" s="488"/>
      <c r="D670" s="1299"/>
      <c r="E670" s="1299"/>
      <c r="F670" s="1299"/>
      <c r="I670" s="491"/>
    </row>
    <row r="671" spans="1:9" ht="12.75" customHeight="1">
      <c r="A671" s="484"/>
      <c r="B671" s="485"/>
      <c r="C671" s="488"/>
      <c r="D671" s="1299"/>
      <c r="E671" s="1299"/>
      <c r="F671" s="1299"/>
      <c r="I671" s="491"/>
    </row>
    <row r="672" spans="1:9" ht="12.75" customHeight="1">
      <c r="A672" s="484"/>
      <c r="B672" s="485"/>
      <c r="C672" s="488"/>
      <c r="D672" s="1299"/>
      <c r="E672" s="1299"/>
      <c r="F672" s="1299"/>
      <c r="I672" s="491"/>
    </row>
    <row r="673" spans="1:11" ht="12.75" customHeight="1">
      <c r="A673" s="484"/>
      <c r="B673" s="485"/>
      <c r="C673" s="488"/>
      <c r="D673" s="1299"/>
      <c r="E673" s="1299"/>
      <c r="F673" s="1299"/>
      <c r="I673" s="491"/>
    </row>
    <row r="674" spans="1:11" ht="12.75" customHeight="1">
      <c r="A674" s="484"/>
      <c r="B674" s="485"/>
      <c r="C674" s="488"/>
      <c r="D674" s="1299"/>
      <c r="E674" s="1299"/>
      <c r="F674" s="1299"/>
      <c r="I674" s="491"/>
    </row>
    <row r="675" spans="1:11" ht="12.75" customHeight="1">
      <c r="A675" s="484"/>
      <c r="B675" s="485"/>
      <c r="C675" s="488"/>
      <c r="D675" s="1299"/>
      <c r="E675" s="1299"/>
      <c r="F675" s="1299"/>
      <c r="I675" s="491"/>
    </row>
    <row r="676" spans="1:11" ht="12.75" customHeight="1">
      <c r="A676" s="484"/>
      <c r="B676" s="485"/>
      <c r="C676" s="488"/>
      <c r="D676" s="1299"/>
      <c r="E676" s="1299"/>
      <c r="F676" s="1299"/>
      <c r="I676" s="491"/>
    </row>
    <row r="677" spans="1:11" ht="12.75" customHeight="1">
      <c r="A677" s="484"/>
      <c r="B677" s="485"/>
      <c r="C677" s="488"/>
      <c r="D677" s="1299"/>
      <c r="E677" s="1299"/>
      <c r="F677" s="1299"/>
      <c r="I677" s="491"/>
    </row>
    <row r="678" spans="1:11">
      <c r="A678" s="488"/>
      <c r="B678" s="488"/>
      <c r="C678" s="488"/>
      <c r="D678" s="447"/>
      <c r="E678" s="447"/>
      <c r="F678" s="447"/>
      <c r="I678" s="491"/>
    </row>
    <row r="679" spans="1:11">
      <c r="A679" s="1306" t="s">
        <v>1058</v>
      </c>
      <c r="B679" s="1306"/>
      <c r="C679" s="1306"/>
      <c r="D679" s="1306"/>
      <c r="E679" s="1306"/>
      <c r="F679" s="1306"/>
      <c r="G679" s="1306"/>
      <c r="H679" s="1031"/>
      <c r="I679" s="1159"/>
      <c r="J679" s="502"/>
      <c r="K679" s="502"/>
    </row>
    <row r="680" spans="1:11">
      <c r="A680" s="449"/>
      <c r="B680" s="449"/>
      <c r="C680" s="449"/>
      <c r="D680" s="449"/>
      <c r="E680" s="449"/>
      <c r="F680" s="449"/>
      <c r="G680" s="449"/>
      <c r="H680" s="502"/>
      <c r="I680" s="484"/>
      <c r="J680" s="502"/>
      <c r="K680" s="502"/>
    </row>
    <row r="681" spans="1:11">
      <c r="C681" s="483"/>
      <c r="D681" s="1307" t="s">
        <v>99</v>
      </c>
      <c r="E681" s="1307"/>
      <c r="F681" s="1307"/>
      <c r="H681" s="502"/>
      <c r="I681" s="484"/>
      <c r="J681" s="502"/>
      <c r="K681" s="502"/>
    </row>
    <row r="682" spans="1:11">
      <c r="A682" s="483"/>
      <c r="B682" s="483"/>
      <c r="C682" s="483"/>
      <c r="D682" s="1307" t="s">
        <v>123</v>
      </c>
      <c r="E682" s="1307"/>
      <c r="F682" s="1307"/>
      <c r="H682" s="502"/>
      <c r="I682" s="484"/>
      <c r="J682" s="502"/>
      <c r="K682" s="502"/>
    </row>
    <row r="683" spans="1:11">
      <c r="A683" s="484"/>
      <c r="B683" s="484"/>
      <c r="C683" s="484"/>
      <c r="D683" s="1297" t="s">
        <v>1075</v>
      </c>
      <c r="E683" s="1297"/>
      <c r="F683" s="1297"/>
      <c r="H683" s="502"/>
      <c r="I683" s="484"/>
      <c r="J683" s="502"/>
      <c r="K683" s="502"/>
    </row>
    <row r="684" spans="1:11">
      <c r="A684" s="484"/>
      <c r="B684" s="484"/>
      <c r="C684" s="484"/>
      <c r="H684" s="502"/>
      <c r="I684" s="484"/>
      <c r="J684" s="502"/>
      <c r="K684" s="502"/>
    </row>
    <row r="685" spans="1:11" ht="14.25">
      <c r="A685" s="485"/>
      <c r="B685" s="486" t="s">
        <v>2747</v>
      </c>
      <c r="C685" s="484"/>
      <c r="D685" s="1297" t="s">
        <v>885</v>
      </c>
      <c r="E685" s="1297"/>
      <c r="F685" s="1297"/>
      <c r="H685" s="502"/>
      <c r="I685" s="484"/>
      <c r="J685" s="502"/>
      <c r="K685" s="502"/>
    </row>
    <row r="686" spans="1:11">
      <c r="A686" s="484"/>
      <c r="B686" s="484"/>
      <c r="C686" s="484"/>
      <c r="D686" s="1297" t="s">
        <v>894</v>
      </c>
      <c r="E686" s="1297"/>
      <c r="F686" s="1297"/>
      <c r="H686" s="502"/>
      <c r="I686" s="484"/>
      <c r="J686" s="502"/>
      <c r="K686" s="502"/>
    </row>
    <row r="687" spans="1:11" ht="12.75" customHeight="1">
      <c r="A687" s="484"/>
      <c r="B687" s="484"/>
      <c r="C687" s="484"/>
      <c r="E687" s="1037" t="s">
        <v>1912</v>
      </c>
      <c r="F687" s="421"/>
      <c r="H687" s="502"/>
      <c r="I687" s="484"/>
      <c r="J687" s="502"/>
      <c r="K687" s="502"/>
    </row>
    <row r="688" spans="1:11">
      <c r="A688" s="484"/>
      <c r="B688" s="484"/>
      <c r="C688" s="484"/>
      <c r="E688" s="502" t="s">
        <v>1911</v>
      </c>
      <c r="F688" s="421"/>
      <c r="I688" s="484"/>
      <c r="J688" s="502"/>
      <c r="K688" s="502"/>
    </row>
    <row r="689" spans="1:11">
      <c r="A689" s="484"/>
      <c r="B689" s="484"/>
      <c r="C689" s="484"/>
      <c r="D689" s="503"/>
      <c r="E689" s="447"/>
      <c r="H689" s="502"/>
      <c r="I689" s="484"/>
      <c r="J689" s="502"/>
      <c r="K689" s="502"/>
    </row>
    <row r="690" spans="1:11" ht="14.25">
      <c r="A690" s="485"/>
      <c r="B690" s="486" t="s">
        <v>2747</v>
      </c>
      <c r="C690" s="484"/>
      <c r="D690" s="1299" t="s">
        <v>2068</v>
      </c>
      <c r="E690" s="1299"/>
      <c r="F690" s="1299"/>
      <c r="H690" s="502"/>
      <c r="I690" s="484"/>
      <c r="J690" s="502"/>
      <c r="K690" s="502"/>
    </row>
    <row r="691" spans="1:11">
      <c r="A691" s="491"/>
      <c r="B691" s="491"/>
      <c r="C691" s="484"/>
      <c r="D691" s="1299"/>
      <c r="E691" s="1299"/>
      <c r="F691" s="1299"/>
      <c r="H691" s="502"/>
      <c r="I691" s="484"/>
      <c r="J691" s="502"/>
      <c r="K691" s="502"/>
    </row>
    <row r="692" spans="1:11">
      <c r="A692" s="484"/>
      <c r="B692" s="484"/>
      <c r="C692" s="484"/>
      <c r="D692" s="1299"/>
      <c r="E692" s="1299"/>
      <c r="F692" s="1299"/>
      <c r="H692" s="502"/>
      <c r="I692" s="484"/>
      <c r="J692" s="502"/>
      <c r="K692" s="502"/>
    </row>
    <row r="693" spans="1:11">
      <c r="A693" s="484"/>
      <c r="B693" s="484"/>
      <c r="C693" s="484"/>
      <c r="H693" s="502"/>
      <c r="J693" s="502"/>
      <c r="K693" s="502"/>
    </row>
    <row r="694" spans="1:11" ht="14.25">
      <c r="A694" s="485"/>
      <c r="B694" s="486" t="s">
        <v>2743</v>
      </c>
      <c r="C694" s="484"/>
      <c r="D694" s="1297" t="s">
        <v>917</v>
      </c>
      <c r="E694" s="1297"/>
      <c r="F694" s="1297"/>
      <c r="H694" s="502"/>
      <c r="I694" s="484"/>
      <c r="J694" s="502"/>
      <c r="K694" s="502"/>
    </row>
    <row r="695" spans="1:11" ht="14.25">
      <c r="A695" s="485"/>
      <c r="B695" s="485"/>
      <c r="C695" s="484"/>
      <c r="D695" s="1297" t="s">
        <v>894</v>
      </c>
      <c r="E695" s="1297"/>
      <c r="F695" s="1297"/>
      <c r="H695" s="502"/>
      <c r="I695" s="484"/>
      <c r="J695" s="502"/>
      <c r="K695" s="502"/>
    </row>
    <row r="696" spans="1:11">
      <c r="A696" s="484"/>
      <c r="B696" s="484"/>
      <c r="C696" s="484"/>
      <c r="E696" s="1037" t="s">
        <v>1913</v>
      </c>
      <c r="F696" s="405"/>
      <c r="H696" s="502"/>
      <c r="I696" s="484"/>
      <c r="J696" s="502"/>
      <c r="K696" s="502"/>
    </row>
    <row r="697" spans="1:11">
      <c r="A697" s="484"/>
      <c r="B697" s="484"/>
      <c r="C697" s="484"/>
      <c r="D697" s="405"/>
      <c r="H697" s="502"/>
      <c r="I697" s="484"/>
      <c r="J697" s="502"/>
      <c r="K697" s="502"/>
    </row>
    <row r="698" spans="1:11" ht="14.25">
      <c r="A698" s="485"/>
      <c r="B698" s="486" t="s">
        <v>2747</v>
      </c>
      <c r="C698" s="484"/>
      <c r="D698" s="1297" t="s">
        <v>2471</v>
      </c>
      <c r="E698" s="1297"/>
      <c r="F698" s="1297"/>
      <c r="H698" s="502"/>
      <c r="I698" s="484"/>
      <c r="J698" s="502"/>
      <c r="K698" s="502"/>
    </row>
    <row r="699" spans="1:11" ht="14.25">
      <c r="A699" s="485"/>
      <c r="B699" s="485"/>
      <c r="C699" s="484"/>
      <c r="D699" s="1297" t="s">
        <v>894</v>
      </c>
      <c r="E699" s="1297"/>
      <c r="F699" s="1297"/>
      <c r="H699" s="502"/>
      <c r="I699" s="484"/>
      <c r="J699" s="502"/>
      <c r="K699" s="502"/>
    </row>
    <row r="700" spans="1:11">
      <c r="A700" s="484"/>
      <c r="B700" s="484"/>
      <c r="C700" s="484"/>
      <c r="E700" s="1037" t="s">
        <v>2472</v>
      </c>
      <c r="F700" s="405"/>
      <c r="H700" s="502"/>
      <c r="I700" s="484"/>
      <c r="J700" s="502"/>
      <c r="K700" s="502"/>
    </row>
    <row r="701" spans="1:11">
      <c r="A701" s="484"/>
      <c r="B701" s="484"/>
      <c r="C701" s="484"/>
      <c r="D701" s="405"/>
      <c r="H701" s="502"/>
      <c r="I701" s="484"/>
      <c r="J701" s="502"/>
      <c r="K701" s="502"/>
    </row>
    <row r="702" spans="1:11" ht="14.25">
      <c r="A702" s="485"/>
      <c r="B702" s="486" t="s">
        <v>2747</v>
      </c>
      <c r="C702" s="484"/>
      <c r="D702" s="1299" t="s">
        <v>2246</v>
      </c>
      <c r="E702" s="1299"/>
      <c r="F702" s="1299"/>
      <c r="H702" s="502"/>
      <c r="I702" s="484"/>
      <c r="J702" s="502"/>
      <c r="K702" s="502"/>
    </row>
    <row r="703" spans="1:11">
      <c r="A703" s="484"/>
      <c r="B703" s="484"/>
      <c r="C703" s="484"/>
      <c r="D703" s="1299"/>
      <c r="E703" s="1299"/>
      <c r="F703" s="1299"/>
      <c r="H703" s="502"/>
      <c r="I703" s="484"/>
      <c r="J703" s="502"/>
      <c r="K703" s="502"/>
    </row>
    <row r="704" spans="1:11">
      <c r="A704" s="484"/>
      <c r="B704" s="484"/>
      <c r="C704" s="484"/>
      <c r="D704" s="1299"/>
      <c r="E704" s="1299"/>
      <c r="F704" s="1299"/>
      <c r="H704" s="502"/>
      <c r="I704" s="484"/>
      <c r="J704" s="502"/>
      <c r="K704" s="502"/>
    </row>
    <row r="705" spans="1:11">
      <c r="A705" s="484"/>
      <c r="B705" s="484"/>
      <c r="C705" s="484"/>
      <c r="D705" s="1299"/>
      <c r="E705" s="1299"/>
      <c r="F705" s="1299"/>
      <c r="H705" s="502"/>
      <c r="I705" s="484"/>
      <c r="J705" s="502"/>
      <c r="K705" s="502"/>
    </row>
    <row r="706" spans="1:11">
      <c r="A706" s="484"/>
      <c r="B706" s="484"/>
      <c r="C706" s="484"/>
      <c r="D706" s="1299"/>
      <c r="E706" s="1299"/>
      <c r="F706" s="1299"/>
      <c r="H706" s="502"/>
      <c r="I706" s="484"/>
      <c r="J706" s="502"/>
      <c r="K706" s="502"/>
    </row>
    <row r="707" spans="1:11">
      <c r="A707" s="484"/>
      <c r="B707" s="484"/>
      <c r="C707" s="484"/>
      <c r="D707" s="1299"/>
      <c r="E707" s="1299"/>
      <c r="F707" s="1299"/>
      <c r="H707" s="502"/>
      <c r="I707" s="484"/>
      <c r="J707" s="502"/>
      <c r="K707" s="502"/>
    </row>
    <row r="708" spans="1:11">
      <c r="A708" s="484"/>
      <c r="B708" s="484"/>
      <c r="C708" s="484"/>
      <c r="D708" s="446"/>
      <c r="E708" s="446"/>
      <c r="F708" s="446"/>
      <c r="H708" s="502"/>
      <c r="I708" s="484"/>
      <c r="J708" s="502"/>
      <c r="K708" s="502"/>
    </row>
    <row r="709" spans="1:11">
      <c r="A709" s="484"/>
      <c r="B709" s="486" t="s">
        <v>2747</v>
      </c>
      <c r="C709" s="484"/>
      <c r="D709" s="1299" t="s">
        <v>1200</v>
      </c>
      <c r="E709" s="1299"/>
      <c r="F709" s="1299"/>
      <c r="H709" s="502"/>
      <c r="I709" s="484"/>
      <c r="J709" s="502"/>
      <c r="K709" s="502"/>
    </row>
    <row r="710" spans="1:11">
      <c r="A710" s="484"/>
      <c r="B710" s="484"/>
      <c r="C710" s="484"/>
      <c r="D710" s="1299"/>
      <c r="E710" s="1299"/>
      <c r="F710" s="1299"/>
      <c r="H710" s="502"/>
      <c r="I710" s="484"/>
      <c r="J710" s="502"/>
      <c r="K710" s="502"/>
    </row>
    <row r="711" spans="1:11">
      <c r="A711" s="484"/>
      <c r="B711" s="484"/>
      <c r="C711" s="484"/>
      <c r="D711" s="446"/>
      <c r="E711" s="446"/>
      <c r="F711" s="446"/>
      <c r="H711" s="502"/>
      <c r="I711" s="484"/>
      <c r="J711" s="502"/>
      <c r="K711" s="502"/>
    </row>
    <row r="712" spans="1:11" ht="14.25">
      <c r="A712" s="485"/>
      <c r="B712" s="486" t="s">
        <v>2747</v>
      </c>
      <c r="C712" s="484"/>
      <c r="D712" s="1299" t="s">
        <v>1076</v>
      </c>
      <c r="E712" s="1299"/>
      <c r="F712" s="1299"/>
      <c r="H712" s="502"/>
      <c r="I712" s="484"/>
      <c r="J712" s="502"/>
      <c r="K712" s="502"/>
    </row>
    <row r="713" spans="1:11">
      <c r="A713" s="484"/>
      <c r="B713" s="484"/>
      <c r="C713" s="484"/>
      <c r="D713" s="1299"/>
      <c r="E713" s="1299"/>
      <c r="F713" s="1299"/>
      <c r="H713" s="502"/>
      <c r="I713" s="484"/>
      <c r="J713" s="502"/>
      <c r="K713" s="502"/>
    </row>
    <row r="714" spans="1:11">
      <c r="A714" s="484"/>
      <c r="B714" s="484"/>
      <c r="C714" s="484"/>
      <c r="D714" s="1299"/>
      <c r="E714" s="1299"/>
      <c r="F714" s="1299"/>
      <c r="H714" s="502"/>
      <c r="I714" s="484"/>
      <c r="J714" s="502"/>
      <c r="K714" s="502"/>
    </row>
    <row r="715" spans="1:11" ht="15" customHeight="1">
      <c r="A715" s="484"/>
      <c r="B715" s="484"/>
      <c r="C715" s="484"/>
      <c r="D715" s="1299"/>
      <c r="E715" s="1299"/>
      <c r="F715" s="1299"/>
      <c r="H715" s="502"/>
      <c r="I715" s="484"/>
      <c r="J715" s="502"/>
      <c r="K715" s="502"/>
    </row>
    <row r="716" spans="1:11" ht="15" customHeight="1">
      <c r="A716" s="484"/>
      <c r="B716" s="484"/>
      <c r="C716" s="484"/>
      <c r="D716" s="1299"/>
      <c r="E716" s="1299"/>
      <c r="F716" s="1299"/>
      <c r="H716" s="502"/>
      <c r="I716" s="484"/>
      <c r="J716" s="502"/>
      <c r="K716" s="502"/>
    </row>
    <row r="717" spans="1:11">
      <c r="A717" s="484"/>
      <c r="B717" s="484"/>
      <c r="C717" s="484"/>
      <c r="D717" s="1299"/>
      <c r="E717" s="1299"/>
      <c r="F717" s="1299"/>
      <c r="H717" s="502"/>
      <c r="I717" s="484"/>
      <c r="J717" s="502"/>
      <c r="K717" s="502"/>
    </row>
    <row r="718" spans="1:11">
      <c r="A718" s="484"/>
      <c r="B718" s="484"/>
      <c r="C718" s="484"/>
      <c r="D718" s="1299"/>
      <c r="E718" s="1299"/>
      <c r="F718" s="1299"/>
      <c r="H718" s="502"/>
      <c r="I718" s="484"/>
      <c r="J718" s="502"/>
      <c r="K718" s="502"/>
    </row>
    <row r="719" spans="1:11">
      <c r="A719" s="484"/>
      <c r="B719" s="484"/>
      <c r="C719" s="484"/>
      <c r="D719" s="1299"/>
      <c r="E719" s="1299"/>
      <c r="F719" s="1299"/>
      <c r="H719" s="502"/>
      <c r="I719" s="484"/>
      <c r="J719" s="502"/>
      <c r="K719" s="502"/>
    </row>
    <row r="720" spans="1:11" ht="15" customHeight="1">
      <c r="A720" s="484"/>
      <c r="B720" s="484"/>
      <c r="C720" s="484"/>
      <c r="D720" s="1299"/>
      <c r="E720" s="1299"/>
      <c r="F720" s="1299"/>
      <c r="H720" s="502"/>
      <c r="I720" s="484"/>
      <c r="J720" s="502"/>
      <c r="K720" s="502"/>
    </row>
    <row r="721" spans="1:11">
      <c r="A721" s="484"/>
      <c r="B721" s="484"/>
      <c r="C721" s="484"/>
      <c r="D721" s="1299"/>
      <c r="E721" s="1299"/>
      <c r="F721" s="1299"/>
      <c r="H721" s="502"/>
      <c r="I721" s="484"/>
      <c r="J721" s="502"/>
      <c r="K721" s="502"/>
    </row>
    <row r="722" spans="1:11">
      <c r="A722" s="484"/>
      <c r="B722" s="484"/>
      <c r="C722" s="484"/>
      <c r="D722" s="1299"/>
      <c r="E722" s="1299"/>
      <c r="F722" s="1299"/>
      <c r="H722" s="502"/>
      <c r="I722" s="484"/>
      <c r="J722" s="502"/>
      <c r="K722" s="502"/>
    </row>
    <row r="723" spans="1:11">
      <c r="A723" s="484"/>
      <c r="B723" s="484"/>
      <c r="C723" s="484"/>
      <c r="D723" s="1299"/>
      <c r="E723" s="1299"/>
      <c r="F723" s="1299"/>
      <c r="H723" s="502"/>
      <c r="I723" s="484"/>
      <c r="J723" s="502"/>
      <c r="K723" s="502"/>
    </row>
    <row r="724" spans="1:11">
      <c r="A724" s="484"/>
      <c r="B724" s="484"/>
      <c r="C724" s="484"/>
      <c r="D724" s="1299"/>
      <c r="E724" s="1299"/>
      <c r="F724" s="1299"/>
      <c r="H724" s="502"/>
      <c r="I724" s="484"/>
      <c r="J724" s="502"/>
      <c r="K724" s="502"/>
    </row>
    <row r="725" spans="1:11">
      <c r="A725" s="484"/>
      <c r="B725" s="486" t="s">
        <v>2747</v>
      </c>
      <c r="C725" s="484"/>
      <c r="D725" s="1299" t="s">
        <v>2464</v>
      </c>
      <c r="E725" s="1299"/>
      <c r="F725" s="1299"/>
      <c r="H725" s="502"/>
      <c r="I725" s="484"/>
      <c r="J725" s="502"/>
      <c r="K725" s="502"/>
    </row>
    <row r="726" spans="1:11">
      <c r="A726" s="484"/>
      <c r="B726" s="484"/>
      <c r="C726" s="484"/>
      <c r="D726" s="1299"/>
      <c r="E726" s="1299"/>
      <c r="F726" s="1299"/>
      <c r="H726" s="502"/>
      <c r="I726" s="484"/>
      <c r="J726" s="502"/>
      <c r="K726" s="502"/>
    </row>
    <row r="727" spans="1:11">
      <c r="A727" s="484"/>
      <c r="B727" s="484"/>
      <c r="C727" s="484"/>
      <c r="D727" s="1299"/>
      <c r="E727" s="1299"/>
      <c r="F727" s="1299"/>
      <c r="H727" s="502"/>
      <c r="I727" s="484"/>
      <c r="J727" s="502"/>
      <c r="K727" s="502"/>
    </row>
    <row r="728" spans="1:11">
      <c r="A728" s="484"/>
      <c r="B728" s="484"/>
      <c r="C728" s="484"/>
      <c r="D728" s="446"/>
      <c r="E728" s="446"/>
      <c r="F728" s="446"/>
      <c r="H728" s="502"/>
      <c r="I728" s="484"/>
      <c r="J728" s="502"/>
      <c r="K728" s="502"/>
    </row>
    <row r="729" spans="1:11">
      <c r="A729" s="484"/>
      <c r="B729" s="486" t="s">
        <v>2747</v>
      </c>
      <c r="C729" s="484"/>
      <c r="D729" s="1299" t="s">
        <v>2463</v>
      </c>
      <c r="E729" s="1299"/>
      <c r="F729" s="1299"/>
      <c r="H729" s="502"/>
      <c r="I729" s="484"/>
      <c r="J729" s="502"/>
      <c r="K729" s="502"/>
    </row>
    <row r="730" spans="1:11">
      <c r="A730" s="484"/>
      <c r="B730" s="484"/>
      <c r="C730" s="484"/>
      <c r="D730" s="1299"/>
      <c r="E730" s="1299"/>
      <c r="F730" s="1299"/>
      <c r="H730" s="502"/>
      <c r="I730" s="484"/>
      <c r="J730" s="502"/>
      <c r="K730" s="502"/>
    </row>
    <row r="731" spans="1:11">
      <c r="A731" s="484"/>
      <c r="B731" s="484"/>
      <c r="C731" s="484"/>
      <c r="D731" s="1299"/>
      <c r="E731" s="1299"/>
      <c r="F731" s="1299"/>
      <c r="H731" s="502"/>
      <c r="I731" s="484"/>
      <c r="J731" s="502"/>
      <c r="K731" s="502"/>
    </row>
    <row r="732" spans="1:11">
      <c r="A732" s="484"/>
      <c r="B732" s="484"/>
      <c r="C732" s="484"/>
      <c r="H732" s="502"/>
      <c r="I732" s="484"/>
      <c r="J732" s="502"/>
      <c r="K732" s="502"/>
    </row>
    <row r="733" spans="1:11">
      <c r="A733" s="484"/>
      <c r="B733" s="486" t="s">
        <v>2747</v>
      </c>
      <c r="C733" s="484"/>
      <c r="D733" s="1299" t="s">
        <v>2462</v>
      </c>
      <c r="E733" s="1299"/>
      <c r="F733" s="1299"/>
      <c r="H733" s="502"/>
      <c r="I733" s="484"/>
      <c r="J733" s="502"/>
      <c r="K733" s="502"/>
    </row>
    <row r="734" spans="1:11">
      <c r="A734" s="484"/>
      <c r="B734" s="484"/>
      <c r="C734" s="484"/>
      <c r="D734" s="1299"/>
      <c r="E734" s="1299"/>
      <c r="F734" s="1299"/>
      <c r="H734" s="502"/>
      <c r="I734" s="484"/>
      <c r="J734" s="502"/>
      <c r="K734" s="502"/>
    </row>
    <row r="735" spans="1:11">
      <c r="A735" s="484"/>
      <c r="B735" s="484"/>
      <c r="C735" s="484"/>
      <c r="D735" s="1299"/>
      <c r="E735" s="1299"/>
      <c r="F735" s="1299"/>
      <c r="H735" s="502"/>
      <c r="I735" s="484"/>
      <c r="J735" s="502"/>
      <c r="K735" s="502"/>
    </row>
    <row r="736" spans="1:11">
      <c r="A736" s="484"/>
      <c r="B736" s="484"/>
      <c r="C736" s="484"/>
      <c r="D736" s="1299"/>
      <c r="E736" s="1299"/>
      <c r="F736" s="1299"/>
      <c r="H736" s="502"/>
      <c r="I736" s="484"/>
      <c r="J736" s="502"/>
      <c r="K736" s="502"/>
    </row>
    <row r="737" spans="1:11">
      <c r="A737" s="484"/>
      <c r="B737" s="484"/>
      <c r="C737" s="484"/>
      <c r="H737" s="502"/>
      <c r="I737" s="484"/>
      <c r="J737" s="502"/>
      <c r="K737" s="502"/>
    </row>
    <row r="738" spans="1:11" ht="14.25">
      <c r="A738" s="485"/>
      <c r="B738" s="486" t="s">
        <v>2747</v>
      </c>
      <c r="C738" s="484"/>
      <c r="D738" s="1299" t="s">
        <v>1077</v>
      </c>
      <c r="E738" s="1299"/>
      <c r="F738" s="1299"/>
      <c r="H738" s="502"/>
      <c r="I738" s="484"/>
      <c r="J738" s="502"/>
      <c r="K738" s="502"/>
    </row>
    <row r="739" spans="1:11">
      <c r="A739" s="484"/>
      <c r="B739" s="484"/>
      <c r="C739" s="484"/>
      <c r="D739" s="1299"/>
      <c r="E739" s="1299"/>
      <c r="F739" s="1299"/>
      <c r="H739" s="502"/>
      <c r="I739" s="484"/>
      <c r="J739" s="502"/>
      <c r="K739" s="502"/>
    </row>
    <row r="740" spans="1:11">
      <c r="A740" s="484"/>
      <c r="B740" s="484"/>
      <c r="C740" s="484"/>
      <c r="D740" s="1299"/>
      <c r="E740" s="1299"/>
      <c r="F740" s="1299"/>
      <c r="H740" s="502"/>
      <c r="I740" s="484"/>
      <c r="J740" s="502"/>
      <c r="K740" s="502"/>
    </row>
    <row r="741" spans="1:11">
      <c r="A741" s="484"/>
      <c r="B741" s="484"/>
      <c r="C741" s="484"/>
      <c r="D741" s="1299"/>
      <c r="E741" s="1299"/>
      <c r="F741" s="1299"/>
      <c r="H741" s="502"/>
      <c r="I741" s="484"/>
      <c r="J741" s="502"/>
      <c r="K741" s="502"/>
    </row>
    <row r="742" spans="1:11">
      <c r="A742" s="484"/>
      <c r="B742" s="484"/>
      <c r="C742" s="484"/>
      <c r="D742" s="1299"/>
      <c r="E742" s="1299"/>
      <c r="F742" s="1299"/>
      <c r="H742" s="502"/>
      <c r="I742" s="484"/>
      <c r="J742" s="502"/>
      <c r="K742" s="502"/>
    </row>
    <row r="743" spans="1:11">
      <c r="A743" s="484"/>
      <c r="B743" s="484"/>
      <c r="C743" s="484"/>
      <c r="D743" s="493"/>
      <c r="H743" s="502"/>
      <c r="I743" s="484"/>
      <c r="J743" s="502"/>
      <c r="K743" s="502"/>
    </row>
    <row r="744" spans="1:11" ht="14.25">
      <c r="A744" s="485"/>
      <c r="B744" s="486" t="s">
        <v>2747</v>
      </c>
      <c r="C744" s="484"/>
      <c r="D744" s="1299" t="s">
        <v>2146</v>
      </c>
      <c r="E744" s="1299"/>
      <c r="F744" s="1299"/>
      <c r="H744" s="502"/>
      <c r="I744" s="484"/>
      <c r="J744" s="502"/>
      <c r="K744" s="502"/>
    </row>
    <row r="745" spans="1:11">
      <c r="A745" s="484"/>
      <c r="B745" s="484"/>
      <c r="C745" s="484"/>
      <c r="D745" s="1299"/>
      <c r="E745" s="1299"/>
      <c r="F745" s="1299"/>
      <c r="H745" s="502"/>
      <c r="I745" s="484"/>
      <c r="J745" s="502"/>
      <c r="K745" s="502"/>
    </row>
    <row r="746" spans="1:11">
      <c r="A746" s="484"/>
      <c r="B746" s="484"/>
      <c r="C746" s="484"/>
      <c r="D746" s="1299"/>
      <c r="E746" s="1299"/>
      <c r="F746" s="1299"/>
      <c r="H746" s="502"/>
      <c r="I746" s="484"/>
      <c r="J746" s="502"/>
      <c r="K746" s="502"/>
    </row>
    <row r="747" spans="1:11">
      <c r="A747" s="484"/>
      <c r="B747" s="484"/>
      <c r="C747" s="484"/>
      <c r="D747" s="1299"/>
      <c r="E747" s="1299"/>
      <c r="F747" s="1299"/>
      <c r="H747" s="502"/>
      <c r="I747" s="484"/>
      <c r="J747" s="502"/>
      <c r="K747" s="502"/>
    </row>
    <row r="748" spans="1:11">
      <c r="A748" s="484"/>
      <c r="B748" s="484"/>
      <c r="C748" s="484"/>
      <c r="D748" s="1299"/>
      <c r="E748" s="1299"/>
      <c r="F748" s="1299"/>
      <c r="H748" s="502"/>
      <c r="I748" s="484"/>
      <c r="J748" s="502"/>
      <c r="K748" s="502"/>
    </row>
    <row r="749" spans="1:11">
      <c r="A749" s="484"/>
      <c r="B749" s="484"/>
      <c r="C749" s="484"/>
      <c r="D749" s="1299"/>
      <c r="E749" s="1299"/>
      <c r="F749" s="1299"/>
      <c r="H749" s="502"/>
      <c r="I749" s="484"/>
      <c r="J749" s="502"/>
      <c r="K749" s="502"/>
    </row>
    <row r="750" spans="1:11">
      <c r="A750" s="484"/>
      <c r="B750" s="484"/>
      <c r="C750" s="484"/>
      <c r="D750" s="1299"/>
      <c r="E750" s="1299"/>
      <c r="F750" s="1299"/>
      <c r="H750" s="502"/>
      <c r="I750" s="484"/>
      <c r="J750" s="502"/>
      <c r="K750" s="502"/>
    </row>
    <row r="751" spans="1:11">
      <c r="A751" s="484"/>
      <c r="B751" s="484"/>
      <c r="C751" s="484"/>
      <c r="D751" s="1300" t="s">
        <v>2075</v>
      </c>
      <c r="E751" s="1300"/>
      <c r="F751" s="1300"/>
      <c r="H751" s="502"/>
      <c r="I751" s="484"/>
      <c r="J751" s="502"/>
      <c r="K751" s="502"/>
    </row>
    <row r="752" spans="1:11">
      <c r="A752" s="484"/>
      <c r="B752" s="484"/>
      <c r="C752" s="484"/>
      <c r="D752" s="342"/>
      <c r="H752" s="502"/>
      <c r="I752" s="484"/>
      <c r="J752" s="502"/>
      <c r="K752" s="502"/>
    </row>
    <row r="753" spans="1:11">
      <c r="A753" s="1298" t="s">
        <v>1059</v>
      </c>
      <c r="B753" s="1298"/>
      <c r="C753" s="1298"/>
      <c r="D753" s="1298"/>
      <c r="E753" s="1298"/>
      <c r="F753" s="1298"/>
      <c r="G753" s="1298"/>
      <c r="H753" s="1031"/>
      <c r="I753" s="1159"/>
      <c r="J753" s="502"/>
      <c r="K753" s="502"/>
    </row>
    <row r="754" spans="1:11">
      <c r="A754" s="484"/>
      <c r="B754" s="484"/>
      <c r="C754" s="484"/>
      <c r="D754" s="493"/>
      <c r="G754" s="502"/>
      <c r="H754" s="502"/>
      <c r="I754" s="484"/>
      <c r="J754" s="502"/>
      <c r="K754" s="502"/>
    </row>
    <row r="755" spans="1:11" ht="13.7" customHeight="1">
      <c r="C755" s="484"/>
      <c r="D755" s="1315" t="s">
        <v>1069</v>
      </c>
      <c r="E755" s="1315"/>
      <c r="F755" s="1315"/>
      <c r="G755" s="502"/>
      <c r="H755" s="502"/>
      <c r="I755" s="484"/>
      <c r="J755" s="502"/>
      <c r="K755" s="502"/>
    </row>
    <row r="756" spans="1:11">
      <c r="A756" s="484"/>
      <c r="B756" s="484"/>
      <c r="C756" s="484"/>
      <c r="D756" s="1301" t="s">
        <v>1070</v>
      </c>
      <c r="E756" s="1301"/>
      <c r="F756" s="1301"/>
      <c r="G756" s="502"/>
      <c r="H756" s="502"/>
      <c r="I756" s="484"/>
      <c r="J756" s="502"/>
      <c r="K756" s="502"/>
    </row>
    <row r="757" spans="1:11">
      <c r="A757" s="484"/>
      <c r="B757" s="484"/>
      <c r="C757" s="484"/>
      <c r="G757" s="502"/>
      <c r="H757" s="502"/>
      <c r="I757" s="484"/>
      <c r="J757" s="502"/>
      <c r="K757" s="502"/>
    </row>
    <row r="758" spans="1:11" ht="14.25">
      <c r="A758" s="485"/>
      <c r="B758" s="486" t="s">
        <v>2743</v>
      </c>
      <c r="D758" s="1299" t="s">
        <v>1071</v>
      </c>
      <c r="E758" s="1299"/>
      <c r="F758" s="1299"/>
      <c r="G758" s="502"/>
      <c r="H758" s="502"/>
      <c r="I758" s="484"/>
      <c r="J758" s="502"/>
      <c r="K758" s="502"/>
    </row>
    <row r="759" spans="1:11" ht="10.5" customHeight="1">
      <c r="D759" s="1299"/>
      <c r="E759" s="1299"/>
      <c r="F759" s="1299"/>
      <c r="G759" s="502"/>
      <c r="H759" s="502"/>
      <c r="I759" s="484"/>
      <c r="J759" s="502"/>
      <c r="K759" s="502"/>
    </row>
    <row r="760" spans="1:11">
      <c r="D760" s="1299"/>
      <c r="E760" s="1299"/>
      <c r="F760" s="1299"/>
      <c r="G760" s="502"/>
      <c r="H760" s="502"/>
      <c r="I760" s="484"/>
      <c r="J760" s="502"/>
      <c r="K760" s="502"/>
    </row>
    <row r="761" spans="1:11">
      <c r="D761" s="1299"/>
      <c r="E761" s="1299"/>
      <c r="F761" s="1299"/>
      <c r="G761" s="502"/>
      <c r="H761" s="502"/>
      <c r="I761" s="484"/>
      <c r="J761" s="502"/>
      <c r="K761" s="502"/>
    </row>
    <row r="762" spans="1:11">
      <c r="D762" s="1299"/>
      <c r="E762" s="1299"/>
      <c r="F762" s="1299"/>
      <c r="G762" s="502"/>
      <c r="H762" s="502"/>
      <c r="I762" s="484"/>
      <c r="J762" s="502"/>
      <c r="K762" s="502"/>
    </row>
    <row r="763" spans="1:11" ht="15.6" customHeight="1">
      <c r="D763" s="1299"/>
      <c r="E763" s="1299"/>
      <c r="F763" s="1299"/>
      <c r="G763" s="502"/>
      <c r="H763" s="502"/>
      <c r="I763" s="484"/>
      <c r="J763" s="502"/>
      <c r="K763" s="502"/>
    </row>
    <row r="764" spans="1:11">
      <c r="D764" s="500"/>
      <c r="E764" s="447"/>
      <c r="F764" s="447"/>
      <c r="G764" s="502"/>
      <c r="H764" s="502"/>
      <c r="I764" s="484"/>
      <c r="J764" s="502"/>
      <c r="K764" s="502"/>
    </row>
    <row r="765" spans="1:11" s="506" customFormat="1" ht="14.25">
      <c r="A765" s="504"/>
      <c r="B765" s="486" t="s">
        <v>2743</v>
      </c>
      <c r="C765" s="505"/>
      <c r="D765" s="1299" t="s">
        <v>1240</v>
      </c>
      <c r="E765" s="1299"/>
      <c r="F765" s="1299"/>
      <c r="I765" s="1160"/>
    </row>
    <row r="766" spans="1:11" s="506" customFormat="1">
      <c r="A766" s="505"/>
      <c r="B766" s="505"/>
      <c r="C766" s="505"/>
      <c r="D766" s="1299"/>
      <c r="E766" s="1299"/>
      <c r="F766" s="1299"/>
      <c r="I766" s="1160"/>
    </row>
    <row r="767" spans="1:11" s="506" customFormat="1">
      <c r="A767" s="505"/>
      <c r="B767" s="505"/>
      <c r="C767" s="505"/>
      <c r="D767" s="1299"/>
      <c r="E767" s="1299"/>
      <c r="F767" s="1299"/>
      <c r="I767" s="1160"/>
    </row>
    <row r="768" spans="1:11" s="506" customFormat="1">
      <c r="A768" s="505"/>
      <c r="B768" s="505"/>
      <c r="C768" s="505"/>
      <c r="D768" s="1299"/>
      <c r="E768" s="1299"/>
      <c r="F768" s="1299"/>
      <c r="I768" s="1160"/>
    </row>
    <row r="769" spans="1:11" s="506" customFormat="1">
      <c r="A769" s="505"/>
      <c r="B769" s="505"/>
      <c r="C769" s="505"/>
      <c r="D769" s="500"/>
      <c r="I769" s="1160"/>
    </row>
    <row r="770" spans="1:11" s="506" customFormat="1" ht="14.25">
      <c r="A770" s="485"/>
      <c r="B770" s="486" t="s">
        <v>2747</v>
      </c>
      <c r="C770" s="505"/>
      <c r="D770" s="1305" t="s">
        <v>1241</v>
      </c>
      <c r="E770" s="1305"/>
      <c r="F770" s="1305"/>
      <c r="I770" s="1160"/>
    </row>
    <row r="771" spans="1:11" s="506" customFormat="1">
      <c r="A771" s="505"/>
      <c r="B771" s="505"/>
      <c r="C771" s="505"/>
      <c r="D771" s="1305"/>
      <c r="E771" s="1305"/>
      <c r="F771" s="1305"/>
      <c r="I771" s="1160"/>
    </row>
    <row r="772" spans="1:11" s="506" customFormat="1">
      <c r="A772" s="505"/>
      <c r="B772" s="505"/>
      <c r="C772" s="505"/>
      <c r="D772" s="1305"/>
      <c r="E772" s="1305"/>
      <c r="F772" s="1305"/>
      <c r="I772" s="1160"/>
    </row>
    <row r="773" spans="1:11">
      <c r="D773" s="500"/>
      <c r="E773" s="447"/>
      <c r="F773" s="447"/>
      <c r="G773" s="502"/>
      <c r="H773" s="502"/>
      <c r="I773" s="484"/>
      <c r="J773" s="502"/>
      <c r="K773" s="502"/>
    </row>
    <row r="774" spans="1:11" ht="14.25">
      <c r="A774" s="485"/>
      <c r="B774" s="486" t="s">
        <v>2747</v>
      </c>
      <c r="D774" s="1299" t="s">
        <v>1197</v>
      </c>
      <c r="E774" s="1299"/>
      <c r="F774" s="1299"/>
      <c r="G774" s="502"/>
      <c r="H774" s="502"/>
      <c r="I774" s="484"/>
      <c r="J774" s="502"/>
      <c r="K774" s="502"/>
    </row>
    <row r="775" spans="1:11">
      <c r="D775" s="1299"/>
      <c r="E775" s="1299"/>
      <c r="F775" s="1299"/>
      <c r="G775" s="502"/>
      <c r="H775" s="502"/>
      <c r="I775" s="484"/>
      <c r="J775" s="502"/>
      <c r="K775" s="502"/>
    </row>
    <row r="776" spans="1:11">
      <c r="D776" s="446"/>
      <c r="E776" s="446"/>
      <c r="F776" s="446"/>
      <c r="G776" s="502"/>
      <c r="H776" s="502"/>
      <c r="I776" s="484"/>
      <c r="J776" s="502"/>
      <c r="K776" s="502"/>
    </row>
    <row r="777" spans="1:11">
      <c r="B777" s="486" t="s">
        <v>2747</v>
      </c>
      <c r="D777" s="1299" t="s">
        <v>1214</v>
      </c>
      <c r="E777" s="1299"/>
      <c r="F777" s="1299"/>
      <c r="G777" s="502"/>
      <c r="H777" s="502"/>
      <c r="I777" s="484"/>
      <c r="J777" s="502"/>
      <c r="K777" s="502"/>
    </row>
    <row r="778" spans="1:11">
      <c r="D778" s="1299"/>
      <c r="E778" s="1299"/>
      <c r="F778" s="1299"/>
      <c r="G778" s="502"/>
      <c r="H778" s="502"/>
      <c r="I778" s="484"/>
      <c r="J778" s="502"/>
      <c r="K778" s="502"/>
    </row>
    <row r="779" spans="1:11">
      <c r="D779" s="1299"/>
      <c r="E779" s="1299"/>
      <c r="F779" s="1299"/>
      <c r="G779" s="502"/>
      <c r="H779" s="502"/>
      <c r="I779" s="484"/>
      <c r="J779" s="502"/>
      <c r="K779" s="502"/>
    </row>
    <row r="780" spans="1:11">
      <c r="D780" s="446"/>
      <c r="E780" s="446"/>
      <c r="F780" s="446"/>
      <c r="G780" s="502"/>
      <c r="H780" s="502"/>
      <c r="I780" s="484"/>
      <c r="J780" s="502"/>
      <c r="K780" s="502"/>
    </row>
    <row r="781" spans="1:11">
      <c r="A781" s="1314" t="s">
        <v>1800</v>
      </c>
      <c r="B781" s="1314"/>
      <c r="C781" s="1314"/>
      <c r="D781" s="1314"/>
      <c r="E781" s="1314"/>
      <c r="F781" s="1314"/>
      <c r="G781" s="1314"/>
      <c r="H781" s="1029"/>
      <c r="I781" s="1155"/>
    </row>
    <row r="782" spans="1:11">
      <c r="A782" s="57"/>
      <c r="B782" s="57"/>
      <c r="C782" s="355"/>
      <c r="D782" s="3"/>
      <c r="E782" s="3"/>
      <c r="F782" s="3"/>
      <c r="G782" s="3"/>
      <c r="I782" s="491"/>
    </row>
    <row r="783" spans="1:11">
      <c r="A783" s="57"/>
      <c r="B783" s="57"/>
      <c r="C783" s="355"/>
      <c r="D783" s="1313" t="s">
        <v>1854</v>
      </c>
      <c r="E783" s="1313"/>
      <c r="F783" s="1313"/>
      <c r="G783" s="3"/>
      <c r="I783" s="491"/>
    </row>
    <row r="784" spans="1:11">
      <c r="A784" s="57"/>
      <c r="B784" s="57"/>
      <c r="C784" s="355"/>
      <c r="D784" s="1316" t="s">
        <v>1754</v>
      </c>
      <c r="E784" s="1316"/>
      <c r="F784" s="1316"/>
      <c r="G784" s="3"/>
      <c r="I784" s="491"/>
    </row>
    <row r="785" spans="1:9">
      <c r="A785" s="57"/>
      <c r="B785" s="57"/>
      <c r="C785" s="355"/>
      <c r="D785" s="448"/>
      <c r="E785" s="448"/>
      <c r="F785" s="448"/>
      <c r="G785" s="3"/>
      <c r="I785" s="491"/>
    </row>
    <row r="786" spans="1:9">
      <c r="A786" s="57"/>
      <c r="B786" s="486" t="s">
        <v>2743</v>
      </c>
      <c r="C786" s="355"/>
      <c r="D786" s="1292" t="s">
        <v>1755</v>
      </c>
      <c r="E786" s="1292"/>
      <c r="F786" s="1292"/>
      <c r="G786" s="3"/>
      <c r="I786" s="484"/>
    </row>
    <row r="787" spans="1:9">
      <c r="A787" s="57"/>
      <c r="B787" s="57"/>
      <c r="C787" s="355"/>
      <c r="D787" s="1292"/>
      <c r="E787" s="1292"/>
      <c r="F787" s="1292"/>
      <c r="G787" s="3"/>
      <c r="I787" s="491"/>
    </row>
    <row r="788" spans="1:9">
      <c r="A788" s="174"/>
      <c r="B788" s="174"/>
      <c r="C788" s="174"/>
      <c r="D788" s="1292"/>
      <c r="E788" s="1292"/>
      <c r="F788" s="1292"/>
      <c r="G788" s="118"/>
      <c r="I788" s="491"/>
    </row>
    <row r="789" spans="1:9">
      <c r="A789" s="355"/>
      <c r="B789" s="355"/>
      <c r="C789" s="355"/>
      <c r="D789" s="173"/>
      <c r="E789" s="3"/>
      <c r="F789" s="3"/>
      <c r="G789" s="3"/>
      <c r="I789" s="491"/>
    </row>
    <row r="790" spans="1:9">
      <c r="A790" s="172"/>
      <c r="B790" s="486" t="s">
        <v>2747</v>
      </c>
      <c r="C790" s="172"/>
      <c r="D790" s="1292" t="s">
        <v>1756</v>
      </c>
      <c r="E790" s="1292"/>
      <c r="F790" s="1292"/>
      <c r="G790" s="3"/>
      <c r="I790" s="484"/>
    </row>
    <row r="791" spans="1:9">
      <c r="A791" s="172"/>
      <c r="B791" s="172"/>
      <c r="C791" s="172"/>
      <c r="D791" s="1292"/>
      <c r="E791" s="1292"/>
      <c r="F791" s="1292"/>
      <c r="G791" s="3"/>
      <c r="I791" s="491"/>
    </row>
    <row r="792" spans="1:9">
      <c r="A792" s="172"/>
      <c r="B792" s="172"/>
      <c r="C792" s="172"/>
      <c r="D792" s="1292"/>
      <c r="E792" s="1292"/>
      <c r="F792" s="1292"/>
      <c r="G792" s="3"/>
      <c r="I792" s="491"/>
    </row>
    <row r="793" spans="1:9">
      <c r="A793" s="174"/>
      <c r="B793" s="174"/>
      <c r="C793" s="174"/>
      <c r="D793" s="3"/>
      <c r="E793" s="989"/>
      <c r="F793" s="989"/>
      <c r="G793" s="989"/>
      <c r="I793" s="491"/>
    </row>
    <row r="794" spans="1:9" ht="14.25">
      <c r="A794" s="175"/>
      <c r="B794" s="486" t="s">
        <v>2747</v>
      </c>
      <c r="C794" s="990"/>
      <c r="D794" s="1292" t="s">
        <v>1757</v>
      </c>
      <c r="E794" s="1292"/>
      <c r="F794" s="1292"/>
      <c r="G794" s="989"/>
      <c r="I794" s="484"/>
    </row>
    <row r="795" spans="1:9" ht="14.25">
      <c r="A795" s="175"/>
      <c r="B795" s="175"/>
      <c r="C795" s="990"/>
      <c r="D795" s="1292"/>
      <c r="E795" s="1292"/>
      <c r="F795" s="1292"/>
      <c r="G795" s="989"/>
      <c r="I795" s="491"/>
    </row>
    <row r="796" spans="1:9" ht="14.25">
      <c r="A796" s="175"/>
      <c r="B796" s="175"/>
      <c r="C796" s="990"/>
      <c r="D796" s="1292"/>
      <c r="E796" s="1292"/>
      <c r="F796" s="1292"/>
      <c r="G796" s="989"/>
      <c r="I796" s="491"/>
    </row>
    <row r="797" spans="1:9" ht="14.25">
      <c r="A797" s="175"/>
      <c r="B797" s="175"/>
      <c r="C797" s="990"/>
      <c r="D797" s="118"/>
      <c r="E797" s="3"/>
      <c r="F797" s="3"/>
      <c r="G797" s="989"/>
      <c r="I797" s="491"/>
    </row>
    <row r="798" spans="1:9" ht="14.25">
      <c r="A798" s="175"/>
      <c r="B798" s="486" t="s">
        <v>2747</v>
      </c>
      <c r="C798" s="990"/>
      <c r="D798" s="1292" t="s">
        <v>1758</v>
      </c>
      <c r="E798" s="1292"/>
      <c r="F798" s="1292"/>
      <c r="G798" s="989"/>
      <c r="I798" s="484"/>
    </row>
    <row r="799" spans="1:9" ht="14.25">
      <c r="A799" s="175"/>
      <c r="B799" s="175"/>
      <c r="C799" s="990"/>
      <c r="D799" s="1292"/>
      <c r="E799" s="1292"/>
      <c r="F799" s="1292"/>
      <c r="G799" s="989"/>
      <c r="I799" s="491"/>
    </row>
    <row r="800" spans="1:9" ht="14.25">
      <c r="A800" s="175"/>
      <c r="B800" s="175"/>
      <c r="C800" s="990"/>
      <c r="D800" s="1292"/>
      <c r="E800" s="1292"/>
      <c r="F800" s="1292"/>
      <c r="G800" s="989"/>
      <c r="I800" s="491"/>
    </row>
    <row r="801" spans="1:9" ht="14.25">
      <c r="A801" s="175"/>
      <c r="B801" s="175"/>
      <c r="C801" s="990"/>
      <c r="D801" s="1292"/>
      <c r="E801" s="1292"/>
      <c r="F801" s="1292"/>
      <c r="G801" s="989"/>
      <c r="I801" s="491"/>
    </row>
    <row r="802" spans="1:9" ht="14.25">
      <c r="A802" s="175"/>
      <c r="B802" s="175"/>
      <c r="C802" s="990"/>
      <c r="D802" s="1292"/>
      <c r="E802" s="1292"/>
      <c r="F802" s="1292"/>
      <c r="G802" s="989"/>
      <c r="I802" s="491"/>
    </row>
    <row r="803" spans="1:9" ht="14.25">
      <c r="A803" s="175"/>
      <c r="B803" s="175"/>
      <c r="C803" s="990"/>
      <c r="D803" s="1292"/>
      <c r="E803" s="1292"/>
      <c r="F803" s="1292"/>
      <c r="G803" s="989"/>
      <c r="I803" s="491"/>
    </row>
    <row r="804" spans="1:9" ht="14.25">
      <c r="A804" s="175"/>
      <c r="B804" s="175"/>
      <c r="C804" s="990"/>
      <c r="D804" s="1292" t="s">
        <v>1801</v>
      </c>
      <c r="E804" s="1292"/>
      <c r="F804" s="1292"/>
      <c r="G804" s="989"/>
      <c r="I804" s="491"/>
    </row>
    <row r="805" spans="1:9" ht="14.25">
      <c r="A805" s="175"/>
      <c r="B805" s="175"/>
      <c r="C805" s="990"/>
      <c r="D805" s="1292"/>
      <c r="E805" s="1292"/>
      <c r="F805" s="1292"/>
      <c r="G805" s="989"/>
      <c r="I805" s="491"/>
    </row>
    <row r="806" spans="1:9" ht="14.25">
      <c r="A806" s="175"/>
      <c r="B806" s="175"/>
      <c r="C806" s="990"/>
      <c r="D806" s="1292"/>
      <c r="E806" s="1292"/>
      <c r="F806" s="1292"/>
      <c r="G806" s="989"/>
      <c r="I806" s="491"/>
    </row>
    <row r="807" spans="1:9" ht="14.25">
      <c r="A807" s="175"/>
      <c r="B807" s="355"/>
      <c r="C807" s="990"/>
      <c r="D807" s="991"/>
      <c r="E807" s="991"/>
      <c r="F807" s="991"/>
      <c r="G807" s="989"/>
      <c r="I807" s="491"/>
    </row>
    <row r="808" spans="1:9" ht="14.25">
      <c r="A808" s="175"/>
      <c r="B808" s="486" t="s">
        <v>2747</v>
      </c>
      <c r="C808" s="990"/>
      <c r="D808" s="1292" t="s">
        <v>1759</v>
      </c>
      <c r="E808" s="1292"/>
      <c r="F808" s="1292"/>
      <c r="G808" s="989"/>
      <c r="I808" s="484"/>
    </row>
    <row r="809" spans="1:9" ht="14.25">
      <c r="A809" s="175"/>
      <c r="B809" s="175"/>
      <c r="C809" s="990"/>
      <c r="D809" s="1292"/>
      <c r="E809" s="1292"/>
      <c r="F809" s="1292"/>
      <c r="G809" s="989"/>
      <c r="I809" s="491"/>
    </row>
    <row r="810" spans="1:9" ht="14.25">
      <c r="A810" s="175"/>
      <c r="B810" s="175"/>
      <c r="C810" s="990"/>
      <c r="D810" s="1292"/>
      <c r="E810" s="1292"/>
      <c r="F810" s="1292"/>
      <c r="G810" s="989"/>
      <c r="I810" s="491"/>
    </row>
    <row r="811" spans="1:9" ht="14.25">
      <c r="A811" s="175"/>
      <c r="B811" s="175"/>
      <c r="C811" s="990"/>
      <c r="D811" s="1292"/>
      <c r="E811" s="1292"/>
      <c r="F811" s="1292"/>
      <c r="G811" s="989"/>
      <c r="I811" s="491"/>
    </row>
    <row r="812" spans="1:9" ht="14.25">
      <c r="A812" s="175"/>
      <c r="B812" s="175"/>
      <c r="C812" s="990"/>
      <c r="D812" s="1292"/>
      <c r="E812" s="1292"/>
      <c r="F812" s="1292"/>
      <c r="G812" s="989"/>
      <c r="I812" s="491"/>
    </row>
    <row r="813" spans="1:9" ht="14.25">
      <c r="A813" s="175"/>
      <c r="B813" s="175"/>
      <c r="C813" s="990"/>
      <c r="D813" s="1292"/>
      <c r="E813" s="1292"/>
      <c r="F813" s="1292"/>
      <c r="G813" s="989"/>
      <c r="I813" s="491"/>
    </row>
    <row r="814" spans="1:9" ht="14.25">
      <c r="A814" s="175"/>
      <c r="B814" s="175"/>
      <c r="C814" s="990"/>
      <c r="D814" s="983"/>
      <c r="E814" s="983"/>
      <c r="F814" s="983"/>
      <c r="G814" s="989"/>
      <c r="I814" s="491"/>
    </row>
    <row r="815" spans="1:9" ht="14.25">
      <c r="A815" s="175"/>
      <c r="B815" s="486" t="s">
        <v>2743</v>
      </c>
      <c r="C815" s="990"/>
      <c r="D815" s="1292" t="s">
        <v>1760</v>
      </c>
      <c r="E815" s="1292"/>
      <c r="F815" s="1292"/>
      <c r="G815" s="989"/>
      <c r="I815" s="484"/>
    </row>
    <row r="816" spans="1:9" ht="14.25">
      <c r="A816" s="175"/>
      <c r="B816" s="175"/>
      <c r="C816" s="990"/>
      <c r="D816" s="1292"/>
      <c r="E816" s="1292"/>
      <c r="F816" s="1292"/>
      <c r="G816" s="989"/>
      <c r="I816" s="491"/>
    </row>
    <row r="817" spans="1:9" ht="14.25">
      <c r="A817" s="175"/>
      <c r="B817" s="175"/>
      <c r="C817" s="990"/>
      <c r="D817" s="1292"/>
      <c r="E817" s="1292"/>
      <c r="F817" s="1292"/>
      <c r="G817" s="989"/>
      <c r="I817" s="491"/>
    </row>
    <row r="818" spans="1:9" ht="14.25">
      <c r="A818" s="175"/>
      <c r="B818" s="175"/>
      <c r="C818" s="990"/>
      <c r="D818" s="1292"/>
      <c r="E818" s="1292"/>
      <c r="F818" s="1292"/>
      <c r="G818" s="989"/>
      <c r="I818" s="491"/>
    </row>
    <row r="819" spans="1:9" ht="14.25">
      <c r="A819" s="175"/>
      <c r="B819" s="175"/>
      <c r="C819" s="990"/>
      <c r="D819" s="1292"/>
      <c r="E819" s="1292"/>
      <c r="F819" s="1292"/>
      <c r="G819" s="989"/>
      <c r="I819" s="491"/>
    </row>
    <row r="820" spans="1:9" ht="14.25">
      <c r="A820" s="175"/>
      <c r="B820" s="175"/>
      <c r="C820" s="990"/>
      <c r="D820" s="1292"/>
      <c r="E820" s="1292"/>
      <c r="F820" s="1292"/>
      <c r="G820" s="989"/>
      <c r="I820" s="491"/>
    </row>
    <row r="821" spans="1:9" ht="14.25">
      <c r="A821" s="175"/>
      <c r="B821" s="175"/>
      <c r="C821" s="990"/>
      <c r="D821" s="983"/>
      <c r="E821" s="983"/>
      <c r="F821" s="983"/>
      <c r="G821" s="989"/>
      <c r="I821" s="491"/>
    </row>
    <row r="822" spans="1:9" ht="14.25">
      <c r="A822" s="175"/>
      <c r="B822" s="486" t="s">
        <v>2747</v>
      </c>
      <c r="C822" s="990"/>
      <c r="D822" s="1287" t="s">
        <v>1761</v>
      </c>
      <c r="E822" s="1287"/>
      <c r="F822" s="1287"/>
      <c r="G822" s="989"/>
      <c r="I822" s="484"/>
    </row>
    <row r="823" spans="1:9" ht="14.25">
      <c r="A823" s="175"/>
      <c r="B823" s="175"/>
      <c r="C823" s="990"/>
      <c r="D823" s="1287"/>
      <c r="E823" s="1287"/>
      <c r="F823" s="1287"/>
      <c r="G823" s="989"/>
      <c r="I823" s="491"/>
    </row>
    <row r="824" spans="1:9">
      <c r="A824" s="13"/>
      <c r="B824" s="13"/>
      <c r="C824" s="990"/>
      <c r="D824" s="1287"/>
      <c r="E824" s="1287"/>
      <c r="F824" s="1287"/>
      <c r="G824" s="989"/>
      <c r="I824" s="491"/>
    </row>
    <row r="825" spans="1:9" ht="14.25">
      <c r="A825" s="175"/>
      <c r="B825" s="13"/>
      <c r="C825" s="990"/>
      <c r="D825" s="1287"/>
      <c r="E825" s="1287"/>
      <c r="F825" s="1287"/>
      <c r="G825" s="989"/>
      <c r="I825" s="491"/>
    </row>
    <row r="826" spans="1:9" ht="12.75" customHeight="1">
      <c r="A826" s="175"/>
      <c r="B826" s="13"/>
      <c r="C826" s="990"/>
      <c r="D826" s="1287"/>
      <c r="E826" s="1287"/>
      <c r="F826" s="1287"/>
      <c r="G826" s="989"/>
      <c r="I826" s="491"/>
    </row>
    <row r="827" spans="1:9" ht="12.75" customHeight="1">
      <c r="A827" s="175"/>
      <c r="B827" s="13"/>
      <c r="C827" s="990"/>
      <c r="D827" s="1287"/>
      <c r="E827" s="1287"/>
      <c r="F827" s="1287"/>
      <c r="G827" s="989"/>
      <c r="I827" s="491"/>
    </row>
    <row r="828" spans="1:9" ht="12.75" customHeight="1">
      <c r="A828" s="13"/>
      <c r="B828" s="13"/>
      <c r="C828" s="990"/>
      <c r="D828" s="989"/>
      <c r="E828" s="3"/>
      <c r="F828" s="3"/>
      <c r="G828" s="989"/>
      <c r="I828" s="491"/>
    </row>
    <row r="829" spans="1:9" ht="12.75" customHeight="1">
      <c r="A829" s="1283" t="s">
        <v>1762</v>
      </c>
      <c r="B829" s="1283"/>
      <c r="C829" s="1283"/>
      <c r="D829" s="1283"/>
      <c r="E829" s="1283"/>
      <c r="F829" s="1283"/>
      <c r="G829" s="1283"/>
      <c r="H829" s="1029"/>
      <c r="I829" s="1155"/>
    </row>
    <row r="830" spans="1:9" ht="12.75" customHeight="1">
      <c r="A830" s="172"/>
      <c r="B830" s="172"/>
      <c r="C830" s="990"/>
      <c r="D830" s="989"/>
      <c r="E830" s="989"/>
      <c r="F830" s="989"/>
      <c r="G830" s="989"/>
      <c r="I830" s="491"/>
    </row>
    <row r="831" spans="1:9" ht="12.75" customHeight="1">
      <c r="A831" s="175"/>
      <c r="B831" s="175"/>
      <c r="C831" s="355"/>
      <c r="D831" s="1303" t="s">
        <v>1802</v>
      </c>
      <c r="E831" s="1303"/>
      <c r="F831" s="1303"/>
      <c r="G831" s="3"/>
      <c r="I831" s="491"/>
    </row>
    <row r="832" spans="1:9" ht="14.25" customHeight="1">
      <c r="A832" s="175"/>
      <c r="B832" s="175"/>
      <c r="C832" s="355"/>
      <c r="D832" s="1260" t="s">
        <v>1763</v>
      </c>
      <c r="E832" s="1260"/>
      <c r="F832" s="1260"/>
      <c r="G832" s="3"/>
      <c r="I832" s="491"/>
    </row>
    <row r="833" spans="1:9" ht="12.75" customHeight="1">
      <c r="A833" s="175"/>
      <c r="B833" s="175"/>
      <c r="C833" s="355"/>
      <c r="D833" s="442"/>
      <c r="E833" s="442"/>
      <c r="F833" s="442"/>
      <c r="G833" s="3"/>
      <c r="I833" s="491"/>
    </row>
    <row r="834" spans="1:9" ht="12.75" customHeight="1">
      <c r="A834" s="355"/>
      <c r="B834" s="486" t="s">
        <v>2743</v>
      </c>
      <c r="C834" s="990"/>
      <c r="D834" s="1260" t="s">
        <v>1764</v>
      </c>
      <c r="E834" s="1260"/>
      <c r="F834" s="1260"/>
      <c r="G834" s="3"/>
      <c r="I834" s="491" t="s">
        <v>1879</v>
      </c>
    </row>
    <row r="835" spans="1:9" ht="14.25" customHeight="1">
      <c r="A835" s="13"/>
      <c r="B835" s="13"/>
      <c r="C835" s="990"/>
      <c r="E835" s="1037" t="s">
        <v>1895</v>
      </c>
      <c r="F835" s="1039"/>
      <c r="G835" s="3"/>
      <c r="I835" s="491"/>
    </row>
    <row r="836" spans="1:9" ht="12.75" customHeight="1">
      <c r="A836" s="13"/>
      <c r="B836" s="13"/>
      <c r="C836" s="990"/>
      <c r="D836" s="992"/>
      <c r="E836" s="3"/>
      <c r="F836" s="3"/>
      <c r="G836" s="3"/>
      <c r="I836" s="491"/>
    </row>
    <row r="837" spans="1:9" ht="14.25" hidden="1" customHeight="1">
      <c r="A837" s="13"/>
      <c r="B837" s="486" t="s">
        <v>306</v>
      </c>
      <c r="C837" s="990"/>
      <c r="D837" s="1304" t="s">
        <v>2076</v>
      </c>
      <c r="E837" s="1304"/>
      <c r="F837" s="1304"/>
      <c r="G837" s="3"/>
      <c r="I837" s="491"/>
    </row>
    <row r="838" spans="1:9" ht="12.75" hidden="1" customHeight="1">
      <c r="A838" s="13"/>
      <c r="B838" s="13"/>
      <c r="C838" s="990"/>
      <c r="D838" s="1304"/>
      <c r="E838" s="1304"/>
      <c r="F838" s="1304"/>
      <c r="G838" s="3"/>
      <c r="I838" s="491"/>
    </row>
    <row r="839" spans="1:9" ht="12.75" hidden="1" customHeight="1">
      <c r="A839" s="13"/>
      <c r="B839" s="13"/>
      <c r="C839" s="990"/>
      <c r="D839" s="1304"/>
      <c r="E839" s="1304"/>
      <c r="F839" s="1304"/>
      <c r="G839" s="3"/>
      <c r="I839" s="491"/>
    </row>
    <row r="840" spans="1:9" ht="12.75" hidden="1" customHeight="1">
      <c r="A840" s="13"/>
      <c r="B840" s="13"/>
      <c r="C840" s="990"/>
      <c r="D840" s="1304"/>
      <c r="E840" s="1304"/>
      <c r="F840" s="1304"/>
      <c r="G840" s="3"/>
      <c r="I840" s="491"/>
    </row>
    <row r="841" spans="1:9" ht="12.75" hidden="1" customHeight="1">
      <c r="A841" s="13"/>
      <c r="B841" s="13"/>
      <c r="C841" s="990"/>
      <c r="D841" s="1304"/>
      <c r="E841" s="1304"/>
      <c r="F841" s="1304"/>
      <c r="G841" s="3"/>
      <c r="I841" s="491"/>
    </row>
    <row r="842" spans="1:9" ht="12.75" hidden="1" customHeight="1">
      <c r="A842" s="13"/>
      <c r="B842" s="13"/>
      <c r="C842" s="990"/>
      <c r="D842" s="1304"/>
      <c r="E842" s="1304"/>
      <c r="F842" s="1304"/>
      <c r="G842" s="3"/>
      <c r="I842" s="491"/>
    </row>
    <row r="843" spans="1:9" ht="12.75" hidden="1" customHeight="1">
      <c r="A843" s="13"/>
      <c r="B843" s="13"/>
      <c r="C843" s="990"/>
      <c r="D843" s="1304"/>
      <c r="E843" s="1304"/>
      <c r="F843" s="1304"/>
      <c r="G843" s="3"/>
      <c r="I843" s="491"/>
    </row>
    <row r="844" spans="1:9" ht="12.75" hidden="1" customHeight="1">
      <c r="A844" s="13"/>
      <c r="B844" s="13"/>
      <c r="C844" s="990"/>
      <c r="D844" s="1304"/>
      <c r="E844" s="1304"/>
      <c r="F844" s="1304"/>
      <c r="G844" s="3"/>
      <c r="I844" s="491"/>
    </row>
    <row r="845" spans="1:9" ht="12.75" hidden="1" customHeight="1">
      <c r="A845" s="13"/>
      <c r="B845" s="13"/>
      <c r="C845" s="990"/>
      <c r="D845" s="1304"/>
      <c r="E845" s="1304"/>
      <c r="F845" s="1304"/>
      <c r="G845" s="3"/>
      <c r="I845" s="491"/>
    </row>
    <row r="846" spans="1:9" ht="12.75" hidden="1" customHeight="1">
      <c r="A846" s="13"/>
      <c r="B846" s="13"/>
      <c r="C846" s="990"/>
      <c r="D846" s="1304"/>
      <c r="E846" s="1304"/>
      <c r="F846" s="1304"/>
      <c r="G846" s="3"/>
      <c r="I846" s="491"/>
    </row>
    <row r="847" spans="1:9" ht="12.75" hidden="1" customHeight="1">
      <c r="A847" s="13"/>
      <c r="B847" s="13"/>
      <c r="C847" s="990"/>
      <c r="D847" s="992"/>
      <c r="E847" s="3"/>
      <c r="F847" s="3"/>
      <c r="G847" s="3"/>
      <c r="I847" s="491"/>
    </row>
    <row r="848" spans="1:9" ht="12.75" customHeight="1">
      <c r="A848" s="175"/>
      <c r="B848" s="486" t="s">
        <v>2743</v>
      </c>
      <c r="C848" s="990"/>
      <c r="D848" s="1260" t="s">
        <v>1765</v>
      </c>
      <c r="E848" s="1260"/>
      <c r="F848" s="1260"/>
      <c r="G848" s="3"/>
      <c r="I848" s="491" t="s">
        <v>1882</v>
      </c>
    </row>
    <row r="849" spans="1:9" ht="12.75" customHeight="1">
      <c r="A849" s="175"/>
      <c r="B849" s="175"/>
      <c r="C849" s="990"/>
      <c r="D849" s="1260"/>
      <c r="E849" s="1260"/>
      <c r="F849" s="1260"/>
      <c r="G849" s="3"/>
      <c r="I849" s="491"/>
    </row>
    <row r="850" spans="1:9" ht="12.75" customHeight="1">
      <c r="A850" s="175"/>
      <c r="B850" s="175"/>
      <c r="C850" s="990"/>
      <c r="D850" s="1260"/>
      <c r="E850" s="1260"/>
      <c r="F850" s="1260"/>
      <c r="G850" s="3"/>
      <c r="I850" s="491"/>
    </row>
    <row r="851" spans="1:9" ht="12.75" customHeight="1">
      <c r="A851" s="175"/>
      <c r="B851" s="175"/>
      <c r="C851" s="990"/>
      <c r="D851" s="118"/>
      <c r="E851" s="3"/>
      <c r="F851" s="3"/>
      <c r="G851" s="3"/>
      <c r="I851" s="491"/>
    </row>
    <row r="852" spans="1:9" ht="12.75" customHeight="1">
      <c r="A852" s="993"/>
      <c r="B852" s="486" t="s">
        <v>2747</v>
      </c>
      <c r="C852" s="990"/>
      <c r="D852" s="1303" t="s">
        <v>1766</v>
      </c>
      <c r="E852" s="1303"/>
      <c r="F852" s="1303"/>
      <c r="G852" s="3"/>
      <c r="I852" s="491"/>
    </row>
    <row r="853" spans="1:9" ht="12.75" customHeight="1">
      <c r="A853" s="355"/>
      <c r="B853" s="993"/>
      <c r="C853" s="990"/>
      <c r="D853" s="1303"/>
      <c r="E853" s="1303"/>
      <c r="F853" s="1303"/>
      <c r="G853" s="3"/>
      <c r="I853" s="491"/>
    </row>
    <row r="854" spans="1:9" ht="12.75" customHeight="1">
      <c r="A854" s="175"/>
      <c r="B854" s="355"/>
      <c r="C854" s="990"/>
      <c r="D854" s="1260" t="s">
        <v>2069</v>
      </c>
      <c r="E854" s="1260"/>
      <c r="F854" s="1260"/>
      <c r="G854" s="3"/>
      <c r="I854" s="491"/>
    </row>
    <row r="855" spans="1:9" ht="12.75" customHeight="1">
      <c r="A855" s="175"/>
      <c r="B855" s="175"/>
      <c r="C855" s="990"/>
      <c r="D855" s="1260"/>
      <c r="E855" s="1260"/>
      <c r="F855" s="1260"/>
      <c r="G855" s="3"/>
      <c r="I855" s="491"/>
    </row>
    <row r="856" spans="1:9" ht="12.75" customHeight="1">
      <c r="A856" s="175"/>
      <c r="B856" s="175"/>
      <c r="C856" s="990"/>
      <c r="D856" s="1260"/>
      <c r="E856" s="1260"/>
      <c r="F856" s="1260"/>
      <c r="G856" s="3"/>
      <c r="I856" s="491"/>
    </row>
    <row r="857" spans="1:9" ht="12.75" customHeight="1">
      <c r="A857" s="175"/>
      <c r="B857" s="175"/>
      <c r="C857" s="990"/>
      <c r="D857" s="1260"/>
      <c r="E857" s="1260"/>
      <c r="F857" s="1260"/>
      <c r="G857" s="3"/>
      <c r="I857" s="491"/>
    </row>
    <row r="858" spans="1:9" ht="12.75" customHeight="1">
      <c r="A858" s="175"/>
      <c r="B858" s="175"/>
      <c r="C858" s="990"/>
      <c r="D858" s="1260"/>
      <c r="E858" s="1260"/>
      <c r="F858" s="1260"/>
      <c r="G858" s="3"/>
      <c r="I858" s="491"/>
    </row>
    <row r="859" spans="1:9" ht="12.75" customHeight="1">
      <c r="A859" s="175"/>
      <c r="B859" s="175"/>
      <c r="C859" s="990"/>
      <c r="D859" s="1260"/>
      <c r="E859" s="1260"/>
      <c r="F859" s="1260"/>
      <c r="G859" s="3"/>
      <c r="I859" s="491"/>
    </row>
    <row r="860" spans="1:9" ht="12.75" customHeight="1">
      <c r="A860" s="175"/>
      <c r="B860" s="175"/>
      <c r="C860" s="990"/>
      <c r="D860" s="118"/>
      <c r="E860" s="3"/>
      <c r="F860" s="3"/>
      <c r="G860" s="3"/>
      <c r="I860" s="491"/>
    </row>
    <row r="861" spans="1:9" ht="12.75" customHeight="1">
      <c r="A861" s="175"/>
      <c r="B861" s="486" t="s">
        <v>2747</v>
      </c>
      <c r="C861" s="990"/>
      <c r="D861" s="1260" t="s">
        <v>1767</v>
      </c>
      <c r="E861" s="1260"/>
      <c r="F861" s="1260"/>
      <c r="G861" s="3"/>
      <c r="I861" s="491" t="s">
        <v>1880</v>
      </c>
    </row>
    <row r="862" spans="1:9" ht="12.75" customHeight="1">
      <c r="A862" s="175"/>
      <c r="B862" s="175"/>
      <c r="C862" s="990"/>
      <c r="D862" s="1260" t="s">
        <v>1768</v>
      </c>
      <c r="E862" s="1260"/>
      <c r="F862" s="1260"/>
      <c r="G862" s="3"/>
      <c r="I862" s="491"/>
    </row>
    <row r="863" spans="1:9" ht="12.75" customHeight="1">
      <c r="A863" s="175"/>
      <c r="B863" s="175"/>
      <c r="C863" s="990"/>
      <c r="E863" s="1037" t="s">
        <v>1897</v>
      </c>
      <c r="F863" s="1039"/>
      <c r="G863" s="3"/>
      <c r="I863" s="491"/>
    </row>
    <row r="864" spans="1:9" ht="12.75" customHeight="1">
      <c r="A864" s="175"/>
      <c r="B864" s="175"/>
      <c r="C864" s="990"/>
      <c r="D864" s="118"/>
      <c r="E864" s="3"/>
      <c r="F864" s="3"/>
      <c r="G864" s="3"/>
      <c r="I864" s="491"/>
    </row>
    <row r="865" spans="1:9" ht="12.75" customHeight="1">
      <c r="A865" s="175"/>
      <c r="B865" s="486" t="s">
        <v>2747</v>
      </c>
      <c r="C865" s="990"/>
      <c r="D865" s="1260" t="s">
        <v>1769</v>
      </c>
      <c r="E865" s="1260"/>
      <c r="F865" s="1260"/>
      <c r="G865" s="3"/>
      <c r="I865" s="491" t="s">
        <v>1883</v>
      </c>
    </row>
    <row r="866" spans="1:9" ht="12.75" customHeight="1">
      <c r="A866" s="175"/>
      <c r="B866" s="175"/>
      <c r="C866" s="990"/>
      <c r="D866" s="1260"/>
      <c r="E866" s="1260"/>
      <c r="F866" s="1260"/>
      <c r="G866" s="3"/>
      <c r="I866" s="491"/>
    </row>
    <row r="867" spans="1:9" ht="12.75" customHeight="1">
      <c r="A867" s="175"/>
      <c r="B867" s="175"/>
      <c r="C867" s="990"/>
      <c r="D867" s="1260"/>
      <c r="E867" s="1260"/>
      <c r="F867" s="1260"/>
      <c r="G867" s="3"/>
      <c r="I867" s="491"/>
    </row>
    <row r="868" spans="1:9" ht="12.75" customHeight="1">
      <c r="A868" s="175"/>
      <c r="B868" s="175"/>
      <c r="C868" s="990"/>
      <c r="D868" s="1260"/>
      <c r="E868" s="1260"/>
      <c r="F868" s="1260"/>
      <c r="G868" s="3"/>
      <c r="I868" s="491"/>
    </row>
    <row r="869" spans="1:9" ht="12.75" customHeight="1">
      <c r="A869" s="172"/>
      <c r="B869" s="172"/>
      <c r="C869" s="172"/>
      <c r="D869" s="118"/>
      <c r="E869" s="3"/>
      <c r="F869" s="3"/>
      <c r="G869" s="3"/>
      <c r="I869" s="491"/>
    </row>
    <row r="870" spans="1:9" ht="12.75" customHeight="1">
      <c r="A870" s="984" t="s">
        <v>1770</v>
      </c>
      <c r="B870" s="984"/>
      <c r="C870" s="994"/>
      <c r="D870" s="994"/>
      <c r="E870" s="994"/>
      <c r="F870" s="994"/>
      <c r="G870" s="994"/>
      <c r="H870" s="1029"/>
      <c r="I870" s="1155"/>
    </row>
    <row r="871" spans="1:9" ht="12.75" customHeight="1">
      <c r="A871" s="172"/>
      <c r="B871" s="172"/>
      <c r="C871" s="172"/>
      <c r="D871" s="995"/>
      <c r="E871" s="3"/>
      <c r="F871" s="3"/>
      <c r="G871" s="3"/>
      <c r="I871" s="491"/>
    </row>
    <row r="872" spans="1:9" ht="12.75" customHeight="1">
      <c r="A872" s="355"/>
      <c r="B872" s="355"/>
      <c r="C872" s="174"/>
      <c r="D872" s="1293" t="s">
        <v>1803</v>
      </c>
      <c r="E872" s="1293"/>
      <c r="F872" s="1293"/>
      <c r="G872" s="989"/>
      <c r="I872" s="491"/>
    </row>
    <row r="873" spans="1:9" ht="12.75" customHeight="1">
      <c r="A873" s="355"/>
      <c r="B873" s="355"/>
      <c r="C873" s="174"/>
      <c r="D873" s="1302" t="s">
        <v>1771</v>
      </c>
      <c r="E873" s="1302"/>
      <c r="F873" s="1302"/>
      <c r="G873" s="989"/>
      <c r="I873" s="491"/>
    </row>
    <row r="874" spans="1:9" ht="12.75" customHeight="1">
      <c r="A874" s="355"/>
      <c r="B874" s="355"/>
      <c r="C874" s="174"/>
      <c r="D874" s="996"/>
      <c r="E874" s="996"/>
      <c r="F874" s="996"/>
      <c r="G874" s="989"/>
      <c r="I874" s="491"/>
    </row>
    <row r="875" spans="1:9" ht="12.75" customHeight="1">
      <c r="A875" s="175"/>
      <c r="B875" s="486" t="s">
        <v>2743</v>
      </c>
      <c r="C875" s="355"/>
      <c r="D875" s="1286" t="s">
        <v>1772</v>
      </c>
      <c r="E875" s="1286"/>
      <c r="F875" s="1286"/>
      <c r="G875" s="989"/>
      <c r="I875" s="491" t="s">
        <v>1880</v>
      </c>
    </row>
    <row r="876" spans="1:9" ht="12.75" customHeight="1">
      <c r="A876" s="355"/>
      <c r="B876" s="355"/>
      <c r="C876" s="355"/>
      <c r="D876" s="2" t="s">
        <v>1747</v>
      </c>
      <c r="E876" s="1037" t="s">
        <v>1897</v>
      </c>
      <c r="F876" s="1040"/>
      <c r="G876" s="989"/>
      <c r="I876" s="491"/>
    </row>
    <row r="877" spans="1:9" ht="12.75" customHeight="1">
      <c r="A877" s="355"/>
      <c r="B877" s="355"/>
      <c r="C877" s="355"/>
      <c r="D877" s="118"/>
      <c r="E877" s="989"/>
      <c r="F877" s="989"/>
      <c r="G877" s="989"/>
      <c r="I877" s="491"/>
    </row>
    <row r="878" spans="1:9" ht="12.75" customHeight="1">
      <c r="A878" s="175"/>
      <c r="B878" s="486" t="s">
        <v>2743</v>
      </c>
      <c r="C878" s="355"/>
      <c r="D878" s="1260" t="s">
        <v>1773</v>
      </c>
      <c r="E878" s="1309"/>
      <c r="F878" s="1309"/>
      <c r="G878" s="3"/>
      <c r="I878" s="491" t="s">
        <v>1883</v>
      </c>
    </row>
    <row r="879" spans="1:9" ht="12.75" customHeight="1">
      <c r="A879" s="355"/>
      <c r="B879" s="355"/>
      <c r="C879" s="355"/>
      <c r="D879" s="1309"/>
      <c r="E879" s="1309"/>
      <c r="F879" s="1309"/>
      <c r="G879" s="3"/>
      <c r="I879" s="491"/>
    </row>
    <row r="880" spans="1:9" ht="12.75" customHeight="1">
      <c r="A880" s="355"/>
      <c r="B880" s="355"/>
      <c r="C880" s="355"/>
      <c r="D880" s="118"/>
      <c r="E880" s="3"/>
      <c r="F880" s="3"/>
      <c r="G880" s="3"/>
      <c r="I880" s="491"/>
    </row>
    <row r="881" spans="1:9" ht="12.75" customHeight="1">
      <c r="A881" s="355"/>
      <c r="B881" s="486" t="s">
        <v>2747</v>
      </c>
      <c r="C881" s="355"/>
      <c r="D881" s="1310" t="s">
        <v>1774</v>
      </c>
      <c r="E881" s="1310"/>
      <c r="F881" s="1310"/>
      <c r="G881" s="989"/>
      <c r="I881" s="491"/>
    </row>
    <row r="882" spans="1:9" ht="12.75" customHeight="1">
      <c r="A882" s="355"/>
      <c r="B882" s="997"/>
      <c r="C882" s="355"/>
      <c r="D882" s="1310"/>
      <c r="E882" s="1310"/>
      <c r="F882" s="1310"/>
      <c r="G882" s="989"/>
      <c r="I882" s="491"/>
    </row>
    <row r="883" spans="1:9" ht="12.75" customHeight="1">
      <c r="A883" s="175"/>
      <c r="B883"/>
      <c r="C883" s="355"/>
      <c r="D883" s="1260" t="s">
        <v>2069</v>
      </c>
      <c r="E883" s="1260"/>
      <c r="F883" s="1260"/>
      <c r="G883" s="989"/>
      <c r="I883" s="491"/>
    </row>
    <row r="884" spans="1:9" ht="12.75" customHeight="1">
      <c r="A884" s="175"/>
      <c r="B884" s="175"/>
      <c r="C884" s="355"/>
      <c r="D884" s="1260"/>
      <c r="E884" s="1260"/>
      <c r="F884" s="1260"/>
      <c r="G884" s="989"/>
      <c r="I884" s="491"/>
    </row>
    <row r="885" spans="1:9" ht="12.75" customHeight="1">
      <c r="A885" s="175"/>
      <c r="B885" s="175"/>
      <c r="C885" s="355"/>
      <c r="D885" s="1260"/>
      <c r="E885" s="1260"/>
      <c r="F885" s="1260"/>
      <c r="G885" s="989"/>
      <c r="I885" s="491"/>
    </row>
    <row r="886" spans="1:9" ht="12.75" customHeight="1">
      <c r="A886" s="175"/>
      <c r="B886" s="175"/>
      <c r="C886" s="355"/>
      <c r="D886" s="1260"/>
      <c r="E886" s="1260"/>
      <c r="F886" s="1260"/>
      <c r="G886" s="989"/>
      <c r="I886" s="491"/>
    </row>
    <row r="887" spans="1:9" ht="12.75" customHeight="1">
      <c r="A887" s="175"/>
      <c r="B887" s="175"/>
      <c r="C887" s="355"/>
      <c r="D887" s="1260"/>
      <c r="E887" s="1260"/>
      <c r="F887" s="1260"/>
      <c r="G887" s="989"/>
      <c r="I887" s="491"/>
    </row>
    <row r="888" spans="1:9" ht="12.75" customHeight="1">
      <c r="A888" s="175"/>
      <c r="B888" s="175"/>
      <c r="C888" s="355"/>
      <c r="D888" s="1260"/>
      <c r="E888" s="1260"/>
      <c r="F888" s="1260"/>
      <c r="G888" s="989"/>
      <c r="I888" s="491"/>
    </row>
    <row r="889" spans="1:9" ht="12.75" customHeight="1">
      <c r="A889" s="175"/>
      <c r="B889" s="175"/>
      <c r="C889" s="355"/>
      <c r="D889" s="118"/>
      <c r="E889" s="989"/>
      <c r="F889" s="989"/>
      <c r="G889" s="989"/>
      <c r="I889" s="491"/>
    </row>
    <row r="890" spans="1:9" ht="12.75" customHeight="1">
      <c r="A890" s="175"/>
      <c r="B890" s="486" t="s">
        <v>2747</v>
      </c>
      <c r="C890" s="355"/>
      <c r="D890" s="1285" t="s">
        <v>1767</v>
      </c>
      <c r="E890" s="1285"/>
      <c r="F890" s="1285"/>
      <c r="G890" s="989"/>
      <c r="I890" s="491"/>
    </row>
    <row r="891" spans="1:9" ht="12.75" customHeight="1">
      <c r="A891" s="175"/>
      <c r="B891" s="175"/>
      <c r="C891" s="355"/>
      <c r="D891" s="1285" t="s">
        <v>1768</v>
      </c>
      <c r="E891" s="1285"/>
      <c r="F891" s="1285"/>
      <c r="G891" s="989"/>
      <c r="I891" s="491"/>
    </row>
    <row r="892" spans="1:9" ht="12.75" customHeight="1">
      <c r="A892" s="175"/>
      <c r="B892" s="175"/>
      <c r="C892" s="355"/>
      <c r="D892" s="2" t="s">
        <v>1269</v>
      </c>
      <c r="E892" s="1037" t="s">
        <v>1897</v>
      </c>
      <c r="F892" s="1041"/>
      <c r="G892" s="989"/>
      <c r="I892" s="491"/>
    </row>
    <row r="893" spans="1:9" ht="12.75" customHeight="1">
      <c r="A893" s="175"/>
      <c r="B893" s="175"/>
      <c r="C893" s="355"/>
      <c r="D893" s="118"/>
      <c r="E893" s="989"/>
      <c r="F893" s="989"/>
      <c r="G893" s="989"/>
      <c r="I893" s="491"/>
    </row>
    <row r="894" spans="1:9" ht="12.75" customHeight="1">
      <c r="A894" s="175"/>
      <c r="B894" s="486" t="s">
        <v>2747</v>
      </c>
      <c r="C894" s="355"/>
      <c r="D894" s="1260" t="s">
        <v>1769</v>
      </c>
      <c r="E894" s="1260"/>
      <c r="F894" s="1260"/>
      <c r="G894" s="989"/>
      <c r="I894" s="491"/>
    </row>
    <row r="895" spans="1:9" ht="12.75" customHeight="1">
      <c r="A895" s="175"/>
      <c r="B895" s="175"/>
      <c r="C895" s="355"/>
      <c r="D895" s="1260"/>
      <c r="E895" s="1260"/>
      <c r="F895" s="1260"/>
      <c r="G895" s="989"/>
      <c r="I895" s="491"/>
    </row>
    <row r="896" spans="1:9" ht="12.75" customHeight="1">
      <c r="A896" s="175"/>
      <c r="B896" s="175"/>
      <c r="C896" s="355"/>
      <c r="D896" s="1260"/>
      <c r="E896" s="1260"/>
      <c r="F896" s="1260"/>
      <c r="G896" s="989"/>
      <c r="I896" s="491"/>
    </row>
    <row r="897" spans="1:9" ht="12.75" customHeight="1">
      <c r="A897" s="175"/>
      <c r="B897" s="175"/>
      <c r="C897" s="355"/>
      <c r="D897" s="1260"/>
      <c r="E897" s="1260"/>
      <c r="F897" s="1260"/>
      <c r="G897" s="989"/>
      <c r="I897" s="491"/>
    </row>
    <row r="898" spans="1:9" ht="12.75" customHeight="1">
      <c r="A898" s="118"/>
      <c r="B898" s="118"/>
      <c r="C898" s="990"/>
      <c r="D898" s="989"/>
      <c r="E898" s="989"/>
      <c r="F898" s="989"/>
      <c r="G898" s="989"/>
      <c r="I898" s="491"/>
    </row>
    <row r="899" spans="1:9" ht="12.75" customHeight="1">
      <c r="A899" s="1283" t="s">
        <v>1804</v>
      </c>
      <c r="B899" s="1283"/>
      <c r="C899" s="1283"/>
      <c r="D899" s="1283"/>
      <c r="E899" s="1283"/>
      <c r="F899" s="1283"/>
      <c r="G899" s="1283"/>
      <c r="H899" s="1029"/>
      <c r="I899" s="1155"/>
    </row>
    <row r="900" spans="1:9" ht="12.75" customHeight="1">
      <c r="A900" s="57"/>
      <c r="B900" s="57"/>
      <c r="C900" s="57"/>
      <c r="D900" s="57"/>
      <c r="E900" s="57"/>
      <c r="F900" s="57"/>
      <c r="G900" s="57"/>
      <c r="I900" s="491"/>
    </row>
    <row r="901" spans="1:9" ht="12.75" customHeight="1">
      <c r="A901" s="57"/>
      <c r="B901" s="57"/>
      <c r="C901" s="57"/>
      <c r="D901" s="1281" t="s">
        <v>1810</v>
      </c>
      <c r="E901" s="1281"/>
      <c r="F901" s="1281"/>
      <c r="G901" s="57"/>
      <c r="I901" s="491"/>
    </row>
    <row r="902" spans="1:9" ht="12.75" customHeight="1">
      <c r="A902" s="57"/>
      <c r="B902" s="57"/>
      <c r="C902" s="57"/>
      <c r="D902" s="982"/>
      <c r="E902" s="982"/>
      <c r="F902" s="982"/>
      <c r="G902" s="57"/>
      <c r="I902" s="491"/>
    </row>
    <row r="903" spans="1:9" ht="12.75" customHeight="1">
      <c r="A903" s="57"/>
      <c r="B903" s="486" t="s">
        <v>2743</v>
      </c>
      <c r="C903" s="57"/>
      <c r="D903" s="985" t="s">
        <v>1811</v>
      </c>
      <c r="E903" s="982"/>
      <c r="F903" s="982"/>
      <c r="G903" s="57"/>
      <c r="I903" s="491"/>
    </row>
    <row r="904" spans="1:9" ht="12.75" customHeight="1">
      <c r="A904" s="57"/>
      <c r="B904" s="57"/>
      <c r="C904" s="57"/>
      <c r="D904" s="982"/>
      <c r="E904" s="982"/>
      <c r="F904" s="982"/>
      <c r="G904" s="57"/>
      <c r="I904" s="491"/>
    </row>
    <row r="905" spans="1:9" ht="12.75" customHeight="1">
      <c r="A905" s="355"/>
      <c r="B905" s="355"/>
      <c r="C905" s="990"/>
      <c r="D905" s="1281" t="s">
        <v>1805</v>
      </c>
      <c r="E905" s="1281"/>
      <c r="F905" s="1281"/>
      <c r="G905" s="989"/>
      <c r="I905" s="491"/>
    </row>
    <row r="906" spans="1:9" ht="12.75" customHeight="1">
      <c r="A906" s="172"/>
      <c r="B906" s="172"/>
      <c r="C906" s="172"/>
      <c r="D906" s="1286" t="s">
        <v>1775</v>
      </c>
      <c r="E906" s="1286"/>
      <c r="F906" s="1286"/>
      <c r="G906" s="989"/>
      <c r="I906" s="491"/>
    </row>
    <row r="907" spans="1:9" ht="12.75" customHeight="1">
      <c r="A907" s="990"/>
      <c r="B907" s="990"/>
      <c r="C907" s="990"/>
      <c r="D907" s="2"/>
      <c r="E907" s="989"/>
      <c r="F907" s="989"/>
      <c r="G907" s="989"/>
      <c r="I907" s="491"/>
    </row>
    <row r="908" spans="1:9" ht="12.75" customHeight="1">
      <c r="A908" s="175"/>
      <c r="B908" s="486" t="s">
        <v>2743</v>
      </c>
      <c r="C908" s="355"/>
      <c r="D908" s="1260" t="s">
        <v>1779</v>
      </c>
      <c r="E908" s="1260"/>
      <c r="F908" s="1260"/>
      <c r="G908" s="3"/>
      <c r="I908" s="491"/>
    </row>
    <row r="909" spans="1:9" ht="12.75" customHeight="1">
      <c r="A909" s="355"/>
      <c r="B909" s="355"/>
      <c r="C909" s="355"/>
      <c r="D909" s="1260"/>
      <c r="E909" s="1260"/>
      <c r="F909" s="1260"/>
      <c r="G909" s="3"/>
      <c r="I909" s="491"/>
    </row>
    <row r="910" spans="1:9" ht="12.75" customHeight="1">
      <c r="A910" s="172"/>
      <c r="B910" s="172"/>
      <c r="C910" s="172"/>
      <c r="D910" s="1260" t="s">
        <v>1778</v>
      </c>
      <c r="E910" s="1260"/>
      <c r="F910" s="1260"/>
      <c r="G910" s="989"/>
      <c r="I910" s="491"/>
    </row>
    <row r="911" spans="1:9" ht="12.75" customHeight="1">
      <c r="A911" s="172"/>
      <c r="B911" s="172"/>
      <c r="C911" s="172"/>
      <c r="D911" s="1260"/>
      <c r="E911" s="1260"/>
      <c r="F911" s="1260"/>
      <c r="G911" s="989"/>
      <c r="I911" s="491"/>
    </row>
    <row r="912" spans="1:9" ht="12.75" customHeight="1">
      <c r="A912" s="172"/>
      <c r="B912" s="172"/>
      <c r="C912" s="172"/>
      <c r="D912" s="3"/>
      <c r="E912" s="3"/>
      <c r="F912" s="989"/>
      <c r="G912" s="989"/>
      <c r="I912" s="491"/>
    </row>
    <row r="913" spans="1:9" ht="12.75" customHeight="1">
      <c r="A913" s="175"/>
      <c r="B913" s="486" t="s">
        <v>2743</v>
      </c>
      <c r="C913" s="174"/>
      <c r="D913" s="1271" t="s">
        <v>1776</v>
      </c>
      <c r="E913" s="1271"/>
      <c r="F913" s="1271"/>
      <c r="G913" s="989"/>
      <c r="I913" s="491"/>
    </row>
    <row r="914" spans="1:9" ht="12.75" customHeight="1">
      <c r="A914" s="175"/>
      <c r="B914" s="175"/>
      <c r="C914" s="174"/>
      <c r="D914" s="1271"/>
      <c r="E914" s="1271"/>
      <c r="F914" s="1271"/>
      <c r="G914" s="989"/>
      <c r="I914" s="491"/>
    </row>
    <row r="915" spans="1:9" ht="12.75" customHeight="1">
      <c r="A915" s="175"/>
      <c r="B915" s="175"/>
      <c r="C915" s="174"/>
      <c r="D915" s="1271"/>
      <c r="E915" s="1271"/>
      <c r="F915" s="1271"/>
      <c r="G915" s="989"/>
      <c r="I915" s="491"/>
    </row>
    <row r="916" spans="1:9" ht="12.75" customHeight="1">
      <c r="A916" s="175"/>
      <c r="B916" s="175"/>
      <c r="C916" s="174"/>
      <c r="D916" s="1271"/>
      <c r="E916" s="1271"/>
      <c r="F916" s="1271"/>
      <c r="G916" s="989"/>
      <c r="I916" s="491"/>
    </row>
    <row r="917" spans="1:9" ht="12.75" customHeight="1">
      <c r="A917" s="175"/>
      <c r="B917" s="175"/>
      <c r="C917" s="174"/>
      <c r="D917" s="1271"/>
      <c r="E917" s="1271"/>
      <c r="F917" s="1271"/>
      <c r="G917" s="989"/>
      <c r="I917" s="491"/>
    </row>
    <row r="918" spans="1:9" ht="12.75" customHeight="1">
      <c r="A918" s="174"/>
      <c r="B918" s="174"/>
      <c r="C918" s="174"/>
      <c r="D918" s="1271"/>
      <c r="E918" s="1271"/>
      <c r="F918" s="1271"/>
      <c r="G918" s="989"/>
      <c r="I918" s="491"/>
    </row>
    <row r="919" spans="1:9" ht="12.75" customHeight="1">
      <c r="A919" s="174"/>
      <c r="B919" s="174"/>
      <c r="C919" s="174"/>
      <c r="D919" s="1271"/>
      <c r="E919" s="1271"/>
      <c r="F919" s="1271"/>
      <c r="G919" s="989"/>
      <c r="I919" s="491"/>
    </row>
    <row r="920" spans="1:9" ht="12.75" customHeight="1">
      <c r="A920" s="174"/>
      <c r="B920" s="174"/>
      <c r="C920" s="174"/>
      <c r="D920" s="1271"/>
      <c r="E920" s="1271"/>
      <c r="F920" s="1271"/>
      <c r="G920" s="989"/>
      <c r="I920" s="491"/>
    </row>
    <row r="921" spans="1:9" ht="12.75" customHeight="1">
      <c r="A921" s="174"/>
      <c r="B921" s="174"/>
      <c r="C921" s="174"/>
      <c r="D921" s="336"/>
      <c r="E921" s="336"/>
      <c r="F921" s="336"/>
      <c r="G921" s="989"/>
      <c r="I921" s="491"/>
    </row>
    <row r="922" spans="1:9" ht="12.75" customHeight="1">
      <c r="A922" s="990"/>
      <c r="B922" s="486" t="s">
        <v>2747</v>
      </c>
      <c r="C922" s="990"/>
      <c r="D922" s="1260" t="s">
        <v>1780</v>
      </c>
      <c r="E922" s="1260"/>
      <c r="F922" s="1260"/>
      <c r="G922" s="989"/>
      <c r="I922" s="491"/>
    </row>
    <row r="923" spans="1:9" ht="12.75" customHeight="1">
      <c r="A923" s="990"/>
      <c r="B923" s="990"/>
      <c r="C923" s="990"/>
      <c r="D923" s="1260"/>
      <c r="E923" s="1260"/>
      <c r="F923" s="1260"/>
      <c r="G923" s="989"/>
      <c r="I923" s="491"/>
    </row>
    <row r="924" spans="1:9" ht="12.75" customHeight="1">
      <c r="A924" s="990"/>
      <c r="B924" s="990"/>
      <c r="C924" s="990"/>
      <c r="D924" s="989"/>
      <c r="E924" s="989"/>
      <c r="F924" s="989"/>
      <c r="G924" s="989"/>
      <c r="I924" s="491"/>
    </row>
    <row r="925" spans="1:9" ht="12.75" customHeight="1">
      <c r="A925" s="990"/>
      <c r="B925" s="486" t="s">
        <v>2747</v>
      </c>
      <c r="C925" s="990"/>
      <c r="D925" s="1287" t="s">
        <v>1781</v>
      </c>
      <c r="E925" s="1287"/>
      <c r="F925" s="1287"/>
      <c r="G925" s="989"/>
      <c r="I925" s="491"/>
    </row>
    <row r="926" spans="1:9" ht="12.75" customHeight="1">
      <c r="A926" s="990"/>
      <c r="B926" s="990"/>
      <c r="C926" s="990"/>
      <c r="D926" s="1287"/>
      <c r="E926" s="1287"/>
      <c r="F926" s="1287"/>
      <c r="G926" s="989"/>
      <c r="I926" s="491"/>
    </row>
    <row r="927" spans="1:9" ht="12.75" customHeight="1">
      <c r="A927" s="990"/>
      <c r="B927" s="990"/>
      <c r="C927" s="990"/>
      <c r="D927" s="1287"/>
      <c r="E927" s="1287"/>
      <c r="F927" s="1287"/>
      <c r="G927" s="989"/>
      <c r="I927" s="491"/>
    </row>
    <row r="928" spans="1:9" ht="12.75" customHeight="1">
      <c r="A928" s="990"/>
      <c r="B928" s="990"/>
      <c r="C928" s="990"/>
      <c r="D928" s="1287"/>
      <c r="E928" s="1287"/>
      <c r="F928" s="1287"/>
      <c r="G928" s="989"/>
      <c r="I928" s="491"/>
    </row>
    <row r="929" spans="1:9" ht="12.75" customHeight="1">
      <c r="A929" s="990"/>
      <c r="B929" s="990"/>
      <c r="C929" s="990"/>
      <c r="D929" s="118"/>
      <c r="E929" s="989"/>
      <c r="F929" s="989"/>
      <c r="G929" s="989"/>
      <c r="I929" s="491"/>
    </row>
    <row r="930" spans="1:9" ht="12.75" customHeight="1">
      <c r="A930" s="990"/>
      <c r="B930" s="486" t="s">
        <v>2747</v>
      </c>
      <c r="C930" s="990"/>
      <c r="D930" s="1286" t="s">
        <v>2070</v>
      </c>
      <c r="E930" s="1286"/>
      <c r="F930" s="1286"/>
      <c r="G930" s="989"/>
      <c r="I930" s="491"/>
    </row>
    <row r="931" spans="1:9" ht="12.75" customHeight="1">
      <c r="A931" s="990"/>
      <c r="B931" s="990"/>
      <c r="C931" s="990"/>
      <c r="D931" s="118"/>
      <c r="E931" s="989"/>
      <c r="F931" s="989"/>
      <c r="G931" s="989"/>
      <c r="I931" s="491"/>
    </row>
    <row r="932" spans="1:9" ht="12.75" customHeight="1">
      <c r="A932" s="990"/>
      <c r="B932" s="486" t="s">
        <v>2747</v>
      </c>
      <c r="C932" s="990"/>
      <c r="D932" s="1286" t="s">
        <v>2071</v>
      </c>
      <c r="E932" s="1286"/>
      <c r="F932" s="1286"/>
      <c r="G932" s="989"/>
      <c r="I932" s="491"/>
    </row>
    <row r="933" spans="1:9" ht="12.75" customHeight="1">
      <c r="A933" s="174"/>
      <c r="B933" s="174"/>
      <c r="C933" s="174"/>
      <c r="D933" s="2"/>
      <c r="E933" s="3"/>
      <c r="F933" s="989"/>
      <c r="G933" s="989"/>
      <c r="I933" s="491"/>
    </row>
    <row r="934" spans="1:9" ht="12.75" customHeight="1">
      <c r="A934" s="998"/>
      <c r="B934" s="486" t="s">
        <v>2747</v>
      </c>
      <c r="C934" s="999"/>
      <c r="D934" s="1271" t="s">
        <v>1777</v>
      </c>
      <c r="E934" s="1271"/>
      <c r="F934" s="1271"/>
      <c r="G934" s="1000"/>
      <c r="I934" s="491"/>
    </row>
    <row r="935" spans="1:9" ht="12.75" customHeight="1">
      <c r="A935" s="998"/>
      <c r="B935" s="998"/>
      <c r="C935" s="999"/>
      <c r="D935" s="1271"/>
      <c r="E935" s="1271"/>
      <c r="F935" s="1271"/>
      <c r="G935" s="1000"/>
      <c r="I935" s="491"/>
    </row>
    <row r="936" spans="1:9" ht="12.75" customHeight="1">
      <c r="A936" s="998"/>
      <c r="B936" s="998"/>
      <c r="C936" s="999"/>
      <c r="D936" s="1271"/>
      <c r="E936" s="1271"/>
      <c r="F936" s="1271"/>
      <c r="G936" s="1000"/>
      <c r="I936" s="491"/>
    </row>
    <row r="937" spans="1:9" ht="12.75" customHeight="1">
      <c r="A937" s="998"/>
      <c r="B937" s="998"/>
      <c r="C937" s="999"/>
      <c r="D937" s="1271"/>
      <c r="E937" s="1271"/>
      <c r="F937" s="1271"/>
      <c r="G937" s="1000"/>
      <c r="I937" s="491"/>
    </row>
    <row r="938" spans="1:9" ht="12.75" customHeight="1">
      <c r="A938" s="998"/>
      <c r="B938" s="998"/>
      <c r="C938" s="999"/>
      <c r="D938" s="1271"/>
      <c r="E938" s="1271"/>
      <c r="F938" s="1271"/>
      <c r="G938" s="1000"/>
      <c r="I938" s="491"/>
    </row>
    <row r="939" spans="1:9" ht="12.75" customHeight="1">
      <c r="A939" s="998"/>
      <c r="B939" s="998"/>
      <c r="C939" s="999"/>
      <c r="D939" s="1271"/>
      <c r="E939" s="1271"/>
      <c r="F939" s="1271"/>
      <c r="G939" s="1000"/>
      <c r="I939" s="491"/>
    </row>
    <row r="940" spans="1:9" ht="12.75" customHeight="1">
      <c r="A940" s="998"/>
      <c r="B940" s="998"/>
      <c r="C940" s="999"/>
      <c r="D940" s="1271"/>
      <c r="E940" s="1271"/>
      <c r="F940" s="1271"/>
      <c r="G940" s="1000"/>
      <c r="I940" s="491"/>
    </row>
    <row r="941" spans="1:9" ht="12.75" customHeight="1">
      <c r="A941" s="998"/>
      <c r="B941" s="998"/>
      <c r="C941" s="999"/>
      <c r="D941" s="1271"/>
      <c r="E941" s="1271"/>
      <c r="F941" s="1271"/>
      <c r="G941" s="1000"/>
      <c r="I941" s="491"/>
    </row>
    <row r="942" spans="1:9" ht="12.75" customHeight="1">
      <c r="A942" s="998"/>
      <c r="B942" s="998"/>
      <c r="C942" s="999"/>
      <c r="D942" s="1271"/>
      <c r="E942" s="1271"/>
      <c r="F942" s="1271"/>
      <c r="G942" s="1000"/>
      <c r="I942" s="491"/>
    </row>
    <row r="943" spans="1:9" ht="12.75" customHeight="1">
      <c r="A943" s="174"/>
      <c r="B943" s="174"/>
      <c r="C943" s="174"/>
      <c r="D943" s="2"/>
      <c r="E943" s="3"/>
      <c r="F943" s="989"/>
      <c r="G943" s="989"/>
      <c r="I943" s="491"/>
    </row>
    <row r="944" spans="1:9" ht="12.75" customHeight="1">
      <c r="A944" s="175"/>
      <c r="B944" s="486" t="s">
        <v>2743</v>
      </c>
      <c r="C944" s="174"/>
      <c r="D944" s="1295" t="s">
        <v>1886</v>
      </c>
      <c r="E944" s="1295"/>
      <c r="F944" s="1295"/>
      <c r="G944" s="989"/>
      <c r="I944" s="491"/>
    </row>
    <row r="945" spans="1:9" ht="12.75" customHeight="1">
      <c r="A945" s="175"/>
      <c r="B945" s="175"/>
      <c r="C945" s="174"/>
      <c r="D945" s="1295"/>
      <c r="E945" s="1295"/>
      <c r="F945" s="1295"/>
      <c r="G945" s="989"/>
      <c r="I945" s="491"/>
    </row>
    <row r="946" spans="1:9" ht="12.75" customHeight="1">
      <c r="A946" s="175"/>
      <c r="B946" s="175"/>
      <c r="C946" s="174"/>
      <c r="D946" s="1295"/>
      <c r="E946" s="1295"/>
      <c r="F946" s="1295"/>
      <c r="G946" s="989"/>
      <c r="I946" s="491"/>
    </row>
    <row r="947" spans="1:9" ht="12.75" customHeight="1">
      <c r="A947" s="175"/>
      <c r="B947" s="175"/>
      <c r="C947" s="174"/>
      <c r="D947" s="1295"/>
      <c r="E947" s="1295"/>
      <c r="F947" s="1295"/>
      <c r="G947" s="989"/>
      <c r="I947" s="491"/>
    </row>
    <row r="948" spans="1:9" ht="12.75" customHeight="1">
      <c r="A948" s="175"/>
      <c r="B948" s="175"/>
      <c r="C948" s="174"/>
      <c r="D948" s="1295"/>
      <c r="E948" s="1295"/>
      <c r="F948" s="1295"/>
      <c r="G948" s="989"/>
      <c r="I948" s="491"/>
    </row>
    <row r="949" spans="1:9" ht="12.75" customHeight="1">
      <c r="A949" s="175"/>
      <c r="B949" s="175"/>
      <c r="C949" s="174"/>
      <c r="D949" s="1295"/>
      <c r="E949" s="1295"/>
      <c r="F949" s="1295"/>
      <c r="G949" s="989"/>
      <c r="I949" s="491"/>
    </row>
    <row r="950" spans="1:9" ht="12.75" customHeight="1">
      <c r="A950" s="175"/>
      <c r="B950" s="175"/>
      <c r="C950" s="174"/>
      <c r="D950" s="1295"/>
      <c r="E950" s="1295"/>
      <c r="F950" s="1295"/>
      <c r="G950" s="989"/>
      <c r="I950" s="491"/>
    </row>
    <row r="951" spans="1:9" ht="12.75" customHeight="1">
      <c r="A951" s="175"/>
      <c r="B951" s="175"/>
      <c r="C951" s="174"/>
      <c r="D951" s="1027"/>
      <c r="E951" s="1027"/>
      <c r="F951" s="1027"/>
      <c r="G951" s="989"/>
      <c r="I951" s="491"/>
    </row>
    <row r="952" spans="1:9" ht="12.75" customHeight="1">
      <c r="A952" s="175"/>
      <c r="B952" s="486" t="s">
        <v>2747</v>
      </c>
      <c r="C952" s="174"/>
      <c r="D952" s="1270" t="s">
        <v>2138</v>
      </c>
      <c r="E952" s="1270"/>
      <c r="F952" s="1270"/>
      <c r="G952" s="989"/>
      <c r="I952" s="491"/>
    </row>
    <row r="953" spans="1:9" ht="12.75" customHeight="1">
      <c r="A953" s="175"/>
      <c r="B953" s="175"/>
      <c r="C953" s="174"/>
      <c r="D953" s="1270"/>
      <c r="E953" s="1270"/>
      <c r="F953" s="1270"/>
      <c r="G953" s="989"/>
      <c r="I953" s="491"/>
    </row>
    <row r="954" spans="1:9" ht="12.75" customHeight="1">
      <c r="A954" s="175"/>
      <c r="B954" s="175"/>
      <c r="C954" s="174"/>
      <c r="D954" s="1270"/>
      <c r="E954" s="1270"/>
      <c r="F954" s="1270"/>
      <c r="G954" s="989"/>
      <c r="I954" s="491"/>
    </row>
    <row r="955" spans="1:9" ht="12.75" customHeight="1">
      <c r="A955" s="175"/>
      <c r="B955" s="175"/>
      <c r="C955" s="174"/>
      <c r="D955" s="1270"/>
      <c r="E955" s="1270"/>
      <c r="F955" s="1270"/>
      <c r="G955" s="989"/>
      <c r="I955" s="491"/>
    </row>
    <row r="956" spans="1:9" ht="12.75" customHeight="1">
      <c r="A956" s="175"/>
      <c r="B956" s="175"/>
      <c r="C956" s="174"/>
      <c r="D956" s="1270"/>
      <c r="E956" s="1270"/>
      <c r="F956" s="1270"/>
      <c r="G956" s="989"/>
      <c r="I956" s="491"/>
    </row>
    <row r="957" spans="1:9" ht="12.75" customHeight="1">
      <c r="A957" s="175"/>
      <c r="B957" s="175"/>
      <c r="C957" s="174"/>
      <c r="D957" s="1270"/>
      <c r="E957" s="1270"/>
      <c r="F957" s="1270"/>
      <c r="G957" s="989"/>
      <c r="I957" s="491"/>
    </row>
    <row r="958" spans="1:9" ht="12.75" customHeight="1">
      <c r="A958" s="175"/>
      <c r="B958" s="175"/>
      <c r="C958" s="174"/>
      <c r="D958" s="1027"/>
      <c r="E958" s="1027"/>
      <c r="F958" s="1027"/>
      <c r="G958" s="989"/>
      <c r="I958" s="491"/>
    </row>
    <row r="959" spans="1:9" ht="12.75" customHeight="1">
      <c r="A959" s="990"/>
      <c r="B959" s="486" t="s">
        <v>2747</v>
      </c>
      <c r="C959" s="990"/>
      <c r="D959" s="1287" t="s">
        <v>1782</v>
      </c>
      <c r="E959" s="1287"/>
      <c r="F959" s="1287"/>
      <c r="G959" s="989"/>
      <c r="I959" s="491"/>
    </row>
    <row r="960" spans="1:9" ht="12.75" customHeight="1">
      <c r="A960" s="990"/>
      <c r="B960" s="990"/>
      <c r="C960" s="990"/>
      <c r="D960" s="1287"/>
      <c r="E960" s="1287"/>
      <c r="F960" s="1287"/>
      <c r="G960" s="989"/>
      <c r="I960" s="491"/>
    </row>
    <row r="961" spans="1:9" ht="12.75" customHeight="1">
      <c r="A961" s="990"/>
      <c r="B961" s="990"/>
      <c r="C961" s="990"/>
      <c r="D961" s="1287"/>
      <c r="E961" s="1287"/>
      <c r="F961" s="1287"/>
      <c r="G961" s="989"/>
      <c r="I961" s="491"/>
    </row>
    <row r="962" spans="1:9" ht="12.75" customHeight="1">
      <c r="A962" s="175"/>
      <c r="B962" s="175"/>
      <c r="C962" s="174"/>
      <c r="D962" s="1027"/>
      <c r="E962" s="1027"/>
      <c r="F962" s="1027"/>
      <c r="G962" s="989"/>
      <c r="I962" s="491"/>
    </row>
    <row r="963" spans="1:9" ht="12.75" customHeight="1">
      <c r="A963" s="175"/>
      <c r="B963" s="175"/>
      <c r="C963" s="174"/>
      <c r="D963" s="845"/>
      <c r="E963" s="3"/>
      <c r="F963" s="989"/>
      <c r="G963" s="989"/>
      <c r="I963" s="491"/>
    </row>
    <row r="964" spans="1:9" ht="12.75" customHeight="1">
      <c r="A964" s="175"/>
      <c r="B964" s="486" t="s">
        <v>2747</v>
      </c>
      <c r="C964" s="174"/>
      <c r="D964" s="1271" t="s">
        <v>1885</v>
      </c>
      <c r="E964" s="1271"/>
      <c r="F964" s="1271"/>
      <c r="G964" s="989"/>
      <c r="I964" s="491"/>
    </row>
    <row r="965" spans="1:9" ht="12.75" customHeight="1">
      <c r="A965" s="175"/>
      <c r="B965" s="175"/>
      <c r="C965" s="174"/>
      <c r="D965" s="1271"/>
      <c r="E965" s="1271"/>
      <c r="F965" s="1271"/>
      <c r="G965" s="989"/>
      <c r="I965" s="491"/>
    </row>
    <row r="966" spans="1:9" ht="12.75" customHeight="1">
      <c r="A966" s="175"/>
      <c r="B966" s="175"/>
      <c r="C966" s="174"/>
      <c r="D966" s="1271"/>
      <c r="E966" s="1271"/>
      <c r="F966" s="1271"/>
      <c r="G966" s="989"/>
      <c r="I966" s="491"/>
    </row>
    <row r="967" spans="1:9" ht="12.75" customHeight="1">
      <c r="A967" s="175"/>
      <c r="B967" s="175"/>
      <c r="C967" s="174"/>
      <c r="D967" s="1271"/>
      <c r="E967" s="1271"/>
      <c r="F967" s="1271"/>
      <c r="G967" s="989"/>
      <c r="I967" s="491"/>
    </row>
    <row r="968" spans="1:9" ht="12.75" customHeight="1">
      <c r="A968" s="990"/>
      <c r="B968" s="990"/>
      <c r="C968" s="990"/>
      <c r="D968" s="981"/>
      <c r="E968" s="981"/>
      <c r="F968" s="981"/>
      <c r="G968" s="981"/>
      <c r="I968" s="491"/>
    </row>
    <row r="969" spans="1:9" ht="12.75" customHeight="1">
      <c r="A969" s="355"/>
      <c r="B969" s="355"/>
      <c r="C969" s="355"/>
      <c r="D969" s="1293" t="s">
        <v>1783</v>
      </c>
      <c r="E969" s="1293"/>
      <c r="F969" s="1293"/>
      <c r="G969" s="3"/>
      <c r="I969" s="491"/>
    </row>
    <row r="970" spans="1:9" ht="12.75" customHeight="1">
      <c r="A970" s="175"/>
      <c r="B970" s="486" t="s">
        <v>2747</v>
      </c>
      <c r="C970" s="355"/>
      <c r="D970" s="1286" t="s">
        <v>1806</v>
      </c>
      <c r="E970" s="1286"/>
      <c r="F970" s="1286"/>
      <c r="G970" s="3"/>
      <c r="I970" s="491"/>
    </row>
    <row r="971" spans="1:9" ht="12.75" customHeight="1">
      <c r="A971" s="355"/>
      <c r="B971" s="355"/>
      <c r="C971" s="355"/>
      <c r="D971" s="3"/>
      <c r="E971" s="3"/>
      <c r="F971" s="3"/>
      <c r="G971" s="3"/>
      <c r="I971" s="491"/>
    </row>
    <row r="972" spans="1:9" ht="12.75" customHeight="1">
      <c r="A972" s="355"/>
      <c r="B972" s="355"/>
      <c r="C972" s="355"/>
      <c r="D972" s="1293" t="s">
        <v>1784</v>
      </c>
      <c r="E972" s="1293"/>
      <c r="F972" s="1293"/>
      <c r="G972"/>
      <c r="I972" s="491"/>
    </row>
    <row r="973" spans="1:9" ht="12.75" customHeight="1">
      <c r="A973" s="175"/>
      <c r="B973" s="486" t="s">
        <v>2747</v>
      </c>
      <c r="C973" s="355"/>
      <c r="D973" s="1260" t="s">
        <v>2072</v>
      </c>
      <c r="E973" s="1260"/>
      <c r="F973" s="1260"/>
      <c r="G973"/>
      <c r="I973" s="491"/>
    </row>
    <row r="974" spans="1:9" ht="12.75" customHeight="1">
      <c r="A974" s="175"/>
      <c r="B974" s="175"/>
      <c r="C974" s="355"/>
      <c r="D974" s="1260"/>
      <c r="E974" s="1260"/>
      <c r="F974" s="1260"/>
      <c r="G974"/>
      <c r="I974" s="491"/>
    </row>
    <row r="975" spans="1:9" ht="12.75" customHeight="1">
      <c r="A975" s="175"/>
      <c r="B975" s="175"/>
      <c r="C975" s="355"/>
      <c r="D975" s="1260"/>
      <c r="E975" s="1260"/>
      <c r="F975" s="1260"/>
      <c r="G975"/>
      <c r="I975" s="491"/>
    </row>
    <row r="976" spans="1:9" ht="12.75" customHeight="1">
      <c r="A976" s="175"/>
      <c r="B976" s="175"/>
      <c r="C976" s="355"/>
      <c r="D976" s="1260"/>
      <c r="E976" s="1260"/>
      <c r="F976" s="1260"/>
      <c r="G976"/>
      <c r="I976" s="491"/>
    </row>
    <row r="977" spans="1:9" ht="12.75" customHeight="1">
      <c r="A977" s="175"/>
      <c r="B977" s="175"/>
      <c r="C977" s="355"/>
      <c r="D977" s="1260"/>
      <c r="E977" s="1260"/>
      <c r="F977" s="1260"/>
      <c r="G977"/>
      <c r="I977" s="491"/>
    </row>
    <row r="978" spans="1:9" ht="12.75" customHeight="1">
      <c r="A978" s="175"/>
      <c r="B978" s="175"/>
      <c r="C978" s="355"/>
      <c r="D978" s="1260"/>
      <c r="E978" s="1260"/>
      <c r="F978" s="1260"/>
      <c r="G978"/>
      <c r="I978" s="491"/>
    </row>
    <row r="979" spans="1:9" ht="12.75" customHeight="1">
      <c r="A979" s="175"/>
      <c r="B979" s="175"/>
      <c r="C979" s="355"/>
      <c r="D979" s="1260"/>
      <c r="E979" s="1260"/>
      <c r="F979" s="1260"/>
      <c r="G979"/>
      <c r="I979" s="491"/>
    </row>
    <row r="980" spans="1:9" ht="12.75" customHeight="1">
      <c r="A980" s="175"/>
      <c r="B980" s="175"/>
      <c r="C980" s="355"/>
      <c r="D980" s="1260"/>
      <c r="E980" s="1260"/>
      <c r="F980" s="1260"/>
      <c r="G980"/>
      <c r="I980" s="491"/>
    </row>
    <row r="981" spans="1:9" ht="12.75" customHeight="1">
      <c r="A981" s="175"/>
      <c r="B981" s="175"/>
      <c r="C981" s="355"/>
      <c r="D981" s="1260"/>
      <c r="E981" s="1260"/>
      <c r="F981" s="1260"/>
      <c r="G981"/>
      <c r="I981" s="491"/>
    </row>
    <row r="982" spans="1:9" ht="12.75" customHeight="1">
      <c r="A982" s="175"/>
      <c r="B982" s="175"/>
      <c r="C982" s="355"/>
      <c r="D982" s="1260"/>
      <c r="E982" s="1260"/>
      <c r="F982" s="1260"/>
      <c r="G982"/>
      <c r="I982" s="491"/>
    </row>
    <row r="983" spans="1:9" ht="12.75" customHeight="1">
      <c r="A983" s="175"/>
      <c r="B983" s="175"/>
      <c r="C983" s="355"/>
      <c r="D983" s="1260"/>
      <c r="E983" s="1260"/>
      <c r="F983" s="1260"/>
      <c r="G983"/>
      <c r="I983" s="491"/>
    </row>
    <row r="984" spans="1:9" ht="12.75" customHeight="1">
      <c r="A984" s="175"/>
      <c r="B984" s="175"/>
      <c r="C984" s="355"/>
      <c r="D984" s="1260"/>
      <c r="E984" s="1260"/>
      <c r="F984" s="1260"/>
      <c r="G984"/>
      <c r="I984" s="491"/>
    </row>
    <row r="985" spans="1:9" ht="12.75" customHeight="1">
      <c r="A985" s="175"/>
      <c r="B985" s="175"/>
      <c r="C985" s="355"/>
      <c r="D985" s="1260"/>
      <c r="E985" s="1260"/>
      <c r="F985" s="1260"/>
      <c r="G985"/>
      <c r="I985" s="491"/>
    </row>
    <row r="986" spans="1:9" ht="12.75" customHeight="1">
      <c r="A986" s="175"/>
      <c r="B986" s="175"/>
      <c r="C986" s="355"/>
      <c r="D986" s="1260"/>
      <c r="E986" s="1260"/>
      <c r="F986" s="1260"/>
      <c r="G986"/>
      <c r="I986" s="491"/>
    </row>
    <row r="987" spans="1:9" ht="12.75" customHeight="1">
      <c r="A987" s="175"/>
      <c r="B987" s="175"/>
      <c r="C987" s="355"/>
      <c r="D987" s="1260"/>
      <c r="E987" s="1260"/>
      <c r="F987" s="1260"/>
      <c r="G987" s="3"/>
      <c r="I987" s="491"/>
    </row>
    <row r="988" spans="1:9" ht="12.75" customHeight="1">
      <c r="A988" s="355"/>
      <c r="B988" s="355"/>
      <c r="C988" s="355"/>
      <c r="D988" s="3"/>
      <c r="E988" s="3"/>
      <c r="F988" s="3"/>
      <c r="G988" s="3"/>
      <c r="I988" s="491"/>
    </row>
    <row r="989" spans="1:9" ht="12.75" customHeight="1">
      <c r="A989" s="1283" t="s">
        <v>1785</v>
      </c>
      <c r="B989" s="1283"/>
      <c r="C989" s="1283"/>
      <c r="D989" s="1283"/>
      <c r="E989" s="1283"/>
      <c r="F989" s="1283"/>
      <c r="G989" s="1283"/>
      <c r="H989" s="1029"/>
      <c r="I989" s="1155"/>
    </row>
    <row r="990" spans="1:9" ht="12.75" customHeight="1">
      <c r="A990" s="118"/>
      <c r="B990" s="118"/>
      <c r="C990" s="355"/>
      <c r="D990" s="3"/>
      <c r="E990" s="3"/>
      <c r="F990" s="3"/>
      <c r="G990" s="3"/>
      <c r="I990" s="491"/>
    </row>
    <row r="991" spans="1:9" ht="12.75" customHeight="1">
      <c r="A991" s="355"/>
      <c r="B991" s="355"/>
      <c r="C991" s="990"/>
      <c r="D991" s="1293" t="s">
        <v>1807</v>
      </c>
      <c r="E991" s="1293"/>
      <c r="F991" s="1293"/>
      <c r="G991" s="3"/>
      <c r="I991" s="491"/>
    </row>
    <row r="992" spans="1:9" ht="12.75" customHeight="1">
      <c r="A992" s="172"/>
      <c r="B992" s="172"/>
      <c r="C992" s="172"/>
      <c r="D992" s="1286" t="s">
        <v>1786</v>
      </c>
      <c r="E992" s="1286"/>
      <c r="F992" s="1286"/>
      <c r="G992" s="3"/>
      <c r="I992" s="491"/>
    </row>
    <row r="993" spans="1:9" ht="12.75" customHeight="1">
      <c r="A993" s="172"/>
      <c r="B993" s="172"/>
      <c r="C993" s="172"/>
      <c r="D993" s="3"/>
      <c r="E993" s="3"/>
      <c r="F993" s="989"/>
      <c r="G993"/>
      <c r="I993" s="491"/>
    </row>
    <row r="994" spans="1:9" ht="12.75" customHeight="1">
      <c r="A994" s="355"/>
      <c r="B994" s="486" t="s">
        <v>2743</v>
      </c>
      <c r="C994" s="355"/>
      <c r="D994" s="1294" t="s">
        <v>1915</v>
      </c>
      <c r="E994" s="1294"/>
      <c r="F994" s="1294"/>
      <c r="G994"/>
      <c r="I994" s="491"/>
    </row>
    <row r="995" spans="1:9" ht="12.75" customHeight="1">
      <c r="A995" s="355"/>
      <c r="B995" s="355"/>
      <c r="C995" s="355"/>
      <c r="D995" s="1294"/>
      <c r="E995" s="1294"/>
      <c r="F995" s="1294"/>
      <c r="G995"/>
      <c r="I995" s="491"/>
    </row>
    <row r="996" spans="1:9" ht="12.75" customHeight="1">
      <c r="A996" s="355"/>
      <c r="B996" s="355"/>
      <c r="C996" s="355"/>
      <c r="D996" s="1039"/>
      <c r="E996" s="1037" t="s">
        <v>1916</v>
      </c>
      <c r="F996" s="1039"/>
      <c r="G996"/>
      <c r="I996" s="491"/>
    </row>
    <row r="997" spans="1:9" ht="12.75" customHeight="1">
      <c r="A997" s="355"/>
      <c r="B997" s="355"/>
      <c r="C997" s="355"/>
      <c r="D997" s="1265" t="s">
        <v>1914</v>
      </c>
      <c r="E997" s="1265"/>
      <c r="F997" s="1265"/>
      <c r="G997"/>
      <c r="I997" s="491"/>
    </row>
    <row r="998" spans="1:9" ht="12.75" customHeight="1">
      <c r="A998" s="355"/>
      <c r="B998" s="355"/>
      <c r="C998" s="355"/>
      <c r="D998" s="1265"/>
      <c r="E998" s="1265"/>
      <c r="F998" s="1265"/>
      <c r="G998"/>
      <c r="I998" s="491"/>
    </row>
    <row r="999" spans="1:9" ht="12.75" customHeight="1">
      <c r="A999" s="174"/>
      <c r="B999" s="174"/>
      <c r="C999" s="174"/>
      <c r="D999" s="1265"/>
      <c r="E999" s="1265"/>
      <c r="F999" s="1265"/>
      <c r="G999"/>
      <c r="I999" s="491"/>
    </row>
    <row r="1000" spans="1:9" ht="12.75" customHeight="1">
      <c r="A1000" s="174"/>
      <c r="B1000" s="174"/>
      <c r="C1000" s="174"/>
      <c r="D1000" s="1265"/>
      <c r="E1000" s="1265"/>
      <c r="F1000" s="1265"/>
      <c r="G1000"/>
      <c r="I1000" s="491"/>
    </row>
    <row r="1001" spans="1:9" ht="12.75" customHeight="1">
      <c r="A1001" s="174"/>
      <c r="B1001" s="174"/>
      <c r="C1001" s="174"/>
      <c r="D1001" s="336"/>
      <c r="E1001" s="336"/>
      <c r="F1001" s="336"/>
      <c r="G1001"/>
      <c r="I1001" s="491"/>
    </row>
    <row r="1002" spans="1:9" ht="12.75" customHeight="1">
      <c r="A1002" s="174"/>
      <c r="B1002" s="486" t="s">
        <v>2747</v>
      </c>
      <c r="C1002" s="174"/>
      <c r="D1002" s="1260" t="s">
        <v>1787</v>
      </c>
      <c r="E1002" s="1260"/>
      <c r="F1002" s="1260"/>
      <c r="G1002"/>
      <c r="I1002" s="491"/>
    </row>
    <row r="1003" spans="1:9" ht="12.75" customHeight="1">
      <c r="A1003" s="174"/>
      <c r="B1003" s="174"/>
      <c r="C1003" s="174"/>
      <c r="D1003" s="1260"/>
      <c r="E1003" s="1260"/>
      <c r="F1003" s="1260"/>
      <c r="G1003"/>
      <c r="I1003" s="491"/>
    </row>
    <row r="1004" spans="1:9" ht="12.75" customHeight="1">
      <c r="A1004" s="174"/>
      <c r="B1004" s="174"/>
      <c r="C1004" s="174"/>
      <c r="D1004" s="1260"/>
      <c r="E1004" s="1260"/>
      <c r="F1004" s="1260"/>
      <c r="G1004"/>
      <c r="I1004" s="491"/>
    </row>
    <row r="1005" spans="1:9" ht="12.75" customHeight="1">
      <c r="A1005" s="174"/>
      <c r="B1005" s="174"/>
      <c r="C1005" s="174"/>
      <c r="D1005" s="1260"/>
      <c r="E1005" s="1260"/>
      <c r="F1005" s="1260"/>
      <c r="G1005"/>
      <c r="I1005" s="491"/>
    </row>
    <row r="1006" spans="1:9" ht="12.75" customHeight="1">
      <c r="A1006" s="174"/>
      <c r="B1006" s="174"/>
      <c r="C1006" s="174"/>
      <c r="D1006" s="442"/>
      <c r="E1006" s="442"/>
      <c r="F1006" s="442"/>
      <c r="G1006"/>
      <c r="I1006" s="491"/>
    </row>
    <row r="1007" spans="1:9" ht="12.75" customHeight="1">
      <c r="A1007" s="174"/>
      <c r="B1007" s="486" t="s">
        <v>2747</v>
      </c>
      <c r="C1007" s="174"/>
      <c r="D1007" s="1260" t="s">
        <v>2232</v>
      </c>
      <c r="E1007" s="1260"/>
      <c r="F1007" s="1260"/>
      <c r="G1007"/>
      <c r="I1007" s="491"/>
    </row>
    <row r="1008" spans="1:9" ht="12.75" customHeight="1">
      <c r="A1008" s="174"/>
      <c r="B1008" s="174"/>
      <c r="C1008" s="174"/>
      <c r="D1008" s="1260"/>
      <c r="E1008" s="1260"/>
      <c r="F1008" s="1260"/>
      <c r="G1008"/>
      <c r="I1008" s="491"/>
    </row>
    <row r="1009" spans="1:9" ht="12.75" customHeight="1">
      <c r="A1009" s="174"/>
      <c r="B1009" s="174"/>
      <c r="C1009" s="174"/>
      <c r="D1009" s="442"/>
      <c r="E1009" s="442"/>
      <c r="F1009" s="442"/>
      <c r="G1009"/>
      <c r="I1009" s="491"/>
    </row>
    <row r="1010" spans="1:9" ht="12.75" customHeight="1">
      <c r="A1010" s="175"/>
      <c r="B1010" s="486" t="s">
        <v>2747</v>
      </c>
      <c r="C1010" s="355"/>
      <c r="D1010" s="1286" t="s">
        <v>1788</v>
      </c>
      <c r="E1010" s="1286"/>
      <c r="F1010" s="1286"/>
      <c r="G1010"/>
      <c r="I1010" s="491"/>
    </row>
    <row r="1011" spans="1:9" ht="12.75" customHeight="1">
      <c r="A1011" s="355"/>
      <c r="B1011" s="355"/>
      <c r="C1011" s="355"/>
      <c r="D1011" s="3"/>
      <c r="E1011" s="3"/>
      <c r="F1011" s="3"/>
      <c r="G1011"/>
      <c r="I1011" s="491"/>
    </row>
    <row r="1012" spans="1:9" ht="12.75" customHeight="1">
      <c r="A1012" s="175"/>
      <c r="B1012" s="486" t="s">
        <v>2747</v>
      </c>
      <c r="C1012" s="355"/>
      <c r="D1012" s="1286" t="s">
        <v>1789</v>
      </c>
      <c r="E1012" s="1286"/>
      <c r="F1012" s="1286"/>
      <c r="G1012"/>
      <c r="I1012" s="491"/>
    </row>
    <row r="1013" spans="1:9" ht="12.75" customHeight="1">
      <c r="A1013" s="355"/>
      <c r="B1013" s="355"/>
      <c r="C1013" s="355"/>
      <c r="D1013" s="118"/>
      <c r="E1013" s="3"/>
      <c r="F1013" s="3"/>
      <c r="G1013"/>
      <c r="I1013" s="491"/>
    </row>
    <row r="1014" spans="1:9" ht="12.75" customHeight="1">
      <c r="A1014" s="175"/>
      <c r="B1014" s="486" t="s">
        <v>2743</v>
      </c>
      <c r="C1014" s="355"/>
      <c r="D1014" s="1286" t="s">
        <v>1790</v>
      </c>
      <c r="E1014" s="1286"/>
      <c r="F1014" s="1286"/>
      <c r="G1014"/>
      <c r="I1014" s="491"/>
    </row>
    <row r="1015" spans="1:9" ht="12.75" customHeight="1">
      <c r="A1015" s="355"/>
      <c r="B1015" s="355"/>
      <c r="C1015" s="355"/>
      <c r="D1015" s="118"/>
      <c r="E1015" s="3"/>
      <c r="F1015" s="3"/>
      <c r="G1015"/>
      <c r="I1015" s="491"/>
    </row>
    <row r="1016" spans="1:9" ht="12.75" customHeight="1">
      <c r="A1016" s="175"/>
      <c r="B1016" s="486" t="s">
        <v>2743</v>
      </c>
      <c r="C1016" s="355"/>
      <c r="D1016" s="1260" t="s">
        <v>1791</v>
      </c>
      <c r="E1016" s="1260"/>
      <c r="F1016" s="1260"/>
      <c r="G1016"/>
      <c r="I1016" s="491"/>
    </row>
    <row r="1017" spans="1:9" ht="12.75" customHeight="1">
      <c r="A1017" s="175"/>
      <c r="B1017" s="175"/>
      <c r="C1017" s="355"/>
      <c r="D1017" s="1260"/>
      <c r="E1017" s="1260"/>
      <c r="F1017" s="1260"/>
      <c r="G1017"/>
      <c r="I1017" s="491"/>
    </row>
    <row r="1018" spans="1:9" ht="12.75" customHeight="1">
      <c r="A1018" s="175"/>
      <c r="B1018" s="175"/>
      <c r="C1018" s="355"/>
      <c r="D1018" s="118"/>
      <c r="E1018" s="3"/>
      <c r="F1018" s="3"/>
      <c r="G1018" s="3"/>
      <c r="I1018" s="491"/>
    </row>
    <row r="1019" spans="1:9" ht="12.75" customHeight="1">
      <c r="A1019" s="255"/>
      <c r="B1019" s="486" t="s">
        <v>2747</v>
      </c>
      <c r="C1019" s="1001"/>
      <c r="D1019" s="1292" t="s">
        <v>1792</v>
      </c>
      <c r="E1019" s="1292"/>
      <c r="F1019" s="1292"/>
      <c r="G1019" s="1002"/>
      <c r="I1019" s="491"/>
    </row>
    <row r="1020" spans="1:9" ht="12.75" customHeight="1">
      <c r="A1020" s="1001"/>
      <c r="B1020" s="1001"/>
      <c r="C1020" s="1001"/>
      <c r="D1020" s="1292"/>
      <c r="E1020" s="1292"/>
      <c r="F1020" s="1292"/>
      <c r="G1020" s="1002"/>
      <c r="I1020" s="491"/>
    </row>
    <row r="1021" spans="1:9" ht="12.75" customHeight="1">
      <c r="A1021" s="1001"/>
      <c r="B1021" s="1001"/>
      <c r="C1021" s="1001"/>
      <c r="D1021" s="985"/>
      <c r="E1021" s="1002"/>
      <c r="F1021" s="1002"/>
      <c r="G1021" s="1002"/>
      <c r="I1021" s="491"/>
    </row>
    <row r="1022" spans="1:9" ht="12.75" customHeight="1">
      <c r="A1022" s="255"/>
      <c r="B1022" s="486" t="s">
        <v>2747</v>
      </c>
      <c r="C1022" s="1001"/>
      <c r="D1022" s="1282" t="s">
        <v>1793</v>
      </c>
      <c r="E1022" s="1282"/>
      <c r="F1022" s="1282"/>
      <c r="G1022" s="1002"/>
      <c r="I1022" s="491"/>
    </row>
    <row r="1023" spans="1:9" ht="12.75" customHeight="1">
      <c r="A1023" s="1001"/>
      <c r="B1023" s="1001"/>
      <c r="C1023" s="1001"/>
      <c r="D1023" s="985"/>
      <c r="E1023" s="1002"/>
      <c r="F1023" s="1002"/>
      <c r="G1023" s="1002"/>
      <c r="I1023" s="491"/>
    </row>
    <row r="1024" spans="1:9" ht="12.75" customHeight="1">
      <c r="A1024" s="175"/>
      <c r="B1024" s="486" t="s">
        <v>2747</v>
      </c>
      <c r="C1024" s="355"/>
      <c r="D1024" s="1286" t="s">
        <v>1794</v>
      </c>
      <c r="E1024" s="1286"/>
      <c r="F1024" s="1286"/>
      <c r="G1024" s="3"/>
      <c r="I1024" s="491"/>
    </row>
    <row r="1025" spans="1:9" ht="12.75" customHeight="1">
      <c r="A1025" s="175"/>
      <c r="B1025" s="175"/>
      <c r="C1025" s="355"/>
      <c r="D1025" s="118"/>
      <c r="E1025" s="3"/>
      <c r="F1025" s="3"/>
      <c r="G1025" s="3"/>
      <c r="I1025" s="491"/>
    </row>
    <row r="1026" spans="1:9" ht="12.75" customHeight="1">
      <c r="A1026" s="175"/>
      <c r="B1026" s="486" t="s">
        <v>2747</v>
      </c>
      <c r="C1026" s="355"/>
      <c r="D1026" s="1260" t="s">
        <v>1795</v>
      </c>
      <c r="E1026" s="1260"/>
      <c r="F1026" s="1260"/>
      <c r="G1026" s="3"/>
      <c r="I1026" s="491"/>
    </row>
    <row r="1027" spans="1:9" ht="12.75" customHeight="1">
      <c r="A1027" s="175"/>
      <c r="B1027" s="175"/>
      <c r="C1027" s="355"/>
      <c r="D1027" s="1260"/>
      <c r="E1027" s="1260"/>
      <c r="F1027" s="1260"/>
      <c r="G1027" s="3"/>
      <c r="I1027" s="491"/>
    </row>
    <row r="1028" spans="1:9" ht="12.75" customHeight="1">
      <c r="A1028" s="355"/>
      <c r="B1028" s="355"/>
      <c r="C1028" s="355"/>
      <c r="D1028" s="3"/>
      <c r="E1028" s="3"/>
      <c r="F1028" s="3"/>
      <c r="G1028" s="3"/>
      <c r="I1028" s="491"/>
    </row>
    <row r="1029" spans="1:9" ht="12.75" customHeight="1">
      <c r="A1029" s="1283" t="s">
        <v>1796</v>
      </c>
      <c r="B1029" s="1283"/>
      <c r="C1029" s="1283"/>
      <c r="D1029" s="1283"/>
      <c r="E1029" s="1283"/>
      <c r="F1029" s="1283"/>
      <c r="G1029" s="1283"/>
      <c r="H1029" s="1029"/>
      <c r="I1029" s="1155"/>
    </row>
    <row r="1030" spans="1:9" ht="12.75" customHeight="1">
      <c r="A1030" s="355"/>
      <c r="B1030" s="355"/>
      <c r="C1030" s="355"/>
      <c r="D1030" s="3"/>
      <c r="E1030" s="3"/>
      <c r="F1030" s="3"/>
      <c r="G1030" s="3"/>
      <c r="I1030" s="491"/>
    </row>
    <row r="1031" spans="1:9" ht="12.75" customHeight="1">
      <c r="A1031" s="355"/>
      <c r="B1031" s="355"/>
      <c r="C1031" s="355"/>
      <c r="D1031" s="1281" t="s">
        <v>1797</v>
      </c>
      <c r="E1031" s="1281"/>
      <c r="F1031" s="1281"/>
      <c r="G1031" s="3"/>
      <c r="I1031" s="491"/>
    </row>
    <row r="1032" spans="1:9" ht="12.75" customHeight="1">
      <c r="A1032" s="355"/>
      <c r="B1032" s="355"/>
      <c r="C1032" s="355"/>
      <c r="D1032" s="1282" t="s">
        <v>1798</v>
      </c>
      <c r="E1032" s="1282"/>
      <c r="F1032" s="1282"/>
      <c r="G1032" s="3"/>
      <c r="I1032" s="491"/>
    </row>
    <row r="1033" spans="1:9" ht="12.75" customHeight="1">
      <c r="A1033" s="172"/>
      <c r="B1033" s="172"/>
      <c r="C1033" s="172"/>
      <c r="D1033" s="3"/>
      <c r="E1033" s="3"/>
      <c r="F1033" s="3"/>
      <c r="G1033" s="3"/>
      <c r="I1033" s="491"/>
    </row>
    <row r="1034" spans="1:9" ht="12.75" customHeight="1">
      <c r="A1034" s="175"/>
      <c r="B1034" s="175"/>
      <c r="C1034" s="174"/>
      <c r="D1034" s="1281" t="s">
        <v>1812</v>
      </c>
      <c r="E1034" s="1281"/>
      <c r="F1034" s="1281"/>
      <c r="G1034" s="3"/>
      <c r="I1034" s="491"/>
    </row>
    <row r="1035" spans="1:9" ht="12.75" customHeight="1">
      <c r="A1035" s="355"/>
      <c r="B1035" s="486" t="s">
        <v>2743</v>
      </c>
      <c r="C1035" s="355"/>
      <c r="D1035" s="1282" t="s">
        <v>1270</v>
      </c>
      <c r="E1035" s="1282"/>
      <c r="F1035" s="1282"/>
      <c r="G1035" s="3"/>
      <c r="I1035" s="491"/>
    </row>
    <row r="1036" spans="1:9" ht="12.75" customHeight="1">
      <c r="A1036" s="355"/>
      <c r="B1036" s="175"/>
      <c r="C1036" s="355"/>
      <c r="D1036" s="1282" t="s">
        <v>1799</v>
      </c>
      <c r="E1036" s="1282"/>
      <c r="F1036" s="1282"/>
      <c r="G1036" s="3"/>
      <c r="I1036" s="491"/>
    </row>
    <row r="1037" spans="1:9" ht="12.75" customHeight="1">
      <c r="A1037" s="355"/>
      <c r="B1037" s="355"/>
      <c r="C1037" s="355"/>
      <c r="D1037" s="1282"/>
      <c r="E1037" s="1282"/>
      <c r="F1037" s="1282"/>
      <c r="G1037" s="3"/>
      <c r="I1037" s="491"/>
    </row>
    <row r="1038" spans="1:9" ht="12.75" customHeight="1">
      <c r="A1038" s="1283" t="s">
        <v>1808</v>
      </c>
      <c r="B1038" s="1283"/>
      <c r="C1038" s="1283"/>
      <c r="D1038" s="1283"/>
      <c r="E1038" s="1283"/>
      <c r="F1038" s="1283"/>
      <c r="G1038" s="1283"/>
      <c r="H1038" s="1029"/>
      <c r="I1038" s="1155"/>
    </row>
    <row r="1039" spans="1:9" ht="12.75" customHeight="1">
      <c r="A1039" s="118"/>
      <c r="B1039" s="118"/>
      <c r="C1039" s="355"/>
      <c r="D1039" s="3"/>
      <c r="E1039" s="3"/>
      <c r="F1039" s="3"/>
      <c r="G1039" s="3"/>
      <c r="I1039" s="491"/>
    </row>
    <row r="1040" spans="1:9" ht="12.75" hidden="1" customHeight="1">
      <c r="A1040" s="118"/>
      <c r="B1040" s="403"/>
      <c r="D1040" s="1280" t="s">
        <v>1271</v>
      </c>
      <c r="E1040" s="1280"/>
      <c r="F1040" s="1280"/>
      <c r="G1040" s="3"/>
      <c r="I1040" s="491"/>
    </row>
    <row r="1041" spans="1:9" ht="12.75" hidden="1" customHeight="1">
      <c r="A1041" s="118"/>
      <c r="B1041" s="486" t="s">
        <v>306</v>
      </c>
      <c r="D1041" s="1279" t="s">
        <v>1270</v>
      </c>
      <c r="E1041" s="1279"/>
      <c r="F1041" s="1279"/>
      <c r="G1041" s="3"/>
      <c r="I1041" s="491"/>
    </row>
    <row r="1042" spans="1:9" ht="12.75" hidden="1" customHeight="1">
      <c r="A1042" s="118"/>
      <c r="B1042" s="403"/>
      <c r="D1042" s="1279" t="s">
        <v>1809</v>
      </c>
      <c r="E1042" s="1279"/>
      <c r="F1042" s="1279"/>
      <c r="G1042" s="3"/>
      <c r="I1042" s="491"/>
    </row>
    <row r="1043" spans="1:9" ht="12.75" hidden="1" customHeight="1">
      <c r="A1043" s="118"/>
      <c r="B1043" s="403"/>
      <c r="D1043" s="445"/>
      <c r="E1043" s="445"/>
      <c r="F1043" s="445"/>
      <c r="G1043" s="3"/>
      <c r="I1043" s="491"/>
    </row>
    <row r="1044" spans="1:9" ht="12.75" customHeight="1">
      <c r="A1044" s="118"/>
      <c r="B1044" s="118"/>
      <c r="C1044" s="355"/>
      <c r="D1044" s="1284" t="s">
        <v>1065</v>
      </c>
      <c r="E1044" s="1284"/>
      <c r="F1044" s="1284"/>
      <c r="G1044" s="3"/>
      <c r="I1044" s="491"/>
    </row>
    <row r="1045" spans="1:9" ht="12.75" customHeight="1">
      <c r="A1045" s="320"/>
      <c r="B1045" s="320"/>
      <c r="C1045" s="320"/>
      <c r="D1045" s="1285" t="s">
        <v>2250</v>
      </c>
      <c r="E1045" s="1285"/>
      <c r="F1045" s="1285"/>
      <c r="G1045" s="98"/>
      <c r="I1045" s="491"/>
    </row>
    <row r="1046" spans="1:9" ht="12.75" customHeight="1">
      <c r="A1046" s="175"/>
      <c r="B1046" s="486" t="s">
        <v>2747</v>
      </c>
      <c r="C1046" s="355"/>
      <c r="D1046" s="1285" t="s">
        <v>984</v>
      </c>
      <c r="E1046" s="1285"/>
      <c r="F1046" s="1285"/>
      <c r="G1046" s="3"/>
      <c r="I1046" s="491"/>
    </row>
    <row r="1047" spans="1:9" ht="12.75" customHeight="1">
      <c r="A1047" s="355"/>
      <c r="B1047" s="355"/>
      <c r="C1047" s="355"/>
      <c r="D1047" s="1037" t="s">
        <v>1917</v>
      </c>
      <c r="E1047" s="96"/>
      <c r="F1047" s="96"/>
      <c r="G1047" s="3"/>
      <c r="I1047" s="491"/>
    </row>
    <row r="1048" spans="1:9">
      <c r="A1048" s="403"/>
      <c r="B1048" s="403"/>
      <c r="C1048" s="403"/>
      <c r="I1048" s="491"/>
    </row>
    <row r="1049" spans="1:9">
      <c r="A1049" s="1283" t="s">
        <v>1829</v>
      </c>
      <c r="B1049" s="1283"/>
      <c r="C1049" s="1283"/>
      <c r="D1049" s="1283"/>
      <c r="E1049" s="1283"/>
      <c r="F1049" s="1283"/>
      <c r="G1049" s="1283"/>
      <c r="H1049" s="1029"/>
      <c r="I1049" s="1155"/>
    </row>
    <row r="1050" spans="1:9">
      <c r="A1050" s="403"/>
      <c r="B1050" s="403"/>
      <c r="C1050" s="403"/>
      <c r="I1050" s="491"/>
    </row>
    <row r="1051" spans="1:9">
      <c r="A1051" s="403"/>
      <c r="B1051" s="403"/>
      <c r="C1051" s="403"/>
      <c r="D1051" s="405" t="s">
        <v>1815</v>
      </c>
      <c r="I1051" s="491"/>
    </row>
    <row r="1052" spans="1:9">
      <c r="A1052" s="403"/>
      <c r="B1052" s="403"/>
      <c r="C1052" s="403"/>
      <c r="D1052" s="403" t="s">
        <v>1814</v>
      </c>
      <c r="I1052" s="491"/>
    </row>
    <row r="1053" spans="1:9">
      <c r="A1053" s="403"/>
      <c r="B1053" s="403"/>
      <c r="C1053" s="403"/>
      <c r="D1053" s="405"/>
      <c r="I1053" s="491"/>
    </row>
    <row r="1054" spans="1:9">
      <c r="A1054" s="403"/>
      <c r="B1054" s="486" t="s">
        <v>2747</v>
      </c>
      <c r="C1054" s="403"/>
      <c r="D1054" s="1289" t="s">
        <v>1813</v>
      </c>
      <c r="E1054" s="1289"/>
      <c r="F1054" s="1289"/>
      <c r="I1054" s="491"/>
    </row>
    <row r="1055" spans="1:9">
      <c r="A1055" s="403"/>
      <c r="B1055" s="403"/>
      <c r="C1055" s="403"/>
      <c r="D1055" s="1289"/>
      <c r="E1055" s="1289"/>
      <c r="F1055" s="1289"/>
      <c r="I1055" s="491"/>
    </row>
    <row r="1056" spans="1:9">
      <c r="A1056" s="403"/>
      <c r="B1056" s="403"/>
      <c r="C1056" s="403"/>
      <c r="D1056" s="1289"/>
      <c r="E1056" s="1289"/>
      <c r="F1056" s="1289"/>
      <c r="I1056" s="491"/>
    </row>
    <row r="1057" spans="1:9">
      <c r="A1057" s="403"/>
      <c r="B1057" s="403"/>
      <c r="C1057" s="403"/>
      <c r="D1057" s="1289"/>
      <c r="E1057" s="1289"/>
      <c r="F1057" s="1289"/>
      <c r="I1057" s="491"/>
    </row>
    <row r="1058" spans="1:9">
      <c r="A1058" s="403"/>
      <c r="B1058" s="403"/>
      <c r="C1058" s="403"/>
      <c r="I1058" s="491"/>
    </row>
    <row r="1059" spans="1:9">
      <c r="A1059" s="403"/>
      <c r="B1059" s="403"/>
      <c r="C1059" s="403"/>
      <c r="D1059" s="405" t="s">
        <v>1312</v>
      </c>
      <c r="I1059" s="491"/>
    </row>
    <row r="1060" spans="1:9">
      <c r="A1060" s="403"/>
      <c r="B1060" s="403"/>
      <c r="C1060" s="403"/>
      <c r="D1060" s="403" t="s">
        <v>1816</v>
      </c>
      <c r="I1060" s="491"/>
    </row>
    <row r="1061" spans="1:9">
      <c r="A1061" s="403"/>
      <c r="B1061" s="403"/>
      <c r="C1061" s="403"/>
      <c r="I1061" s="491"/>
    </row>
    <row r="1062" spans="1:9">
      <c r="A1062" s="403"/>
      <c r="B1062" s="486" t="s">
        <v>2743</v>
      </c>
      <c r="C1062" s="403"/>
      <c r="D1062" s="403" t="s">
        <v>1811</v>
      </c>
      <c r="I1062" s="491"/>
    </row>
    <row r="1063" spans="1:9">
      <c r="A1063" s="403"/>
      <c r="B1063" s="403"/>
      <c r="C1063" s="403"/>
      <c r="I1063" s="491"/>
    </row>
    <row r="1064" spans="1:9">
      <c r="A1064" s="403"/>
      <c r="B1064" s="486" t="s">
        <v>2743</v>
      </c>
      <c r="C1064" s="403"/>
      <c r="D1064" s="1289" t="s">
        <v>1817</v>
      </c>
      <c r="E1064" s="1289"/>
      <c r="F1064" s="1289"/>
      <c r="I1064" s="491"/>
    </row>
    <row r="1065" spans="1:9">
      <c r="A1065" s="403"/>
      <c r="B1065" s="403"/>
      <c r="C1065" s="403"/>
      <c r="D1065" s="1289"/>
      <c r="E1065" s="1289"/>
      <c r="F1065" s="1289"/>
      <c r="I1065" s="491"/>
    </row>
    <row r="1066" spans="1:9">
      <c r="A1066" s="403"/>
      <c r="B1066" s="403"/>
      <c r="C1066" s="403"/>
      <c r="D1066" s="1289"/>
      <c r="E1066" s="1289"/>
      <c r="F1066" s="1289"/>
      <c r="I1066" s="491"/>
    </row>
    <row r="1067" spans="1:9">
      <c r="A1067" s="403"/>
      <c r="B1067" s="403"/>
      <c r="C1067" s="403"/>
      <c r="D1067" s="1289"/>
      <c r="E1067" s="1289"/>
      <c r="F1067" s="1289"/>
      <c r="I1067" s="491"/>
    </row>
    <row r="1068" spans="1:9">
      <c r="A1068" s="403"/>
      <c r="B1068" s="403"/>
      <c r="C1068" s="403"/>
      <c r="D1068" s="1289"/>
      <c r="E1068" s="1289"/>
      <c r="F1068" s="1289"/>
      <c r="I1068" s="491"/>
    </row>
    <row r="1069" spans="1:9">
      <c r="A1069" s="403"/>
      <c r="B1069" s="403"/>
      <c r="C1069" s="403"/>
      <c r="I1069" s="491"/>
    </row>
    <row r="1070" spans="1:9">
      <c r="A1070" s="1283" t="s">
        <v>1818</v>
      </c>
      <c r="B1070" s="1283"/>
      <c r="C1070" s="1283"/>
      <c r="D1070" s="1283"/>
      <c r="E1070" s="1283"/>
      <c r="F1070" s="1283"/>
      <c r="G1070" s="1283"/>
      <c r="H1070" s="1029"/>
      <c r="I1070" s="1155"/>
    </row>
    <row r="1071" spans="1:9">
      <c r="A1071" s="403"/>
      <c r="B1071" s="403"/>
      <c r="C1071" s="403"/>
      <c r="I1071" s="491"/>
    </row>
    <row r="1072" spans="1:9">
      <c r="A1072" s="403"/>
      <c r="B1072" s="403"/>
      <c r="C1072" s="403"/>
      <c r="I1072" s="491"/>
    </row>
    <row r="1073" spans="1:9">
      <c r="A1073" s="403"/>
      <c r="B1073" s="486" t="s">
        <v>2743</v>
      </c>
      <c r="C1073" s="403"/>
      <c r="D1073" s="528" t="s">
        <v>1821</v>
      </c>
      <c r="I1073" s="491"/>
    </row>
    <row r="1074" spans="1:9">
      <c r="A1074" s="403"/>
      <c r="B1074" s="403"/>
      <c r="C1074" s="403"/>
      <c r="D1074" s="528" t="s">
        <v>1823</v>
      </c>
      <c r="I1074" s="491"/>
    </row>
    <row r="1075" spans="1:9">
      <c r="A1075" s="403"/>
      <c r="B1075" s="403"/>
      <c r="C1075" s="403"/>
      <c r="D1075" s="528"/>
      <c r="I1075" s="491"/>
    </row>
    <row r="1076" spans="1:9">
      <c r="A1076" s="403"/>
      <c r="B1076" s="486" t="s">
        <v>2747</v>
      </c>
      <c r="C1076" s="403"/>
      <c r="D1076" s="528" t="s">
        <v>1824</v>
      </c>
      <c r="I1076" s="491"/>
    </row>
    <row r="1077" spans="1:9">
      <c r="A1077" s="403"/>
      <c r="B1077" s="403"/>
      <c r="C1077" s="403"/>
      <c r="D1077" s="528" t="s">
        <v>1822</v>
      </c>
      <c r="I1077" s="491"/>
    </row>
    <row r="1078" spans="1:9">
      <c r="A1078" s="403"/>
      <c r="B1078" s="403"/>
      <c r="C1078" s="403"/>
      <c r="D1078" s="528"/>
      <c r="I1078" s="491"/>
    </row>
    <row r="1079" spans="1:9">
      <c r="A1079" s="403"/>
      <c r="B1079" s="486" t="s">
        <v>2747</v>
      </c>
      <c r="C1079" s="403"/>
      <c r="D1079" s="119" t="s">
        <v>1827</v>
      </c>
      <c r="I1079" s="491"/>
    </row>
    <row r="1080" spans="1:9">
      <c r="A1080" s="403"/>
      <c r="B1080" s="403"/>
      <c r="C1080" s="403"/>
      <c r="D1080" s="1260" t="s">
        <v>1828</v>
      </c>
      <c r="E1080" s="1260"/>
      <c r="F1080" s="1260"/>
      <c r="I1080" s="491"/>
    </row>
    <row r="1081" spans="1:9">
      <c r="A1081" s="403"/>
      <c r="B1081" s="403"/>
      <c r="C1081" s="403"/>
      <c r="D1081" s="1260"/>
      <c r="E1081" s="1260"/>
      <c r="F1081" s="1260"/>
      <c r="I1081" s="491"/>
    </row>
    <row r="1082" spans="1:9">
      <c r="A1082" s="403"/>
      <c r="B1082" s="403"/>
      <c r="C1082" s="403"/>
      <c r="D1082" s="1260"/>
      <c r="E1082" s="1260"/>
      <c r="F1082" s="1260"/>
      <c r="I1082" s="491"/>
    </row>
    <row r="1083" spans="1:9">
      <c r="A1083" s="403"/>
      <c r="B1083" s="403"/>
      <c r="C1083" s="403"/>
      <c r="D1083" s="1260"/>
      <c r="E1083" s="1260"/>
      <c r="F1083" s="1260"/>
      <c r="I1083" s="491"/>
    </row>
    <row r="1084" spans="1:9">
      <c r="A1084" s="403"/>
      <c r="B1084" s="403"/>
      <c r="C1084" s="403"/>
      <c r="D1084" s="119" t="s">
        <v>1826</v>
      </c>
      <c r="I1084" s="491"/>
    </row>
    <row r="1085" spans="1:9">
      <c r="A1085" s="403"/>
      <c r="B1085" s="403"/>
      <c r="C1085" s="403"/>
      <c r="D1085" s="119"/>
      <c r="I1085" s="491"/>
    </row>
    <row r="1086" spans="1:9">
      <c r="A1086" s="403"/>
      <c r="B1086" s="403"/>
      <c r="C1086" s="403"/>
      <c r="D1086" s="528" t="s">
        <v>1819</v>
      </c>
      <c r="I1086" s="491"/>
    </row>
    <row r="1087" spans="1:9">
      <c r="A1087" s="403"/>
      <c r="B1087" s="486" t="s">
        <v>2747</v>
      </c>
      <c r="C1087" s="403"/>
      <c r="D1087" s="1288" t="s">
        <v>1820</v>
      </c>
      <c r="E1087" s="1288"/>
      <c r="F1087" s="1288"/>
      <c r="I1087" s="491"/>
    </row>
    <row r="1088" spans="1:9">
      <c r="A1088" s="403"/>
      <c r="B1088" s="403"/>
      <c r="C1088" s="403"/>
      <c r="D1088" s="1288"/>
      <c r="E1088" s="1288"/>
      <c r="F1088" s="1288"/>
      <c r="I1088" s="491"/>
    </row>
    <row r="1089" spans="1:9">
      <c r="A1089" s="403"/>
      <c r="B1089" s="403"/>
      <c r="C1089" s="403"/>
      <c r="D1089" s="1288"/>
      <c r="E1089" s="1288"/>
      <c r="F1089" s="1288"/>
      <c r="I1089" s="491"/>
    </row>
    <row r="1090" spans="1:9">
      <c r="A1090" s="403"/>
      <c r="B1090" s="403"/>
      <c r="C1090" s="403"/>
      <c r="D1090" s="1288"/>
      <c r="E1090" s="1288"/>
      <c r="F1090" s="1288"/>
      <c r="I1090" s="491"/>
    </row>
    <row r="1091" spans="1:9">
      <c r="A1091" s="403"/>
      <c r="B1091" s="403"/>
      <c r="C1091" s="403"/>
      <c r="D1091" s="1288"/>
      <c r="E1091" s="1288"/>
      <c r="F1091" s="1288"/>
      <c r="I1091" s="491"/>
    </row>
    <row r="1092" spans="1:9">
      <c r="A1092" s="403"/>
      <c r="B1092" s="403"/>
      <c r="C1092" s="403"/>
      <c r="D1092" s="528" t="s">
        <v>1825</v>
      </c>
      <c r="I1092" s="491"/>
    </row>
    <row r="1093" spans="1:9">
      <c r="A1093" s="403"/>
      <c r="B1093" s="403"/>
      <c r="C1093" s="403"/>
      <c r="I1093" s="491"/>
    </row>
    <row r="1094" spans="1:9">
      <c r="A1094" s="403"/>
      <c r="B1094" s="486" t="s">
        <v>2747</v>
      </c>
      <c r="C1094" s="403"/>
      <c r="D1094" s="1274" t="s">
        <v>2283</v>
      </c>
      <c r="E1094" s="1274"/>
      <c r="F1094" s="1274"/>
      <c r="I1094" s="491"/>
    </row>
    <row r="1095" spans="1:9">
      <c r="A1095" s="403"/>
      <c r="B1095" s="403"/>
      <c r="C1095" s="403"/>
      <c r="D1095" s="1274"/>
      <c r="E1095" s="1274"/>
      <c r="F1095" s="1274"/>
      <c r="I1095" s="491"/>
    </row>
    <row r="1096" spans="1:9">
      <c r="A1096" s="403"/>
      <c r="B1096" s="403"/>
      <c r="C1096" s="403"/>
      <c r="D1096" s="1274"/>
      <c r="E1096" s="1274"/>
      <c r="F1096" s="1274"/>
      <c r="I1096" s="491"/>
    </row>
    <row r="1097" spans="1:9">
      <c r="A1097" s="403"/>
      <c r="B1097" s="403"/>
      <c r="C1097" s="403"/>
      <c r="I1097" s="491"/>
    </row>
    <row r="1098" spans="1:9">
      <c r="A1098" s="1283" t="s">
        <v>1830</v>
      </c>
      <c r="B1098" s="1283"/>
      <c r="C1098" s="1283"/>
      <c r="D1098" s="1283"/>
      <c r="E1098" s="1283"/>
      <c r="F1098" s="1283"/>
      <c r="G1098" s="1283"/>
      <c r="H1098" s="1029"/>
      <c r="I1098" s="1155"/>
    </row>
    <row r="1099" spans="1:9">
      <c r="A1099" s="403"/>
      <c r="B1099" s="403"/>
      <c r="C1099" s="403"/>
      <c r="I1099" s="491"/>
    </row>
    <row r="1100" spans="1:9">
      <c r="A1100" s="403"/>
      <c r="B1100" s="403"/>
      <c r="C1100" s="403"/>
      <c r="I1100" s="491"/>
    </row>
    <row r="1101" spans="1:9" ht="12.75" customHeight="1">
      <c r="A1101" s="403"/>
      <c r="B1101" s="486" t="s">
        <v>2747</v>
      </c>
      <c r="C1101" s="403"/>
      <c r="D1101" s="1290" t="s">
        <v>1929</v>
      </c>
      <c r="E1101" s="1290"/>
      <c r="F1101" s="1290"/>
      <c r="I1101" s="491"/>
    </row>
    <row r="1102" spans="1:9">
      <c r="A1102" s="403"/>
      <c r="B1102" s="403"/>
      <c r="C1102" s="403"/>
      <c r="D1102" s="1290"/>
      <c r="E1102" s="1290"/>
      <c r="F1102" s="1290"/>
      <c r="I1102" s="491"/>
    </row>
    <row r="1103" spans="1:9">
      <c r="A1103" s="403"/>
      <c r="B1103" s="403"/>
      <c r="C1103" s="403"/>
      <c r="D1103" s="1291" t="s">
        <v>2144</v>
      </c>
      <c r="E1103" s="1260"/>
      <c r="F1103" s="1260"/>
      <c r="I1103" s="491"/>
    </row>
    <row r="1104" spans="1:9">
      <c r="A1104" s="403"/>
      <c r="B1104" s="403"/>
      <c r="C1104" s="403"/>
      <c r="D1104" s="528"/>
      <c r="I1104" s="491"/>
    </row>
    <row r="1105" spans="1:9">
      <c r="A1105" s="403"/>
      <c r="B1105" s="486" t="s">
        <v>2747</v>
      </c>
      <c r="C1105" s="403"/>
      <c r="D1105" s="1288" t="s">
        <v>1831</v>
      </c>
      <c r="E1105" s="1288"/>
      <c r="F1105" s="1288"/>
      <c r="I1105" s="491"/>
    </row>
    <row r="1106" spans="1:9">
      <c r="A1106" s="403"/>
      <c r="B1106" s="403"/>
      <c r="C1106" s="403"/>
      <c r="D1106" s="1288"/>
      <c r="E1106" s="1288"/>
      <c r="F1106" s="1288"/>
      <c r="I1106" s="491"/>
    </row>
    <row r="1107" spans="1:9">
      <c r="A1107" s="403"/>
      <c r="B1107" s="403"/>
      <c r="C1107" s="403"/>
      <c r="D1107" s="528"/>
      <c r="I1107" s="491"/>
    </row>
    <row r="1108" spans="1:9">
      <c r="A1108" s="403"/>
      <c r="B1108" s="486" t="s">
        <v>2747</v>
      </c>
      <c r="C1108" s="403"/>
      <c r="D1108" s="1288" t="s">
        <v>1887</v>
      </c>
      <c r="E1108" s="1288"/>
      <c r="F1108" s="1288"/>
      <c r="I1108" s="491"/>
    </row>
    <row r="1109" spans="1:9">
      <c r="A1109" s="403"/>
      <c r="B1109" s="403"/>
      <c r="C1109" s="403"/>
      <c r="D1109" s="1288"/>
      <c r="E1109" s="1288"/>
      <c r="F1109" s="1288"/>
      <c r="I1109" s="491"/>
    </row>
    <row r="1110" spans="1:9">
      <c r="A1110" s="403"/>
      <c r="B1110" s="403"/>
      <c r="C1110" s="403"/>
      <c r="D1110" s="1288"/>
      <c r="E1110" s="1288"/>
      <c r="F1110" s="1288"/>
      <c r="I1110" s="491"/>
    </row>
    <row r="1111" spans="1:9">
      <c r="A1111" s="403"/>
      <c r="B1111" s="403"/>
      <c r="C1111" s="403"/>
      <c r="D1111" s="1288"/>
      <c r="E1111" s="1288"/>
      <c r="F1111" s="1288"/>
      <c r="I1111" s="491"/>
    </row>
    <row r="1112" spans="1:9">
      <c r="A1112" s="403"/>
      <c r="B1112" s="403"/>
      <c r="C1112" s="403"/>
      <c r="D1112" s="1288"/>
      <c r="E1112" s="1288"/>
      <c r="F1112" s="1288"/>
      <c r="I1112" s="491"/>
    </row>
    <row r="1113" spans="1:9">
      <c r="A1113" s="403"/>
      <c r="B1113" s="403"/>
      <c r="C1113" s="403"/>
      <c r="D1113" s="1288"/>
      <c r="E1113" s="1288"/>
      <c r="F1113" s="1288"/>
      <c r="I1113" s="491"/>
    </row>
    <row r="1114" spans="1:9">
      <c r="A1114" s="403"/>
      <c r="B1114" s="403"/>
      <c r="C1114" s="403"/>
      <c r="D1114" s="528"/>
      <c r="I1114" s="481"/>
    </row>
    <row r="1115" spans="1:9">
      <c r="A1115" s="403"/>
      <c r="B1115" s="486" t="s">
        <v>2747</v>
      </c>
      <c r="C1115" s="403"/>
      <c r="D1115" s="1288" t="s">
        <v>1832</v>
      </c>
      <c r="E1115" s="1288"/>
      <c r="F1115" s="1288"/>
      <c r="I1115" s="491"/>
    </row>
    <row r="1116" spans="1:9">
      <c r="A1116" s="403"/>
      <c r="B1116" s="403"/>
      <c r="C1116" s="403"/>
      <c r="D1116" s="1288"/>
      <c r="E1116" s="1288"/>
      <c r="F1116" s="1288"/>
      <c r="I1116" s="491"/>
    </row>
    <row r="1117" spans="1:9">
      <c r="A1117" s="403"/>
      <c r="B1117" s="403"/>
      <c r="C1117" s="403"/>
      <c r="D1117" s="1288"/>
      <c r="E1117" s="1288"/>
      <c r="F1117" s="1288"/>
      <c r="I1117" s="491"/>
    </row>
    <row r="1118" spans="1:9">
      <c r="A1118" s="403"/>
      <c r="B1118" s="403"/>
      <c r="C1118" s="403"/>
      <c r="D1118" s="528"/>
      <c r="I1118" s="491"/>
    </row>
    <row r="1119" spans="1:9">
      <c r="A1119" s="403"/>
      <c r="B1119" s="486" t="s">
        <v>2743</v>
      </c>
      <c r="C1119" s="403"/>
      <c r="D1119" s="1265" t="s">
        <v>1888</v>
      </c>
      <c r="E1119" s="1265"/>
      <c r="F1119" s="1265"/>
      <c r="I1119" s="491"/>
    </row>
    <row r="1120" spans="1:9">
      <c r="A1120" s="403"/>
      <c r="B1120" s="403"/>
      <c r="C1120" s="403"/>
      <c r="D1120" s="1265"/>
      <c r="E1120" s="1265"/>
      <c r="F1120" s="1265"/>
      <c r="I1120" s="491"/>
    </row>
    <row r="1121" spans="1:9">
      <c r="A1121" s="403"/>
      <c r="B1121" s="403"/>
      <c r="C1121" s="403"/>
      <c r="D1121" s="1265"/>
      <c r="E1121" s="1265"/>
      <c r="F1121" s="1265"/>
      <c r="I1121" s="491"/>
    </row>
    <row r="1122" spans="1:9">
      <c r="A1122" s="403"/>
      <c r="B1122" s="403"/>
      <c r="C1122" s="403"/>
      <c r="D1122" s="981"/>
      <c r="E1122" s="981"/>
      <c r="F1122" s="981"/>
      <c r="I1122" s="491"/>
    </row>
    <row r="1123" spans="1:9" ht="15.75" customHeight="1">
      <c r="A1123" s="403"/>
      <c r="B1123" s="486" t="s">
        <v>2747</v>
      </c>
      <c r="C1123" s="403"/>
      <c r="D1123" s="1260" t="s">
        <v>1889</v>
      </c>
      <c r="E1123" s="1260"/>
      <c r="F1123" s="1260"/>
      <c r="I1123" s="491"/>
    </row>
    <row r="1124" spans="1:9">
      <c r="A1124" s="403"/>
      <c r="B1124" s="403"/>
      <c r="C1124" s="403"/>
      <c r="D1124" s="1260"/>
      <c r="E1124" s="1260"/>
      <c r="F1124" s="1260"/>
      <c r="I1124" s="491"/>
    </row>
    <row r="1125" spans="1:9">
      <c r="A1125" s="403"/>
      <c r="B1125" s="403"/>
      <c r="C1125" s="403"/>
      <c r="D1125" s="1260"/>
      <c r="E1125" s="1260"/>
      <c r="F1125" s="1260"/>
      <c r="I1125" s="491"/>
    </row>
    <row r="1126" spans="1:9">
      <c r="A1126" s="403"/>
      <c r="B1126" s="403"/>
      <c r="C1126" s="403"/>
      <c r="D1126" s="1260"/>
      <c r="E1126" s="1260"/>
      <c r="F1126" s="1260"/>
      <c r="I1126" s="491"/>
    </row>
    <row r="1127" spans="1:9">
      <c r="A1127" s="403"/>
      <c r="B1127" s="403"/>
      <c r="C1127" s="403"/>
      <c r="D1127" s="981"/>
      <c r="E1127" s="981"/>
      <c r="F1127" s="981"/>
      <c r="I1127" s="491"/>
    </row>
    <row r="1128" spans="1:9">
      <c r="A1128" s="403"/>
      <c r="B1128" s="403"/>
      <c r="C1128" s="403"/>
      <c r="I1128" s="1161"/>
    </row>
    <row r="1129" spans="1:9">
      <c r="A1129" s="403"/>
      <c r="B1129" s="403"/>
      <c r="C1129" s="403"/>
      <c r="I1129" s="491"/>
    </row>
    <row r="1130" spans="1:9">
      <c r="A1130" s="403"/>
      <c r="B1130" s="403"/>
      <c r="C1130" s="403"/>
      <c r="I1130" s="491"/>
    </row>
    <row r="1131" spans="1:9">
      <c r="A1131" s="403"/>
      <c r="B1131" s="403"/>
      <c r="C1131" s="403"/>
    </row>
    <row r="1132" spans="1:9">
      <c r="A1132" s="403"/>
      <c r="B1132" s="403"/>
      <c r="C1132" s="403"/>
    </row>
    <row r="1133" spans="1:9">
      <c r="A1133" s="403"/>
      <c r="B1133" s="403"/>
      <c r="C1133" s="403"/>
    </row>
    <row r="1134" spans="1:9">
      <c r="A1134" s="403"/>
      <c r="B1134" s="403"/>
      <c r="C1134" s="403"/>
    </row>
    <row r="1135" spans="1:9">
      <c r="A1135" s="403"/>
      <c r="B1135" s="403"/>
      <c r="C1135" s="403"/>
    </row>
    <row r="1136" spans="1:9">
      <c r="A1136" s="403"/>
      <c r="B1136" s="403"/>
      <c r="C1136" s="403"/>
    </row>
    <row r="1137" spans="1:3">
      <c r="A1137" s="403"/>
      <c r="B1137" s="403"/>
      <c r="C1137" s="403"/>
    </row>
    <row r="1138" spans="1:3">
      <c r="A1138" s="403"/>
      <c r="B1138" s="403"/>
      <c r="C1138" s="403"/>
    </row>
    <row r="1139" spans="1:3">
      <c r="A1139" s="403"/>
      <c r="B1139" s="403"/>
      <c r="C1139" s="403"/>
    </row>
    <row r="1140" spans="1:3">
      <c r="A1140" s="403"/>
      <c r="B1140" s="403"/>
      <c r="C1140" s="403"/>
    </row>
    <row r="1141" spans="1:3">
      <c r="A1141" s="403"/>
      <c r="B1141" s="403"/>
      <c r="C1141" s="403"/>
    </row>
    <row r="1142" spans="1:3">
      <c r="A1142" s="403"/>
      <c r="B1142" s="403"/>
      <c r="C1142" s="403"/>
    </row>
    <row r="1143" spans="1:3">
      <c r="A1143" s="403"/>
      <c r="B1143" s="403"/>
      <c r="C1143" s="403"/>
    </row>
    <row r="1144" spans="1:3">
      <c r="A1144" s="403"/>
      <c r="B1144" s="403"/>
      <c r="C1144" s="403"/>
    </row>
    <row r="1145" spans="1:3">
      <c r="A1145" s="403"/>
      <c r="B1145" s="403"/>
      <c r="C1145" s="403"/>
    </row>
    <row r="1146" spans="1:3"/>
    <row r="1147" spans="1:3"/>
    <row r="1148" spans="1:3"/>
    <row r="1149" spans="1:3"/>
    <row r="1150" spans="1:3"/>
    <row r="1151" spans="1:3"/>
    <row r="1152" spans="1:3"/>
    <row r="1153" spans="1:3">
      <c r="A1153" s="403"/>
      <c r="B1153" s="403"/>
      <c r="C1153" s="403"/>
    </row>
    <row r="1154" spans="1:3">
      <c r="A1154" s="403"/>
      <c r="B1154" s="403"/>
      <c r="C1154" s="403"/>
    </row>
    <row r="1155" spans="1:3">
      <c r="A1155" s="403"/>
      <c r="B1155" s="403"/>
      <c r="C1155" s="403"/>
    </row>
    <row r="1156" spans="1:3">
      <c r="A1156" s="403"/>
      <c r="B1156" s="403"/>
      <c r="C1156" s="403"/>
    </row>
    <row r="1157" spans="1:3">
      <c r="A1157" s="403"/>
      <c r="B1157" s="403"/>
      <c r="C1157" s="403"/>
    </row>
    <row r="1158" spans="1:3">
      <c r="A1158" s="403"/>
      <c r="B1158" s="403"/>
      <c r="C1158" s="403"/>
    </row>
    <row r="1159" spans="1:3">
      <c r="A1159" s="403"/>
      <c r="B1159" s="403"/>
      <c r="C1159" s="403"/>
    </row>
    <row r="1160" spans="1:3">
      <c r="A1160" s="403"/>
      <c r="B1160" s="403"/>
      <c r="C1160" s="403"/>
    </row>
    <row r="1161" spans="1:3">
      <c r="A1161" s="403"/>
      <c r="B1161" s="403"/>
      <c r="C1161" s="403"/>
    </row>
    <row r="1162" spans="1:3">
      <c r="A1162" s="403"/>
      <c r="B1162" s="403"/>
      <c r="C1162" s="403"/>
    </row>
    <row r="1163" spans="1:3">
      <c r="A1163" s="403"/>
      <c r="B1163" s="403"/>
      <c r="C1163" s="403"/>
    </row>
    <row r="1164" spans="1:3">
      <c r="A1164" s="403"/>
      <c r="B1164" s="403"/>
      <c r="C1164" s="403"/>
    </row>
    <row r="1165" spans="1:3">
      <c r="A1165" s="403"/>
      <c r="B1165" s="403"/>
      <c r="C1165" s="403"/>
    </row>
    <row r="1166" spans="1:3">
      <c r="A1166" s="403"/>
      <c r="B1166" s="403"/>
      <c r="C1166" s="403"/>
    </row>
    <row r="1167" spans="1:3">
      <c r="A1167" s="403"/>
      <c r="B1167" s="403"/>
      <c r="C1167" s="403"/>
    </row>
    <row r="1168" spans="1:3">
      <c r="A1168" s="403"/>
      <c r="B1168" s="403"/>
      <c r="C1168" s="403"/>
    </row>
    <row r="1169" spans="1:3">
      <c r="A1169" s="403"/>
      <c r="B1169" s="403"/>
      <c r="C1169" s="403"/>
    </row>
    <row r="1170" spans="1:3">
      <c r="A1170" s="403"/>
      <c r="B1170" s="403"/>
      <c r="C1170" s="403"/>
    </row>
    <row r="1171" spans="1:3">
      <c r="A1171" s="403"/>
      <c r="B1171" s="403"/>
      <c r="C1171" s="403"/>
    </row>
    <row r="1172" spans="1:3">
      <c r="A1172" s="403"/>
      <c r="B1172" s="403"/>
      <c r="C1172" s="403"/>
    </row>
    <row r="1173" spans="1:3">
      <c r="A1173" s="403"/>
      <c r="B1173" s="403"/>
      <c r="C1173" s="403"/>
    </row>
    <row r="1174" spans="1:3">
      <c r="A1174" s="403"/>
      <c r="B1174" s="403"/>
      <c r="C1174" s="403"/>
    </row>
    <row r="1175" spans="1:3">
      <c r="A1175" s="403"/>
      <c r="B1175" s="403"/>
      <c r="C1175" s="403"/>
    </row>
    <row r="1176" spans="1:3">
      <c r="A1176" s="403"/>
      <c r="B1176" s="403"/>
      <c r="C1176" s="403"/>
    </row>
    <row r="1177" spans="1:3">
      <c r="A1177" s="403"/>
      <c r="B1177" s="403"/>
      <c r="C1177" s="403"/>
    </row>
    <row r="1178" spans="1:3">
      <c r="A1178" s="403"/>
      <c r="B1178" s="403"/>
      <c r="C1178" s="403"/>
    </row>
    <row r="1179" spans="1:3">
      <c r="A1179" s="403"/>
      <c r="B1179" s="403"/>
      <c r="C1179" s="403"/>
    </row>
    <row r="1180" spans="1:3">
      <c r="A1180" s="403"/>
      <c r="B1180" s="403"/>
      <c r="C1180" s="403"/>
    </row>
    <row r="1181" spans="1:3">
      <c r="A1181" s="403"/>
      <c r="B1181" s="403"/>
      <c r="C1181" s="403"/>
    </row>
    <row r="1182" spans="1:3">
      <c r="A1182" s="403"/>
      <c r="B1182" s="403"/>
      <c r="C1182" s="403"/>
    </row>
    <row r="1183" spans="1:3">
      <c r="A1183" s="403"/>
      <c r="B1183" s="403"/>
      <c r="C1183" s="403"/>
    </row>
    <row r="1184" spans="1:3">
      <c r="A1184" s="403"/>
      <c r="B1184" s="403"/>
      <c r="C1184" s="403"/>
    </row>
    <row r="1185" spans="1:3">
      <c r="A1185" s="403"/>
      <c r="B1185" s="403"/>
      <c r="C1185" s="403"/>
    </row>
    <row r="1186" spans="1:3">
      <c r="A1186" s="403"/>
      <c r="B1186" s="403"/>
      <c r="C1186" s="403"/>
    </row>
    <row r="1187" spans="1:3">
      <c r="A1187" s="403"/>
      <c r="B1187" s="403"/>
      <c r="C1187" s="403"/>
    </row>
    <row r="1188" spans="1:3">
      <c r="A1188" s="403"/>
      <c r="B1188" s="403"/>
      <c r="C1188" s="403"/>
    </row>
    <row r="1189" spans="1:3">
      <c r="A1189" s="403"/>
      <c r="B1189" s="403"/>
      <c r="C1189" s="403"/>
    </row>
    <row r="1190" spans="1:3">
      <c r="A1190" s="403"/>
      <c r="B1190" s="403"/>
      <c r="C1190" s="403"/>
    </row>
    <row r="1191" spans="1:3">
      <c r="A1191" s="403"/>
      <c r="B1191" s="403"/>
      <c r="C1191" s="403"/>
    </row>
    <row r="1192" spans="1:3">
      <c r="A1192" s="403"/>
      <c r="B1192" s="403"/>
      <c r="C1192" s="403"/>
    </row>
    <row r="1193" spans="1:3">
      <c r="A1193" s="403"/>
      <c r="B1193" s="403"/>
      <c r="C1193" s="403"/>
    </row>
    <row r="1194" spans="1:3">
      <c r="A1194" s="403"/>
      <c r="B1194" s="403"/>
      <c r="C1194" s="403"/>
    </row>
    <row r="1195" spans="1:3">
      <c r="A1195" s="403"/>
      <c r="B1195" s="403"/>
      <c r="C1195" s="403"/>
    </row>
    <row r="1196" spans="1:3">
      <c r="A1196" s="403"/>
      <c r="B1196" s="403"/>
      <c r="C1196" s="403"/>
    </row>
    <row r="1197" spans="1:3">
      <c r="A1197" s="403"/>
      <c r="B1197" s="403"/>
      <c r="C1197" s="403"/>
    </row>
    <row r="1198" spans="1:3">
      <c r="A1198" s="403"/>
      <c r="B1198" s="403"/>
      <c r="C1198" s="403"/>
    </row>
    <row r="1199" spans="1:3">
      <c r="A1199" s="403"/>
      <c r="B1199" s="403"/>
      <c r="C1199" s="403"/>
    </row>
    <row r="1200" spans="1:3">
      <c r="A1200" s="403"/>
      <c r="B1200" s="403"/>
      <c r="C1200" s="403"/>
    </row>
    <row r="1201" spans="1:3">
      <c r="A1201" s="403"/>
      <c r="B1201" s="403"/>
      <c r="C1201" s="403"/>
    </row>
    <row r="1202" spans="1:3">
      <c r="A1202" s="403"/>
      <c r="B1202" s="403"/>
      <c r="C1202" s="403"/>
    </row>
    <row r="1203" spans="1:3">
      <c r="A1203" s="403"/>
      <c r="B1203" s="403"/>
      <c r="C1203" s="403"/>
    </row>
    <row r="1204" spans="1:3">
      <c r="A1204" s="403"/>
      <c r="B1204" s="403"/>
      <c r="C1204" s="403"/>
    </row>
    <row r="1205" spans="1:3">
      <c r="A1205" s="403"/>
      <c r="B1205" s="403"/>
      <c r="C1205" s="403"/>
    </row>
    <row r="1206" spans="1:3">
      <c r="A1206" s="403"/>
      <c r="B1206" s="403"/>
      <c r="C1206" s="403"/>
    </row>
    <row r="1207" spans="1:3">
      <c r="A1207" s="403"/>
      <c r="B1207" s="403"/>
      <c r="C1207" s="403"/>
    </row>
    <row r="1208" spans="1:3">
      <c r="A1208" s="403"/>
      <c r="B1208" s="403"/>
      <c r="C1208" s="403"/>
    </row>
    <row r="1209" spans="1:3">
      <c r="A1209" s="403"/>
      <c r="B1209" s="403"/>
      <c r="C1209" s="403"/>
    </row>
    <row r="1210" spans="1:3">
      <c r="A1210" s="403"/>
      <c r="B1210" s="403"/>
      <c r="C1210" s="403"/>
    </row>
    <row r="1211" spans="1:3">
      <c r="A1211" s="403"/>
      <c r="B1211" s="403"/>
      <c r="C1211" s="403"/>
    </row>
    <row r="1212" spans="1:3">
      <c r="A1212" s="403"/>
      <c r="B1212" s="403"/>
      <c r="C1212" s="403"/>
    </row>
    <row r="1213" spans="1:3">
      <c r="A1213" s="403"/>
      <c r="B1213" s="403"/>
      <c r="C1213" s="403"/>
    </row>
    <row r="1214" spans="1:3">
      <c r="A1214" s="403"/>
      <c r="B1214" s="403"/>
      <c r="C1214" s="403"/>
    </row>
    <row r="1215" spans="1:3">
      <c r="A1215" s="403"/>
      <c r="B1215" s="403"/>
      <c r="C1215" s="403"/>
    </row>
    <row r="1216" spans="1:3">
      <c r="A1216" s="403"/>
      <c r="B1216" s="403"/>
      <c r="C1216" s="403"/>
    </row>
    <row r="1217" spans="1:3">
      <c r="A1217" s="403"/>
      <c r="B1217" s="403"/>
      <c r="C1217" s="403"/>
    </row>
    <row r="1218" spans="1:3">
      <c r="A1218" s="403"/>
      <c r="B1218" s="403"/>
      <c r="C1218" s="403"/>
    </row>
    <row r="1219" spans="1:3">
      <c r="A1219" s="403"/>
      <c r="B1219" s="403"/>
      <c r="C1219" s="403"/>
    </row>
    <row r="1220" spans="1:3">
      <c r="A1220" s="403"/>
      <c r="B1220" s="403"/>
      <c r="C1220" s="403"/>
    </row>
    <row r="1221" spans="1:3">
      <c r="A1221" s="403"/>
      <c r="B1221" s="403"/>
      <c r="C1221" s="403"/>
    </row>
    <row r="1222" spans="1:3">
      <c r="A1222" s="403"/>
      <c r="B1222" s="403"/>
      <c r="C1222" s="403"/>
    </row>
    <row r="1223" spans="1:3">
      <c r="A1223" s="403"/>
      <c r="B1223" s="403"/>
      <c r="C1223" s="403"/>
    </row>
    <row r="1224" spans="1:3">
      <c r="A1224" s="403"/>
      <c r="B1224" s="403"/>
      <c r="C1224" s="403"/>
    </row>
    <row r="1225" spans="1:3">
      <c r="A1225" s="403"/>
      <c r="B1225" s="403"/>
      <c r="C1225" s="403"/>
    </row>
    <row r="1226" spans="1:3">
      <c r="A1226" s="403"/>
      <c r="B1226" s="403"/>
      <c r="C1226" s="403"/>
    </row>
    <row r="1227" spans="1:3">
      <c r="A1227" s="403"/>
      <c r="B1227" s="403"/>
      <c r="C1227" s="403"/>
    </row>
    <row r="1228" spans="1:3">
      <c r="A1228" s="403"/>
      <c r="B1228" s="403"/>
      <c r="C1228" s="403"/>
    </row>
    <row r="1229" spans="1:3">
      <c r="A1229" s="403"/>
      <c r="B1229" s="403"/>
      <c r="C1229" s="403"/>
    </row>
    <row r="1230" spans="1:3">
      <c r="A1230" s="403"/>
      <c r="B1230" s="403"/>
      <c r="C1230" s="403"/>
    </row>
    <row r="1231" spans="1:3">
      <c r="A1231" s="403"/>
      <c r="B1231" s="403"/>
      <c r="C1231" s="403"/>
    </row>
    <row r="1232" spans="1:3">
      <c r="A1232" s="403"/>
      <c r="B1232" s="403"/>
      <c r="C1232" s="403"/>
    </row>
    <row r="1233" spans="1:3">
      <c r="A1233" s="403"/>
      <c r="B1233" s="403"/>
      <c r="C1233" s="403"/>
    </row>
    <row r="1234" spans="1:3">
      <c r="A1234" s="403"/>
      <c r="B1234" s="403"/>
      <c r="C1234" s="403"/>
    </row>
    <row r="1235" spans="1:3">
      <c r="A1235" s="403"/>
      <c r="B1235" s="403"/>
      <c r="C1235" s="403"/>
    </row>
    <row r="1236" spans="1:3">
      <c r="A1236" s="403"/>
      <c r="B1236" s="403"/>
      <c r="C1236" s="403"/>
    </row>
    <row r="1237" spans="1:3">
      <c r="A1237" s="403"/>
      <c r="B1237" s="403"/>
      <c r="C1237" s="403"/>
    </row>
    <row r="1238" spans="1:3">
      <c r="A1238" s="403"/>
      <c r="B1238" s="403"/>
      <c r="C1238" s="403"/>
    </row>
    <row r="1239" spans="1:3">
      <c r="A1239" s="403"/>
      <c r="B1239" s="403"/>
      <c r="C1239" s="403"/>
    </row>
    <row r="1240" spans="1:3">
      <c r="A1240" s="403"/>
      <c r="B1240" s="403"/>
      <c r="C1240" s="403"/>
    </row>
    <row r="1241" spans="1:3">
      <c r="A1241" s="403"/>
      <c r="B1241" s="403"/>
      <c r="C1241" s="403"/>
    </row>
    <row r="1242" spans="1:3">
      <c r="A1242" s="403"/>
      <c r="B1242" s="403"/>
      <c r="C1242" s="403"/>
    </row>
    <row r="1243" spans="1:3">
      <c r="A1243" s="403"/>
      <c r="B1243" s="403"/>
      <c r="C1243" s="403"/>
    </row>
    <row r="1244" spans="1:3">
      <c r="A1244" s="403"/>
      <c r="B1244" s="403"/>
      <c r="C1244" s="403"/>
    </row>
    <row r="1245" spans="1:3">
      <c r="A1245" s="403"/>
      <c r="B1245" s="403"/>
      <c r="C1245" s="403"/>
    </row>
    <row r="1246" spans="1:3">
      <c r="A1246" s="403"/>
      <c r="B1246" s="403"/>
      <c r="C1246" s="403"/>
    </row>
    <row r="1247" spans="1:3">
      <c r="A1247" s="403"/>
      <c r="B1247" s="403"/>
      <c r="C1247" s="403"/>
    </row>
    <row r="1248" spans="1:3">
      <c r="A1248" s="403"/>
      <c r="B1248" s="403"/>
      <c r="C1248" s="403"/>
    </row>
    <row r="1249" spans="1:3">
      <c r="A1249" s="403"/>
      <c r="B1249" s="403"/>
      <c r="C1249" s="403"/>
    </row>
    <row r="1250" spans="1:3">
      <c r="A1250" s="403"/>
      <c r="B1250" s="403"/>
      <c r="C1250" s="403"/>
    </row>
    <row r="1251" spans="1:3">
      <c r="A1251" s="403"/>
      <c r="B1251" s="403"/>
      <c r="C1251" s="403"/>
    </row>
    <row r="1252" spans="1:3">
      <c r="A1252" s="403"/>
      <c r="B1252" s="403"/>
      <c r="C1252" s="403"/>
    </row>
    <row r="1253" spans="1:3">
      <c r="A1253" s="403"/>
      <c r="B1253" s="403"/>
      <c r="C1253" s="403"/>
    </row>
    <row r="1254" spans="1:3">
      <c r="A1254" s="403"/>
      <c r="B1254" s="403"/>
      <c r="C1254" s="403"/>
    </row>
    <row r="1255" spans="1:3">
      <c r="A1255" s="403"/>
      <c r="B1255" s="403"/>
      <c r="C1255" s="403"/>
    </row>
    <row r="1256" spans="1:3">
      <c r="A1256" s="403"/>
      <c r="B1256" s="403"/>
      <c r="C1256" s="403"/>
    </row>
    <row r="1257" spans="1:3">
      <c r="A1257" s="403"/>
      <c r="B1257" s="403"/>
      <c r="C1257" s="403"/>
    </row>
    <row r="1258" spans="1:3">
      <c r="A1258" s="403"/>
      <c r="B1258" s="403"/>
      <c r="C1258" s="403"/>
    </row>
    <row r="1259" spans="1:3">
      <c r="A1259" s="403"/>
      <c r="B1259" s="403"/>
      <c r="C1259" s="403"/>
    </row>
    <row r="1260" spans="1:3">
      <c r="A1260" s="403"/>
      <c r="B1260" s="403"/>
      <c r="C1260" s="403"/>
    </row>
    <row r="1261" spans="1:3">
      <c r="A1261" s="403"/>
      <c r="B1261" s="403"/>
      <c r="C1261" s="403"/>
    </row>
    <row r="1262" spans="1:3">
      <c r="A1262" s="403"/>
      <c r="B1262" s="403"/>
      <c r="C1262" s="403"/>
    </row>
    <row r="1263" spans="1:3">
      <c r="A1263" s="403"/>
      <c r="B1263" s="403"/>
      <c r="C1263" s="403"/>
    </row>
    <row r="1264" spans="1:3">
      <c r="A1264" s="403"/>
      <c r="B1264" s="403"/>
      <c r="C1264" s="403"/>
    </row>
    <row r="1265" spans="1:3">
      <c r="A1265" s="403"/>
      <c r="B1265" s="403"/>
      <c r="C1265" s="403"/>
    </row>
    <row r="1266" spans="1:3">
      <c r="A1266" s="403"/>
      <c r="B1266" s="403"/>
      <c r="C1266" s="403"/>
    </row>
    <row r="1267" spans="1:3">
      <c r="A1267" s="403"/>
      <c r="B1267" s="403"/>
      <c r="C1267" s="403"/>
    </row>
    <row r="1268" spans="1:3">
      <c r="A1268" s="403"/>
      <c r="B1268" s="403"/>
      <c r="C1268" s="403"/>
    </row>
    <row r="1269" spans="1:3">
      <c r="A1269" s="403"/>
      <c r="B1269" s="403"/>
      <c r="C1269" s="403"/>
    </row>
    <row r="1270" spans="1:3">
      <c r="A1270" s="403"/>
      <c r="B1270" s="403"/>
      <c r="C1270" s="403"/>
    </row>
    <row r="1271" spans="1:3">
      <c r="A1271" s="403"/>
      <c r="B1271" s="403"/>
      <c r="C1271" s="403"/>
    </row>
    <row r="1272" spans="1:3">
      <c r="A1272" s="403"/>
      <c r="B1272" s="403"/>
      <c r="C1272" s="403"/>
    </row>
    <row r="1273" spans="1:3">
      <c r="A1273" s="403"/>
      <c r="B1273" s="403"/>
      <c r="C1273" s="403"/>
    </row>
    <row r="1274" spans="1:3">
      <c r="A1274" s="403"/>
      <c r="B1274" s="403"/>
      <c r="C1274" s="403"/>
    </row>
    <row r="1275" spans="1:3">
      <c r="A1275" s="403"/>
      <c r="B1275" s="403"/>
      <c r="C1275" s="403"/>
    </row>
    <row r="1276" spans="1:3">
      <c r="A1276" s="403"/>
      <c r="B1276" s="403"/>
      <c r="C1276" s="403"/>
    </row>
    <row r="1277" spans="1:3">
      <c r="A1277" s="403"/>
      <c r="B1277" s="403"/>
      <c r="C1277" s="403"/>
    </row>
    <row r="1278" spans="1:3">
      <c r="A1278" s="403"/>
      <c r="B1278" s="403"/>
      <c r="C1278" s="403"/>
    </row>
    <row r="1279" spans="1:3">
      <c r="A1279" s="403"/>
      <c r="B1279" s="403"/>
      <c r="C1279" s="403"/>
    </row>
    <row r="1280" spans="1:3">
      <c r="A1280" s="403"/>
      <c r="B1280" s="403"/>
      <c r="C1280" s="403"/>
    </row>
    <row r="1281" spans="1:3">
      <c r="A1281" s="403"/>
      <c r="B1281" s="403"/>
      <c r="C1281" s="403"/>
    </row>
    <row r="1282" spans="1:3">
      <c r="A1282" s="403"/>
      <c r="B1282" s="403"/>
      <c r="C1282" s="403"/>
    </row>
    <row r="1283" spans="1:3">
      <c r="A1283" s="403"/>
      <c r="B1283" s="403"/>
      <c r="C1283" s="403"/>
    </row>
    <row r="1284" spans="1:3">
      <c r="A1284" s="403"/>
      <c r="B1284" s="403"/>
      <c r="C1284" s="403"/>
    </row>
    <row r="1285" spans="1:3">
      <c r="A1285" s="403"/>
      <c r="B1285" s="403"/>
      <c r="C1285" s="403"/>
    </row>
    <row r="1286" spans="1:3">
      <c r="A1286" s="403"/>
      <c r="B1286" s="403"/>
      <c r="C1286" s="403"/>
    </row>
    <row r="1287" spans="1:3">
      <c r="A1287" s="403"/>
      <c r="B1287" s="403"/>
      <c r="C1287" s="403"/>
    </row>
    <row r="1288" spans="1:3">
      <c r="A1288" s="403"/>
      <c r="B1288" s="403"/>
      <c r="C1288" s="403"/>
    </row>
    <row r="1289" spans="1:3">
      <c r="A1289" s="403"/>
      <c r="B1289" s="403"/>
      <c r="C1289" s="403"/>
    </row>
    <row r="1290" spans="1:3">
      <c r="A1290" s="403"/>
      <c r="B1290" s="403"/>
      <c r="C1290" s="403"/>
    </row>
    <row r="1291" spans="1:3">
      <c r="A1291" s="403"/>
      <c r="B1291" s="403"/>
      <c r="C1291" s="403"/>
    </row>
    <row r="1292" spans="1:3">
      <c r="A1292" s="403"/>
      <c r="B1292" s="403"/>
      <c r="C1292" s="403"/>
    </row>
    <row r="1293" spans="1:3">
      <c r="A1293" s="403"/>
      <c r="B1293" s="403"/>
      <c r="C1293" s="403"/>
    </row>
    <row r="1294" spans="1:3">
      <c r="A1294" s="403"/>
      <c r="B1294" s="403"/>
      <c r="C1294" s="403"/>
    </row>
    <row r="1295" spans="1:3">
      <c r="A1295" s="403"/>
      <c r="B1295" s="403"/>
      <c r="C1295" s="403"/>
    </row>
    <row r="1296" spans="1:3">
      <c r="A1296" s="403"/>
      <c r="B1296" s="403"/>
      <c r="C1296" s="403"/>
    </row>
    <row r="1297" spans="1:3">
      <c r="A1297" s="403"/>
      <c r="B1297" s="403"/>
      <c r="C1297" s="403"/>
    </row>
    <row r="1298" spans="1:3">
      <c r="A1298" s="403"/>
      <c r="B1298" s="403"/>
      <c r="C1298" s="403"/>
    </row>
    <row r="1299" spans="1:3">
      <c r="A1299" s="403"/>
      <c r="B1299" s="403"/>
      <c r="C1299" s="403"/>
    </row>
    <row r="1300" spans="1:3">
      <c r="A1300" s="403"/>
      <c r="B1300" s="403"/>
      <c r="C1300" s="403"/>
    </row>
    <row r="1301" spans="1:3">
      <c r="A1301" s="403"/>
      <c r="B1301" s="403"/>
      <c r="C1301" s="403"/>
    </row>
    <row r="1302" spans="1:3">
      <c r="A1302" s="403"/>
      <c r="B1302" s="403"/>
      <c r="C1302" s="403"/>
    </row>
    <row r="1303" spans="1:3">
      <c r="A1303" s="403"/>
      <c r="B1303" s="403"/>
      <c r="C1303" s="403"/>
    </row>
    <row r="1304" spans="1:3">
      <c r="A1304" s="403"/>
      <c r="B1304" s="403"/>
      <c r="C1304" s="403"/>
    </row>
    <row r="1305" spans="1:3">
      <c r="A1305" s="403"/>
      <c r="B1305" s="403"/>
      <c r="C1305" s="403"/>
    </row>
    <row r="1306" spans="1:3">
      <c r="A1306" s="403"/>
      <c r="B1306" s="403"/>
      <c r="C1306" s="403"/>
    </row>
    <row r="1307" spans="1:3">
      <c r="A1307" s="403"/>
      <c r="B1307" s="403"/>
      <c r="C1307" s="403"/>
    </row>
    <row r="1308" spans="1:3">
      <c r="A1308" s="403"/>
      <c r="B1308" s="403"/>
      <c r="C1308" s="403"/>
    </row>
    <row r="1309" spans="1:3">
      <c r="A1309" s="403"/>
      <c r="B1309" s="403"/>
      <c r="C1309" s="403"/>
    </row>
    <row r="1310" spans="1:3">
      <c r="A1310" s="403"/>
      <c r="B1310" s="403"/>
      <c r="C1310" s="403"/>
    </row>
    <row r="1311" spans="1:3">
      <c r="A1311" s="403"/>
      <c r="B1311" s="403"/>
      <c r="C1311" s="403"/>
    </row>
    <row r="1312" spans="1:3">
      <c r="A1312" s="403"/>
      <c r="B1312" s="403"/>
      <c r="C1312" s="403"/>
    </row>
    <row r="1313" spans="1:3">
      <c r="A1313" s="403"/>
      <c r="B1313" s="403"/>
      <c r="C1313" s="403"/>
    </row>
    <row r="1314" spans="1:3">
      <c r="A1314" s="403"/>
      <c r="B1314" s="403"/>
      <c r="C1314" s="403"/>
    </row>
    <row r="1315" spans="1:3">
      <c r="A1315" s="403"/>
      <c r="B1315" s="403"/>
      <c r="C1315" s="403"/>
    </row>
    <row r="1316" spans="1:3">
      <c r="A1316" s="403"/>
      <c r="B1316" s="403"/>
      <c r="C1316" s="403"/>
    </row>
    <row r="1317" spans="1:3">
      <c r="A1317" s="403"/>
      <c r="B1317" s="403"/>
      <c r="C1317" s="403"/>
    </row>
    <row r="1318" spans="1:3">
      <c r="A1318" s="403"/>
      <c r="B1318" s="403"/>
      <c r="C1318" s="403"/>
    </row>
    <row r="1319" spans="1:3">
      <c r="A1319" s="403"/>
      <c r="B1319" s="403"/>
      <c r="C1319" s="403"/>
    </row>
    <row r="1320" spans="1:3">
      <c r="A1320" s="403"/>
      <c r="B1320" s="403"/>
      <c r="C1320" s="403"/>
    </row>
    <row r="1321" spans="1:3">
      <c r="A1321" s="403"/>
      <c r="B1321" s="403"/>
      <c r="C1321" s="403"/>
    </row>
    <row r="1322" spans="1:3">
      <c r="A1322" s="403"/>
      <c r="B1322" s="403"/>
      <c r="C1322" s="403"/>
    </row>
    <row r="1323" spans="1:3">
      <c r="A1323" s="403"/>
      <c r="B1323" s="403"/>
      <c r="C1323" s="403"/>
    </row>
    <row r="1324" spans="1:3">
      <c r="A1324" s="403"/>
      <c r="B1324" s="403"/>
      <c r="C1324" s="403"/>
    </row>
    <row r="1325" spans="1:3">
      <c r="A1325" s="403"/>
      <c r="B1325" s="403"/>
      <c r="C1325" s="403"/>
    </row>
    <row r="1326" spans="1:3">
      <c r="A1326" s="403"/>
      <c r="B1326" s="403"/>
      <c r="C1326" s="403"/>
    </row>
    <row r="1327" spans="1:3">
      <c r="A1327" s="403"/>
      <c r="B1327" s="403"/>
      <c r="C1327" s="403"/>
    </row>
    <row r="1328" spans="1:3">
      <c r="A1328" s="403"/>
      <c r="B1328" s="403"/>
      <c r="C1328" s="403"/>
    </row>
    <row r="1329" spans="1:3">
      <c r="A1329" s="403"/>
      <c r="B1329" s="403"/>
      <c r="C1329" s="403"/>
    </row>
    <row r="1330" spans="1:3">
      <c r="A1330" s="403"/>
      <c r="B1330" s="403"/>
      <c r="C1330" s="403"/>
    </row>
    <row r="1331" spans="1:3">
      <c r="A1331" s="403"/>
      <c r="B1331" s="403"/>
      <c r="C1331" s="403"/>
    </row>
    <row r="1332" spans="1:3">
      <c r="A1332" s="403"/>
      <c r="B1332" s="403"/>
      <c r="C1332" s="403"/>
    </row>
    <row r="1333" spans="1:3">
      <c r="A1333" s="403"/>
      <c r="B1333" s="403"/>
      <c r="C1333" s="403"/>
    </row>
    <row r="1334" spans="1:3">
      <c r="A1334" s="403"/>
      <c r="B1334" s="403"/>
      <c r="C1334" s="403"/>
    </row>
    <row r="1335" spans="1:3">
      <c r="A1335" s="403"/>
      <c r="B1335" s="403"/>
      <c r="C1335" s="403"/>
    </row>
    <row r="1336" spans="1:3">
      <c r="A1336" s="403"/>
      <c r="B1336" s="403"/>
      <c r="C1336" s="403"/>
    </row>
    <row r="1337" spans="1:3">
      <c r="A1337" s="403"/>
      <c r="B1337" s="403"/>
      <c r="C1337" s="403"/>
    </row>
    <row r="1338" spans="1:3">
      <c r="A1338" s="403"/>
      <c r="B1338" s="403"/>
      <c r="C1338" s="403"/>
    </row>
    <row r="1339" spans="1:3">
      <c r="A1339" s="403"/>
      <c r="B1339" s="403"/>
      <c r="C1339" s="403"/>
    </row>
    <row r="1340" spans="1:3">
      <c r="A1340" s="403"/>
      <c r="B1340" s="403"/>
      <c r="C1340" s="403"/>
    </row>
    <row r="1341" spans="1:3">
      <c r="A1341" s="403"/>
      <c r="B1341" s="403"/>
      <c r="C1341" s="403"/>
    </row>
    <row r="1342" spans="1:3">
      <c r="A1342" s="403"/>
      <c r="B1342" s="403"/>
      <c r="C1342" s="403"/>
    </row>
    <row r="1343" spans="1:3">
      <c r="A1343" s="403"/>
      <c r="B1343" s="403"/>
      <c r="C1343" s="403"/>
    </row>
    <row r="1344" spans="1:3">
      <c r="A1344" s="403"/>
      <c r="B1344" s="403"/>
      <c r="C1344" s="403"/>
    </row>
    <row r="1345" spans="1:3">
      <c r="A1345" s="403"/>
      <c r="B1345" s="403"/>
      <c r="C1345" s="403"/>
    </row>
    <row r="1346" spans="1:3">
      <c r="A1346" s="403"/>
      <c r="B1346" s="403"/>
      <c r="C1346" s="403"/>
    </row>
    <row r="1347" spans="1:3">
      <c r="A1347" s="403"/>
      <c r="B1347" s="403"/>
      <c r="C1347" s="403"/>
    </row>
    <row r="1348" spans="1:3">
      <c r="A1348" s="403"/>
      <c r="B1348" s="403"/>
      <c r="C1348" s="403"/>
    </row>
    <row r="1349" spans="1:3">
      <c r="A1349" s="403"/>
      <c r="B1349" s="403"/>
      <c r="C1349" s="403"/>
    </row>
    <row r="1350" spans="1:3">
      <c r="A1350" s="403"/>
      <c r="B1350" s="403"/>
      <c r="C1350" s="403"/>
    </row>
    <row r="1351" spans="1:3">
      <c r="A1351" s="403"/>
      <c r="B1351" s="403"/>
      <c r="C1351" s="403"/>
    </row>
    <row r="1352" spans="1:3">
      <c r="A1352" s="403"/>
      <c r="B1352" s="403"/>
      <c r="C1352" s="403"/>
    </row>
    <row r="1353" spans="1:3">
      <c r="A1353" s="403"/>
      <c r="B1353" s="403"/>
      <c r="C1353" s="403"/>
    </row>
    <row r="1354" spans="1:3">
      <c r="A1354" s="403"/>
      <c r="B1354" s="403"/>
      <c r="C1354" s="403"/>
    </row>
    <row r="1355" spans="1:3">
      <c r="A1355" s="403"/>
      <c r="B1355" s="403"/>
      <c r="C1355" s="403"/>
    </row>
    <row r="1356" spans="1:3">
      <c r="A1356" s="403"/>
      <c r="B1356" s="403"/>
      <c r="C1356" s="403"/>
    </row>
    <row r="1357" spans="1:3">
      <c r="A1357" s="403"/>
      <c r="B1357" s="403"/>
      <c r="C1357" s="403"/>
    </row>
    <row r="1358" spans="1:3">
      <c r="A1358" s="403"/>
      <c r="B1358" s="403"/>
      <c r="C1358" s="403"/>
    </row>
    <row r="1359" spans="1:3">
      <c r="A1359" s="403"/>
      <c r="B1359" s="403"/>
      <c r="C1359" s="403"/>
    </row>
    <row r="1360" spans="1:3">
      <c r="A1360" s="403"/>
      <c r="B1360" s="403"/>
      <c r="C1360" s="403"/>
    </row>
    <row r="1361" spans="1:3">
      <c r="A1361" s="403"/>
      <c r="B1361" s="403"/>
      <c r="C1361" s="403"/>
    </row>
    <row r="1362" spans="1:3">
      <c r="A1362" s="403"/>
      <c r="B1362" s="403"/>
      <c r="C1362" s="403"/>
    </row>
    <row r="1363" spans="1:3">
      <c r="A1363" s="403"/>
      <c r="B1363" s="403"/>
      <c r="C1363" s="403"/>
    </row>
    <row r="1364" spans="1:3">
      <c r="A1364" s="403"/>
      <c r="B1364" s="403"/>
      <c r="C1364" s="403"/>
    </row>
    <row r="1365" spans="1:3">
      <c r="A1365" s="403"/>
      <c r="B1365" s="403"/>
      <c r="C1365" s="403"/>
    </row>
    <row r="1366" spans="1:3">
      <c r="A1366" s="403"/>
      <c r="B1366" s="403"/>
      <c r="C1366" s="403"/>
    </row>
    <row r="1367" spans="1:3">
      <c r="A1367" s="403"/>
      <c r="B1367" s="403"/>
      <c r="C1367" s="403"/>
    </row>
    <row r="1368" spans="1:3">
      <c r="A1368" s="403"/>
      <c r="B1368" s="403"/>
      <c r="C1368" s="403"/>
    </row>
    <row r="1369" spans="1:3">
      <c r="A1369" s="403"/>
      <c r="B1369" s="403"/>
      <c r="C1369" s="403"/>
    </row>
    <row r="1370" spans="1:3">
      <c r="A1370" s="403"/>
      <c r="B1370" s="403"/>
      <c r="C1370" s="403"/>
    </row>
    <row r="1371" spans="1:3">
      <c r="A1371" s="403"/>
      <c r="B1371" s="403"/>
      <c r="C1371" s="403"/>
    </row>
    <row r="1372" spans="1:3">
      <c r="A1372" s="403"/>
      <c r="B1372" s="403"/>
      <c r="C1372" s="403"/>
    </row>
    <row r="1373" spans="1:3">
      <c r="A1373" s="403"/>
      <c r="B1373" s="403"/>
      <c r="C1373" s="403"/>
    </row>
    <row r="1374" spans="1:3">
      <c r="A1374" s="403"/>
      <c r="B1374" s="403"/>
      <c r="C1374" s="403"/>
    </row>
    <row r="1375" spans="1:3">
      <c r="A1375" s="403"/>
      <c r="B1375" s="403"/>
      <c r="C1375" s="403"/>
    </row>
    <row r="1376" spans="1:3">
      <c r="A1376" s="403"/>
      <c r="B1376" s="403"/>
      <c r="C1376" s="403"/>
    </row>
    <row r="1377" spans="1:3">
      <c r="A1377" s="403"/>
      <c r="B1377" s="403"/>
      <c r="C1377" s="403"/>
    </row>
    <row r="1378" spans="1:3">
      <c r="A1378" s="403"/>
      <c r="B1378" s="403"/>
      <c r="C1378" s="403"/>
    </row>
    <row r="1379" spans="1:3">
      <c r="A1379" s="403"/>
      <c r="B1379" s="403"/>
      <c r="C1379" s="403"/>
    </row>
    <row r="1380" spans="1:3">
      <c r="A1380" s="403"/>
      <c r="B1380" s="403"/>
      <c r="C1380" s="403"/>
    </row>
    <row r="1381" spans="1:3">
      <c r="A1381" s="403"/>
      <c r="B1381" s="403"/>
      <c r="C1381" s="403"/>
    </row>
    <row r="1382" spans="1:3">
      <c r="A1382" s="403"/>
      <c r="B1382" s="403"/>
      <c r="C1382" s="403"/>
    </row>
    <row r="1383" spans="1:3">
      <c r="A1383" s="403"/>
      <c r="B1383" s="403"/>
      <c r="C1383" s="403"/>
    </row>
    <row r="1384" spans="1:3">
      <c r="A1384" s="403"/>
      <c r="B1384" s="403"/>
      <c r="C1384" s="403"/>
    </row>
    <row r="1385" spans="1:3">
      <c r="A1385" s="403"/>
      <c r="B1385" s="403"/>
      <c r="C1385" s="403"/>
    </row>
    <row r="1386" spans="1:3">
      <c r="A1386" s="403"/>
      <c r="B1386" s="403"/>
      <c r="C1386" s="403"/>
    </row>
    <row r="1387" spans="1:3">
      <c r="A1387" s="403"/>
      <c r="B1387" s="403"/>
      <c r="C1387" s="403"/>
    </row>
    <row r="1388" spans="1:3">
      <c r="A1388" s="403"/>
      <c r="B1388" s="403"/>
      <c r="C1388" s="403"/>
    </row>
    <row r="1389" spans="1:3">
      <c r="A1389" s="403"/>
      <c r="B1389" s="403"/>
      <c r="C1389" s="403"/>
    </row>
    <row r="1390" spans="1:3">
      <c r="A1390" s="403"/>
      <c r="B1390" s="403"/>
      <c r="C1390" s="403"/>
    </row>
    <row r="1391" spans="1:3">
      <c r="A1391" s="403"/>
      <c r="B1391" s="403"/>
      <c r="C1391" s="403"/>
    </row>
    <row r="1392" spans="1:3">
      <c r="A1392" s="403"/>
      <c r="B1392" s="403"/>
      <c r="C1392" s="403"/>
    </row>
    <row r="1393" spans="1:3"/>
    <row r="1394" spans="1:3"/>
    <row r="1395" spans="1:3">
      <c r="A1395" s="403"/>
      <c r="B1395" s="403"/>
      <c r="C1395" s="403"/>
    </row>
    <row r="1396" spans="1:3">
      <c r="A1396" s="403"/>
      <c r="B1396" s="403"/>
      <c r="C1396" s="403"/>
    </row>
    <row r="1397" spans="1:3">
      <c r="A1397" s="403"/>
      <c r="B1397" s="403"/>
      <c r="C1397" s="403"/>
    </row>
    <row r="1398" spans="1:3">
      <c r="A1398" s="403"/>
      <c r="B1398" s="403"/>
      <c r="C1398" s="403"/>
    </row>
    <row r="1399" spans="1:3">
      <c r="A1399" s="403"/>
      <c r="B1399" s="403"/>
      <c r="C1399" s="403"/>
    </row>
    <row r="1400" spans="1:3">
      <c r="A1400" s="403"/>
      <c r="B1400" s="403"/>
      <c r="C1400" s="403"/>
    </row>
    <row r="1401" spans="1:3">
      <c r="A1401" s="403"/>
      <c r="B1401" s="403"/>
      <c r="C1401" s="403"/>
    </row>
    <row r="1402" spans="1:3">
      <c r="A1402" s="403"/>
      <c r="B1402" s="403"/>
      <c r="C1402" s="403"/>
    </row>
    <row r="1403" spans="1:3">
      <c r="A1403" s="403"/>
      <c r="B1403" s="403"/>
      <c r="C1403" s="403"/>
    </row>
    <row r="1404" spans="1:3">
      <c r="A1404" s="403"/>
      <c r="B1404" s="403"/>
      <c r="C1404" s="403"/>
    </row>
    <row r="1405" spans="1:3">
      <c r="A1405" s="403"/>
      <c r="B1405" s="403"/>
      <c r="C1405" s="403"/>
    </row>
    <row r="1406" spans="1:3">
      <c r="A1406" s="403"/>
      <c r="B1406" s="403"/>
      <c r="C1406" s="403"/>
    </row>
    <row r="1407" spans="1:3">
      <c r="A1407" s="403"/>
      <c r="B1407" s="403"/>
      <c r="C1407" s="403"/>
    </row>
    <row r="1408" spans="1:3">
      <c r="A1408" s="403"/>
      <c r="B1408" s="403"/>
      <c r="C1408" s="403"/>
    </row>
    <row r="1409" spans="1:3">
      <c r="A1409" s="403"/>
      <c r="B1409" s="403"/>
      <c r="C1409" s="403"/>
    </row>
    <row r="1410" spans="1:3">
      <c r="A1410" s="403"/>
      <c r="B1410" s="403"/>
      <c r="C1410" s="403"/>
    </row>
    <row r="1411" spans="1:3">
      <c r="A1411" s="403"/>
      <c r="B1411" s="403"/>
      <c r="C1411" s="403"/>
    </row>
    <row r="1412" spans="1:3">
      <c r="A1412" s="403"/>
      <c r="B1412" s="403"/>
      <c r="C1412" s="403"/>
    </row>
    <row r="1413" spans="1:3">
      <c r="A1413" s="403"/>
      <c r="B1413" s="403"/>
      <c r="C1413" s="403"/>
    </row>
    <row r="1414" spans="1:3">
      <c r="A1414" s="403"/>
      <c r="B1414" s="403"/>
      <c r="C1414" s="403"/>
    </row>
    <row r="1415" spans="1:3">
      <c r="A1415" s="403"/>
      <c r="B1415" s="403"/>
      <c r="C1415" s="403"/>
    </row>
    <row r="1416" spans="1:3">
      <c r="A1416" s="403"/>
      <c r="B1416" s="403"/>
      <c r="C1416" s="403"/>
    </row>
    <row r="1417" spans="1:3">
      <c r="A1417" s="403"/>
      <c r="B1417" s="403"/>
      <c r="C1417" s="403"/>
    </row>
    <row r="1418" spans="1:3">
      <c r="A1418" s="403"/>
      <c r="B1418" s="403"/>
      <c r="C1418" s="403"/>
    </row>
    <row r="1419" spans="1:3">
      <c r="A1419" s="403"/>
      <c r="B1419" s="403"/>
      <c r="C1419" s="403"/>
    </row>
    <row r="1420" spans="1:3">
      <c r="A1420" s="403"/>
      <c r="B1420" s="403"/>
      <c r="C1420" s="403"/>
    </row>
    <row r="1421" spans="1:3">
      <c r="A1421" s="403"/>
      <c r="B1421" s="403"/>
      <c r="C1421" s="403"/>
    </row>
    <row r="1422" spans="1:3">
      <c r="A1422" s="403"/>
      <c r="B1422" s="403"/>
      <c r="C1422" s="403"/>
    </row>
    <row r="1423" spans="1:3">
      <c r="A1423" s="403"/>
      <c r="B1423" s="403"/>
      <c r="C1423" s="403"/>
    </row>
    <row r="1424" spans="1:3">
      <c r="A1424" s="403"/>
      <c r="B1424" s="403"/>
      <c r="C1424" s="403"/>
    </row>
    <row r="1425" spans="1:3">
      <c r="A1425" s="403"/>
      <c r="B1425" s="403"/>
      <c r="C1425" s="403"/>
    </row>
    <row r="1426" spans="1:3">
      <c r="A1426" s="403"/>
      <c r="B1426" s="403"/>
      <c r="C1426" s="403"/>
    </row>
    <row r="1427" spans="1:3">
      <c r="A1427" s="403"/>
      <c r="B1427" s="403"/>
      <c r="C1427" s="403"/>
    </row>
    <row r="1428" spans="1:3">
      <c r="A1428" s="403"/>
      <c r="B1428" s="403"/>
      <c r="C1428" s="403"/>
    </row>
    <row r="1429" spans="1:3">
      <c r="A1429" s="403"/>
      <c r="B1429" s="403"/>
      <c r="C1429" s="403"/>
    </row>
    <row r="1430" spans="1:3">
      <c r="A1430" s="403"/>
      <c r="B1430" s="403"/>
      <c r="C1430" s="403"/>
    </row>
    <row r="1431" spans="1:3">
      <c r="A1431" s="403"/>
      <c r="B1431" s="403"/>
      <c r="C1431" s="403"/>
    </row>
    <row r="1432" spans="1:3">
      <c r="A1432" s="403"/>
      <c r="B1432" s="403"/>
      <c r="C1432" s="403"/>
    </row>
    <row r="1433" spans="1:3">
      <c r="A1433" s="403"/>
      <c r="B1433" s="403"/>
      <c r="C1433" s="403"/>
    </row>
    <row r="1434" spans="1:3">
      <c r="A1434" s="403"/>
      <c r="B1434" s="403"/>
      <c r="C1434" s="403"/>
    </row>
    <row r="1435" spans="1:3">
      <c r="A1435" s="403"/>
      <c r="B1435" s="403"/>
      <c r="C1435" s="403"/>
    </row>
    <row r="1436" spans="1:3">
      <c r="A1436" s="403"/>
      <c r="B1436" s="403"/>
      <c r="C1436" s="403"/>
    </row>
    <row r="1437" spans="1:3">
      <c r="A1437" s="403"/>
      <c r="B1437" s="403"/>
      <c r="C1437" s="403"/>
    </row>
    <row r="1438" spans="1:3">
      <c r="A1438" s="403"/>
      <c r="B1438" s="403"/>
      <c r="C1438" s="403"/>
    </row>
    <row r="1439" spans="1:3">
      <c r="A1439" s="403"/>
      <c r="B1439" s="403"/>
      <c r="C1439" s="403"/>
    </row>
    <row r="1440" spans="1:3">
      <c r="A1440" s="403"/>
      <c r="B1440" s="403"/>
      <c r="C1440" s="403"/>
    </row>
    <row r="1441" spans="1:3">
      <c r="A1441" s="403"/>
      <c r="B1441" s="403"/>
      <c r="C1441" s="403"/>
    </row>
    <row r="1442" spans="1:3">
      <c r="A1442" s="403"/>
      <c r="B1442" s="403"/>
      <c r="C1442" s="403"/>
    </row>
    <row r="1443" spans="1:3">
      <c r="A1443" s="403"/>
      <c r="B1443" s="403"/>
      <c r="C1443" s="403"/>
    </row>
    <row r="1444" spans="1:3">
      <c r="A1444" s="403"/>
      <c r="B1444" s="403"/>
      <c r="C1444" s="403"/>
    </row>
    <row r="1445" spans="1:3">
      <c r="A1445" s="403"/>
      <c r="B1445" s="403"/>
      <c r="C1445" s="403"/>
    </row>
    <row r="1446" spans="1:3">
      <c r="A1446" s="403"/>
      <c r="B1446" s="403"/>
      <c r="C1446" s="403"/>
    </row>
    <row r="1447" spans="1:3">
      <c r="A1447" s="403"/>
      <c r="B1447" s="403"/>
      <c r="C1447" s="403"/>
    </row>
    <row r="1448" spans="1:3">
      <c r="A1448" s="403"/>
      <c r="B1448" s="403"/>
      <c r="C1448" s="403"/>
    </row>
    <row r="1449" spans="1:3">
      <c r="A1449" s="403"/>
      <c r="B1449" s="403"/>
      <c r="C1449" s="403"/>
    </row>
    <row r="1450" spans="1:3">
      <c r="A1450" s="403"/>
      <c r="B1450" s="403"/>
      <c r="C1450" s="403"/>
    </row>
    <row r="1451" spans="1:3">
      <c r="A1451" s="403"/>
      <c r="B1451" s="403"/>
      <c r="C1451" s="403"/>
    </row>
    <row r="1452" spans="1:3">
      <c r="A1452" s="403"/>
      <c r="B1452" s="403"/>
      <c r="C1452" s="403"/>
    </row>
    <row r="1453" spans="1:3">
      <c r="A1453" s="403"/>
      <c r="B1453" s="403"/>
      <c r="C1453" s="403"/>
    </row>
    <row r="1454" spans="1:3">
      <c r="A1454" s="403"/>
      <c r="B1454" s="403"/>
      <c r="C1454" s="403"/>
    </row>
    <row r="1455" spans="1:3">
      <c r="A1455" s="403"/>
      <c r="B1455" s="403"/>
      <c r="C1455" s="403"/>
    </row>
    <row r="1456" spans="1:3">
      <c r="A1456" s="403"/>
      <c r="B1456" s="403"/>
      <c r="C1456" s="403"/>
    </row>
    <row r="1457" spans="1:3">
      <c r="A1457" s="403"/>
      <c r="B1457" s="403"/>
      <c r="C1457" s="403"/>
    </row>
    <row r="1458" spans="1:3">
      <c r="A1458" s="403"/>
      <c r="B1458" s="403"/>
      <c r="C1458" s="403"/>
    </row>
    <row r="1459" spans="1:3">
      <c r="A1459" s="403"/>
      <c r="B1459" s="403"/>
      <c r="C1459" s="403"/>
    </row>
    <row r="1460" spans="1:3">
      <c r="A1460" s="403"/>
      <c r="B1460" s="403"/>
      <c r="C1460" s="403"/>
    </row>
    <row r="1461" spans="1:3">
      <c r="A1461" s="403"/>
      <c r="B1461" s="403"/>
      <c r="C1461" s="403"/>
    </row>
    <row r="1462" spans="1:3">
      <c r="A1462" s="403"/>
      <c r="B1462" s="403"/>
      <c r="C1462" s="403"/>
    </row>
    <row r="1463" spans="1:3">
      <c r="A1463" s="403"/>
      <c r="B1463" s="403"/>
      <c r="C1463" s="403"/>
    </row>
    <row r="1464" spans="1:3">
      <c r="A1464" s="403"/>
      <c r="B1464" s="403"/>
      <c r="C1464" s="403"/>
    </row>
    <row r="1465" spans="1:3">
      <c r="A1465" s="403"/>
      <c r="B1465" s="403"/>
      <c r="C1465" s="403"/>
    </row>
    <row r="1466" spans="1:3">
      <c r="A1466" s="403"/>
      <c r="B1466" s="403"/>
      <c r="C1466" s="403"/>
    </row>
    <row r="1467" spans="1:3">
      <c r="A1467" s="403"/>
      <c r="B1467" s="403"/>
      <c r="C1467" s="403"/>
    </row>
    <row r="1468" spans="1:3">
      <c r="A1468" s="403"/>
      <c r="B1468" s="403"/>
      <c r="C1468" s="403"/>
    </row>
    <row r="1469" spans="1:3">
      <c r="A1469" s="403"/>
      <c r="B1469" s="403"/>
      <c r="C1469" s="403"/>
    </row>
    <row r="1470" spans="1:3">
      <c r="A1470" s="403"/>
      <c r="B1470" s="403"/>
      <c r="C1470" s="403"/>
    </row>
    <row r="1471" spans="1:3">
      <c r="A1471" s="403"/>
      <c r="B1471" s="403"/>
      <c r="C1471" s="403"/>
    </row>
    <row r="1472" spans="1:3">
      <c r="A1472" s="403"/>
      <c r="B1472" s="403"/>
      <c r="C1472" s="403"/>
    </row>
    <row r="1473" spans="1:3">
      <c r="A1473" s="403"/>
      <c r="B1473" s="403"/>
      <c r="C1473" s="403"/>
    </row>
    <row r="1474" spans="1:3">
      <c r="A1474" s="403"/>
      <c r="B1474" s="403"/>
      <c r="C1474" s="403"/>
    </row>
    <row r="1475" spans="1:3">
      <c r="A1475" s="403"/>
      <c r="B1475" s="403"/>
      <c r="C1475" s="403"/>
    </row>
    <row r="1476" spans="1:3">
      <c r="A1476" s="403"/>
      <c r="B1476" s="403"/>
      <c r="C1476" s="403"/>
    </row>
    <row r="1477" spans="1:3">
      <c r="A1477" s="403"/>
      <c r="B1477" s="403"/>
      <c r="C1477" s="403"/>
    </row>
    <row r="1478" spans="1:3">
      <c r="A1478" s="403"/>
      <c r="B1478" s="403"/>
      <c r="C1478" s="403"/>
    </row>
    <row r="1479" spans="1:3">
      <c r="A1479" s="403"/>
      <c r="B1479" s="403"/>
      <c r="C1479" s="403"/>
    </row>
    <row r="1480" spans="1:3">
      <c r="A1480" s="403"/>
      <c r="B1480" s="403"/>
      <c r="C1480" s="403"/>
    </row>
    <row r="1481" spans="1:3">
      <c r="A1481" s="403"/>
      <c r="B1481" s="403"/>
      <c r="C1481" s="403"/>
    </row>
    <row r="1482" spans="1:3">
      <c r="A1482" s="403"/>
      <c r="B1482" s="403"/>
      <c r="C1482" s="403"/>
    </row>
    <row r="1483" spans="1:3">
      <c r="A1483" s="403"/>
      <c r="B1483" s="403"/>
      <c r="C1483" s="403"/>
    </row>
    <row r="1484" spans="1:3">
      <c r="A1484" s="403"/>
      <c r="B1484" s="403"/>
      <c r="C1484" s="403"/>
    </row>
    <row r="1485" spans="1:3">
      <c r="A1485" s="403"/>
      <c r="B1485" s="403"/>
      <c r="C1485" s="403"/>
    </row>
    <row r="1486" spans="1:3">
      <c r="A1486" s="403"/>
      <c r="B1486" s="403"/>
      <c r="C1486" s="403"/>
    </row>
    <row r="1487" spans="1:3">
      <c r="A1487" s="403"/>
      <c r="B1487" s="403"/>
      <c r="C1487" s="403"/>
    </row>
    <row r="1488" spans="1:3">
      <c r="A1488" s="403"/>
      <c r="B1488" s="403"/>
      <c r="C1488" s="403"/>
    </row>
    <row r="1489" spans="1:3">
      <c r="A1489" s="403"/>
      <c r="B1489" s="403"/>
      <c r="C1489" s="403"/>
    </row>
    <row r="1490" spans="1:3">
      <c r="A1490" s="403"/>
      <c r="B1490" s="403"/>
      <c r="C1490" s="403"/>
    </row>
    <row r="1491" spans="1:3">
      <c r="A1491" s="403"/>
      <c r="B1491" s="403"/>
      <c r="C1491" s="403"/>
    </row>
    <row r="1492" spans="1:3">
      <c r="A1492" s="403"/>
      <c r="B1492" s="403"/>
      <c r="C1492" s="403"/>
    </row>
    <row r="1493" spans="1:3">
      <c r="A1493" s="403"/>
      <c r="B1493" s="403"/>
      <c r="C1493" s="403"/>
    </row>
    <row r="1494" spans="1:3">
      <c r="A1494" s="403"/>
      <c r="B1494" s="403"/>
      <c r="C1494" s="403"/>
    </row>
    <row r="1495" spans="1:3">
      <c r="A1495" s="403"/>
      <c r="B1495" s="403"/>
      <c r="C1495" s="403"/>
    </row>
    <row r="1496" spans="1:3">
      <c r="A1496" s="403"/>
      <c r="B1496" s="403"/>
      <c r="C1496" s="403"/>
    </row>
    <row r="1497" spans="1:3">
      <c r="A1497" s="403"/>
      <c r="B1497" s="403"/>
      <c r="C1497" s="403"/>
    </row>
    <row r="1498" spans="1:3">
      <c r="A1498" s="403"/>
      <c r="B1498" s="403"/>
      <c r="C1498" s="403"/>
    </row>
    <row r="1499" spans="1:3">
      <c r="A1499" s="403"/>
      <c r="B1499" s="403"/>
      <c r="C1499" s="403"/>
    </row>
    <row r="1500" spans="1:3">
      <c r="A1500" s="403"/>
      <c r="B1500" s="403"/>
      <c r="C1500" s="403"/>
    </row>
    <row r="1501" spans="1:3">
      <c r="A1501" s="403"/>
      <c r="B1501" s="403"/>
      <c r="C1501" s="403"/>
    </row>
    <row r="1502" spans="1:3">
      <c r="A1502" s="403"/>
      <c r="B1502" s="403"/>
      <c r="C1502" s="403"/>
    </row>
    <row r="1503" spans="1:3">
      <c r="A1503" s="403"/>
      <c r="B1503" s="403"/>
      <c r="C1503" s="403"/>
    </row>
    <row r="1504" spans="1:3">
      <c r="A1504" s="403"/>
      <c r="B1504" s="403"/>
      <c r="C1504" s="403"/>
    </row>
    <row r="1505" spans="1:3">
      <c r="A1505" s="403"/>
      <c r="B1505" s="403"/>
      <c r="C1505" s="403"/>
    </row>
    <row r="1506" spans="1:3">
      <c r="A1506" s="403"/>
      <c r="B1506" s="403"/>
      <c r="C1506" s="403"/>
    </row>
    <row r="1507" spans="1:3">
      <c r="A1507" s="403"/>
      <c r="B1507" s="403"/>
      <c r="C1507" s="403"/>
    </row>
    <row r="1508" spans="1:3">
      <c r="A1508" s="403"/>
      <c r="B1508" s="403"/>
      <c r="C1508" s="403"/>
    </row>
    <row r="1509" spans="1:3">
      <c r="A1509" s="403"/>
      <c r="B1509" s="403"/>
      <c r="C1509" s="403"/>
    </row>
    <row r="1510" spans="1:3">
      <c r="A1510" s="403"/>
      <c r="B1510" s="403"/>
      <c r="C1510" s="403"/>
    </row>
    <row r="1511" spans="1:3">
      <c r="A1511" s="403"/>
      <c r="B1511" s="403"/>
      <c r="C1511" s="403"/>
    </row>
    <row r="1512" spans="1:3">
      <c r="A1512" s="403"/>
      <c r="B1512" s="403"/>
      <c r="C1512" s="403"/>
    </row>
    <row r="1513" spans="1:3">
      <c r="A1513" s="403"/>
      <c r="B1513" s="403"/>
      <c r="C1513" s="403"/>
    </row>
    <row r="1514" spans="1:3">
      <c r="A1514" s="403"/>
      <c r="B1514" s="403"/>
      <c r="C1514" s="403"/>
    </row>
    <row r="1515" spans="1:3">
      <c r="A1515" s="403"/>
      <c r="B1515" s="403"/>
      <c r="C1515" s="403"/>
    </row>
    <row r="1516" spans="1:3">
      <c r="A1516" s="403"/>
      <c r="B1516" s="403"/>
      <c r="C1516" s="403"/>
    </row>
    <row r="1517" spans="1:3">
      <c r="A1517" s="403"/>
      <c r="B1517" s="403"/>
      <c r="C1517" s="403"/>
    </row>
    <row r="1518" spans="1:3">
      <c r="A1518" s="403"/>
      <c r="B1518" s="403"/>
      <c r="C1518" s="403"/>
    </row>
    <row r="1519" spans="1:3">
      <c r="A1519" s="403"/>
      <c r="B1519" s="403"/>
      <c r="C1519" s="403"/>
    </row>
    <row r="1520" spans="1:3">
      <c r="A1520" s="403"/>
      <c r="B1520" s="403"/>
      <c r="C1520" s="403"/>
    </row>
    <row r="1521" spans="1:3">
      <c r="A1521" s="403"/>
      <c r="B1521" s="403"/>
      <c r="C1521" s="403"/>
    </row>
    <row r="1522" spans="1:3">
      <c r="A1522" s="403"/>
      <c r="B1522" s="403"/>
      <c r="C1522" s="403"/>
    </row>
    <row r="1523" spans="1:3">
      <c r="A1523" s="403"/>
      <c r="B1523" s="403"/>
      <c r="C1523" s="403"/>
    </row>
    <row r="1524" spans="1:3">
      <c r="A1524" s="403"/>
      <c r="B1524" s="403"/>
      <c r="C1524" s="403"/>
    </row>
    <row r="1525" spans="1:3">
      <c r="A1525" s="403"/>
      <c r="B1525" s="403"/>
      <c r="C1525" s="403"/>
    </row>
    <row r="1526" spans="1:3">
      <c r="A1526" s="403"/>
      <c r="B1526" s="403"/>
      <c r="C1526" s="403"/>
    </row>
    <row r="1527" spans="1:3">
      <c r="A1527" s="403"/>
      <c r="B1527" s="403"/>
      <c r="C1527" s="403"/>
    </row>
    <row r="1528" spans="1:3">
      <c r="A1528" s="403"/>
      <c r="B1528" s="403"/>
      <c r="C1528" s="403"/>
    </row>
    <row r="1529" spans="1:3">
      <c r="A1529" s="403"/>
      <c r="B1529" s="403"/>
      <c r="C1529" s="403"/>
    </row>
    <row r="1530" spans="1:3">
      <c r="A1530" s="403"/>
      <c r="B1530" s="403"/>
      <c r="C1530" s="403"/>
    </row>
    <row r="1531" spans="1:3">
      <c r="A1531" s="403"/>
      <c r="B1531" s="403"/>
      <c r="C1531" s="403"/>
    </row>
    <row r="1532" spans="1:3">
      <c r="A1532" s="403"/>
      <c r="B1532" s="403"/>
      <c r="C1532" s="403"/>
    </row>
    <row r="1533" spans="1:3">
      <c r="A1533" s="403"/>
      <c r="B1533" s="403"/>
      <c r="C1533" s="403"/>
    </row>
    <row r="1534" spans="1:3">
      <c r="A1534" s="403"/>
      <c r="B1534" s="403"/>
      <c r="C1534" s="403"/>
    </row>
    <row r="1535" spans="1:3">
      <c r="A1535" s="403"/>
      <c r="B1535" s="403"/>
      <c r="C1535" s="403"/>
    </row>
    <row r="1536" spans="1:3">
      <c r="A1536" s="403"/>
      <c r="B1536" s="403"/>
      <c r="C1536" s="403"/>
    </row>
    <row r="1537" spans="1:9">
      <c r="A1537" s="403"/>
      <c r="B1537" s="403"/>
      <c r="C1537" s="403"/>
    </row>
    <row r="1538" spans="1:9"/>
    <row r="1539" spans="1:9"/>
    <row r="1540" spans="1:9"/>
    <row r="1541" spans="1:9">
      <c r="G1541" s="1307"/>
      <c r="H1541" s="1307"/>
      <c r="I1541" s="1307"/>
    </row>
    <row r="1542" spans="1:9"/>
    <row r="1543" spans="1:9"/>
    <row r="1544" spans="1:9"/>
    <row r="1545" spans="1:9"/>
    <row r="1546" spans="1:9"/>
    <row r="1547" spans="1:9"/>
    <row r="1548" spans="1:9"/>
    <row r="1549" spans="1:9"/>
    <row r="1550" spans="1:9"/>
    <row r="1551" spans="1:9"/>
    <row r="1552" spans="1:9"/>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sheetData>
  <sheetProtection algorithmName="SHA-512" hashValue="3H8u2xY2I2kc69exrIsVcmUwRBNvxm8gx1DYxTYMcPPWqaWV1sM3CphMKDF4OvmmdowrsVhuZ12M3dAd9jlooA==" saltValue="0RUvtT9fNdiBffAHkDGG5g==" spinCount="100000" sheet="1" objects="1" scenarios="1"/>
  <mergeCells count="301">
    <mergeCell ref="D1123:F1126"/>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2:F827"/>
    <mergeCell ref="D516:F518"/>
    <mergeCell ref="D669:F677"/>
    <mergeCell ref="D573:F573"/>
    <mergeCell ref="D553:F554"/>
    <mergeCell ref="D550:F551"/>
    <mergeCell ref="D318:F332"/>
    <mergeCell ref="A614:G614"/>
    <mergeCell ref="B541:F541"/>
    <mergeCell ref="A543:G543"/>
    <mergeCell ref="D590:F593"/>
    <mergeCell ref="D594:F597"/>
    <mergeCell ref="D585:F585"/>
    <mergeCell ref="D586:F586"/>
    <mergeCell ref="D588:F588"/>
    <mergeCell ref="D559:F561"/>
    <mergeCell ref="D563:F564"/>
    <mergeCell ref="D569:F569"/>
    <mergeCell ref="D570:F570"/>
    <mergeCell ref="D566:F567"/>
    <mergeCell ref="D607:F607"/>
    <mergeCell ref="D608:F608"/>
    <mergeCell ref="D307:F311"/>
    <mergeCell ref="D352:F352"/>
    <mergeCell ref="D471:F472"/>
    <mergeCell ref="D511:F512"/>
    <mergeCell ref="D360:F360"/>
    <mergeCell ref="D362:F373"/>
    <mergeCell ref="D514:F514"/>
    <mergeCell ref="D474:F487"/>
    <mergeCell ref="A539:G539"/>
    <mergeCell ref="D344:F347"/>
    <mergeCell ref="D392:F400"/>
    <mergeCell ref="D401:F418"/>
    <mergeCell ref="D334:F342"/>
    <mergeCell ref="D420:F421"/>
    <mergeCell ref="D351:F351"/>
    <mergeCell ref="D536:F537"/>
    <mergeCell ref="D429:F432"/>
    <mergeCell ref="D433:F433"/>
    <mergeCell ref="D227:F227"/>
    <mergeCell ref="D287:F287"/>
    <mergeCell ref="D288:F288"/>
    <mergeCell ref="D290:F291"/>
    <mergeCell ref="D293:F295"/>
    <mergeCell ref="D228:F231"/>
    <mergeCell ref="D545:F545"/>
    <mergeCell ref="D546:F546"/>
    <mergeCell ref="D556:F557"/>
    <mergeCell ref="D548:F548"/>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47:F50"/>
    <mergeCell ref="A75:G75"/>
    <mergeCell ref="G1541:I1541"/>
    <mergeCell ref="D744:F750"/>
    <mergeCell ref="D725:F727"/>
    <mergeCell ref="D626:F627"/>
    <mergeCell ref="D631:F631"/>
    <mergeCell ref="D640:F641"/>
    <mergeCell ref="D643:F645"/>
    <mergeCell ref="D646:F646"/>
    <mergeCell ref="D682:F682"/>
    <mergeCell ref="D702:F707"/>
    <mergeCell ref="D712:F724"/>
    <mergeCell ref="D681:F681"/>
    <mergeCell ref="D683:F683"/>
    <mergeCell ref="D685:F685"/>
    <mergeCell ref="A829:G829"/>
    <mergeCell ref="D225:F225"/>
    <mergeCell ref="D578:F581"/>
    <mergeCell ref="D784:F784"/>
    <mergeCell ref="A583:G583"/>
    <mergeCell ref="D574:F576"/>
    <mergeCell ref="D690:F692"/>
    <mergeCell ref="D182:F184"/>
    <mergeCell ref="D267:F268"/>
    <mergeCell ref="D501:F502"/>
    <mergeCell ref="D266:F266"/>
    <mergeCell ref="D278:F280"/>
    <mergeCell ref="D302:F302"/>
    <mergeCell ref="D313:F314"/>
    <mergeCell ref="D316:F316"/>
    <mergeCell ref="D878:F879"/>
    <mergeCell ref="D881:F882"/>
    <mergeCell ref="D599:F600"/>
    <mergeCell ref="D602:F603"/>
    <mergeCell ref="A605:G605"/>
    <mergeCell ref="D610:F611"/>
    <mergeCell ref="D633:F634"/>
    <mergeCell ref="D636:F638"/>
    <mergeCell ref="D852:F853"/>
    <mergeCell ref="D783:F783"/>
    <mergeCell ref="D774:F775"/>
    <mergeCell ref="D777:F779"/>
    <mergeCell ref="A781:G781"/>
    <mergeCell ref="D770:F772"/>
    <mergeCell ref="D755:F755"/>
    <mergeCell ref="D808:F813"/>
    <mergeCell ref="D804:F806"/>
    <mergeCell ref="D873:F873"/>
    <mergeCell ref="D875:F875"/>
    <mergeCell ref="D831:F831"/>
    <mergeCell ref="D832:F832"/>
    <mergeCell ref="D834:F834"/>
    <mergeCell ref="D837:F846"/>
    <mergeCell ref="D848:F850"/>
    <mergeCell ref="D620:F621"/>
    <mergeCell ref="D623:F624"/>
    <mergeCell ref="D729:F731"/>
    <mergeCell ref="A629:G629"/>
    <mergeCell ref="A648:G648"/>
    <mergeCell ref="D694:F694"/>
    <mergeCell ref="D695:F695"/>
    <mergeCell ref="A679:G679"/>
    <mergeCell ref="D650:F650"/>
    <mergeCell ref="D651:F651"/>
    <mergeCell ref="D738:F742"/>
    <mergeCell ref="D664:F667"/>
    <mergeCell ref="D698:F698"/>
    <mergeCell ref="D699:F699"/>
    <mergeCell ref="D658:F662"/>
    <mergeCell ref="D653:F656"/>
    <mergeCell ref="D906:F906"/>
    <mergeCell ref="D913:F920"/>
    <mergeCell ref="D934:F942"/>
    <mergeCell ref="D944:F950"/>
    <mergeCell ref="D616:F617"/>
    <mergeCell ref="D815:F820"/>
    <mergeCell ref="D686:F686"/>
    <mergeCell ref="A753:G753"/>
    <mergeCell ref="D733:F736"/>
    <mergeCell ref="D751:F751"/>
    <mergeCell ref="D709:F710"/>
    <mergeCell ref="D756:F756"/>
    <mergeCell ref="D758:F763"/>
    <mergeCell ref="D765:F768"/>
    <mergeCell ref="D786:F788"/>
    <mergeCell ref="D790:F792"/>
    <mergeCell ref="D794:F796"/>
    <mergeCell ref="D798:F803"/>
    <mergeCell ref="D618:F618"/>
    <mergeCell ref="D854:F859"/>
    <mergeCell ref="D861:F861"/>
    <mergeCell ref="D862:F862"/>
    <mergeCell ref="D865:F868"/>
    <mergeCell ref="D872:F872"/>
    <mergeCell ref="D883:F888"/>
    <mergeCell ref="D890:F890"/>
    <mergeCell ref="D891:F891"/>
    <mergeCell ref="D1019:F1020"/>
    <mergeCell ref="D1022:F1022"/>
    <mergeCell ref="D1024:F1024"/>
    <mergeCell ref="D969:F969"/>
    <mergeCell ref="D970:F970"/>
    <mergeCell ref="D972:F972"/>
    <mergeCell ref="D973:F987"/>
    <mergeCell ref="A989:G989"/>
    <mergeCell ref="D991:F991"/>
    <mergeCell ref="D992:F992"/>
    <mergeCell ref="D997:F1000"/>
    <mergeCell ref="D994:F995"/>
    <mergeCell ref="D894:F897"/>
    <mergeCell ref="D952:F957"/>
    <mergeCell ref="D908:F909"/>
    <mergeCell ref="D922:F923"/>
    <mergeCell ref="D925:F928"/>
    <mergeCell ref="D930:F930"/>
    <mergeCell ref="D932:F932"/>
    <mergeCell ref="A899:G899"/>
    <mergeCell ref="D905:F905"/>
    <mergeCell ref="D1105:F1106"/>
    <mergeCell ref="D1108:F1113"/>
    <mergeCell ref="D1115:F1117"/>
    <mergeCell ref="D1119:F1121"/>
    <mergeCell ref="D1046:F1046"/>
    <mergeCell ref="D1054:F1057"/>
    <mergeCell ref="D1064:F1068"/>
    <mergeCell ref="A1070:G1070"/>
    <mergeCell ref="D1080:F1083"/>
    <mergeCell ref="A1049:G1049"/>
    <mergeCell ref="D1087:F1091"/>
    <mergeCell ref="A1098:G1098"/>
    <mergeCell ref="D1101:F1102"/>
    <mergeCell ref="D1103:F1103"/>
    <mergeCell ref="D1094:F1096"/>
    <mergeCell ref="D1041:F1041"/>
    <mergeCell ref="D1042:F1042"/>
    <mergeCell ref="D1040:F1040"/>
    <mergeCell ref="D901:F901"/>
    <mergeCell ref="D1036:F1036"/>
    <mergeCell ref="A1038:G1038"/>
    <mergeCell ref="D1044:F1044"/>
    <mergeCell ref="D1045:F1045"/>
    <mergeCell ref="A1029:G1029"/>
    <mergeCell ref="D1031:F1031"/>
    <mergeCell ref="D1032:F1032"/>
    <mergeCell ref="D1034:F1034"/>
    <mergeCell ref="D1035:F1035"/>
    <mergeCell ref="D1037:F1037"/>
    <mergeCell ref="D1026:F1027"/>
    <mergeCell ref="D1002:F1005"/>
    <mergeCell ref="D1007:F1008"/>
    <mergeCell ref="D1010:F1010"/>
    <mergeCell ref="D1012:F1012"/>
    <mergeCell ref="D964:F967"/>
    <mergeCell ref="D910:F911"/>
    <mergeCell ref="D959:F961"/>
    <mergeCell ref="D1014:F1014"/>
    <mergeCell ref="D1016:F1017"/>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3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536 B548 B550 B553 B556 B559 B563 B566 B569 B573 B578 B588 B590 B594 B599 B602 B610 B620 B623 B626 B633 B640 B643 B646 B653 B658 B664 B669 B685 B690 B694 B702 B709 B712 B1094 B729 B733 B738 B744 B758 B765 B770 B774 B777 B245 B20 B100 B96 B92 B205 B201 B197 B213 B233 B786 B790 B794 B798 B808 B815 B822 B834 B837 B848 B852 B861 B865 B875 B878 B881 B890 B894 B913 B934 B944 B964 B908 B922 B925 B930 B932 B959 B970 B973 B994 B1002 B1007 B1010 B1012 B1014 B1016 B1019 B1022 B1024 B1026 B903 B1041 B1046 B1035 B1054 B1062 B1064 B1073 B1076 B1079 B1087 B1115 B1105 B1119 B1108 B1101 B380 B952 B514 B516 B725 B698"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103"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8" max="8" man="1"/>
    <brk id="542" max="8" man="1"/>
    <brk id="582" max="8" man="1"/>
    <brk id="604" max="8" man="1"/>
    <brk id="613" max="8" man="1"/>
    <brk id="628" max="8" man="1"/>
    <brk id="647" max="8" man="1"/>
    <brk id="678" max="8" man="1"/>
    <brk id="780" max="8" man="1"/>
    <brk id="828" max="8" man="1"/>
    <brk id="869" max="8" man="1"/>
    <brk id="898" max="8" man="1"/>
    <brk id="962" max="8" man="1"/>
    <brk id="988" max="8" man="1"/>
    <brk id="1028" max="8" man="1"/>
    <brk id="1037" max="8" man="1"/>
    <brk id="1048" max="8" man="1"/>
    <brk id="1069" max="8" man="1"/>
    <brk id="1097"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17"/>
  <sheetViews>
    <sheetView showGridLines="0" topLeftCell="A705" zoomScale="90" zoomScaleNormal="90" workbookViewId="0">
      <selection activeCell="AU705" sqref="AU1:XFD1048576"/>
    </sheetView>
  </sheetViews>
  <sheetFormatPr defaultColWidth="0" defaultRowHeight="0" customHeight="1" zeroHeight="1"/>
  <cols>
    <col min="1" max="46" width="2.7109375" customWidth="1"/>
    <col min="47" max="47" width="2.7109375" hidden="1"/>
    <col min="48" max="50" width="3.7109375" hidden="1"/>
    <col min="51" max="51" width="4.7109375" hidden="1"/>
    <col min="52" max="52" width="8.42578125" hidden="1"/>
    <col min="53" max="53" width="7.42578125" hidden="1"/>
    <col min="54" max="55" width="3.7109375" hidden="1"/>
    <col min="56" max="56" width="8.28515625" hidden="1"/>
    <col min="57" max="57" width="8.42578125" hidden="1"/>
    <col min="58" max="58" width="8.140625" hidden="1"/>
    <col min="59" max="59" width="11.140625" hidden="1"/>
    <col min="60" max="60" width="3.7109375" hidden="1"/>
    <col min="61" max="61" width="8.28515625" hidden="1"/>
    <col min="62" max="16384" width="3.7109375" hidden="1"/>
  </cols>
  <sheetData>
    <row r="1" spans="1:58" ht="12.95" customHeight="1">
      <c r="J1" s="100"/>
      <c r="AS1" s="1032">
        <v>4</v>
      </c>
      <c r="BD1" s="3" t="s">
        <v>2499</v>
      </c>
      <c r="BE1" s="3"/>
      <c r="BF1" s="3"/>
    </row>
    <row r="2" spans="1:58" ht="12.95" customHeight="1">
      <c r="BD2" s="3" t="s">
        <v>2500</v>
      </c>
      <c r="BE2" s="3" t="s">
        <v>2501</v>
      </c>
      <c r="BF2" s="3" t="s">
        <v>2502</v>
      </c>
    </row>
    <row r="3" spans="1:58" ht="12.95" customHeight="1">
      <c r="BD3" s="3" t="s">
        <v>2598</v>
      </c>
      <c r="BE3" t="str">
        <f>AC220</f>
        <v>City of Los Angeles</v>
      </c>
    </row>
    <row r="4" spans="1:58" ht="12.95" customHeight="1">
      <c r="BD4" s="3" t="s">
        <v>2509</v>
      </c>
      <c r="BE4" s="1249"/>
    </row>
    <row r="5" spans="1:58" ht="12.95" customHeight="1">
      <c r="BD5" s="3" t="s">
        <v>2510</v>
      </c>
      <c r="BE5">
        <f>SUMIF($AC$718:$AC$752,"&lt;=20%",$G$718:G$752)</f>
        <v>0</v>
      </c>
      <c r="BF5" s="3" t="s">
        <v>2515</v>
      </c>
    </row>
    <row r="6" spans="1:58" ht="12.95" customHeight="1">
      <c r="BD6" s="3" t="s">
        <v>2511</v>
      </c>
      <c r="BE6" s="1252">
        <f>SUMIF($AC$718:$AC$752,"&lt;=25%",$G$718:G$752)-SUM($BE$5:BE5)</f>
        <v>0</v>
      </c>
    </row>
    <row r="7" spans="1:58" ht="12.95" customHeight="1">
      <c r="BD7" s="1250" t="s">
        <v>2503</v>
      </c>
      <c r="BE7" s="1252">
        <f>SUMIF($AC$718:$AC$752,"&lt;=30%",$G$718:G$752)-SUM($BE$5:BE6)</f>
        <v>24</v>
      </c>
    </row>
    <row r="8" spans="1:58" ht="26.25" customHeight="1">
      <c r="A8" s="1410" t="s">
        <v>100</v>
      </c>
      <c r="B8" s="1410"/>
      <c r="C8" s="1410"/>
      <c r="D8" s="1410"/>
      <c r="E8" s="1410"/>
      <c r="F8" s="1410"/>
      <c r="G8" s="1410"/>
      <c r="H8" s="1410"/>
      <c r="I8" s="1410"/>
      <c r="J8" s="1410"/>
      <c r="K8" s="1410"/>
      <c r="L8" s="1410"/>
      <c r="M8" s="1410"/>
      <c r="N8" s="1410"/>
      <c r="O8" s="1410"/>
      <c r="P8" s="1410"/>
      <c r="Q8" s="1410"/>
      <c r="R8" s="1410"/>
      <c r="S8" s="1410"/>
      <c r="T8" s="1410"/>
      <c r="U8" s="1410"/>
      <c r="V8" s="1410"/>
      <c r="W8" s="1410"/>
      <c r="X8" s="1410"/>
      <c r="Y8" s="1410"/>
      <c r="Z8" s="1410"/>
      <c r="AA8" s="1410"/>
      <c r="AB8" s="1410"/>
      <c r="AC8" s="1410"/>
      <c r="AD8" s="1410"/>
      <c r="AE8" s="1410"/>
      <c r="AF8" s="1410"/>
      <c r="AG8" s="1410"/>
      <c r="AH8" s="1410"/>
      <c r="AI8" s="1410"/>
      <c r="AJ8" s="1410"/>
      <c r="AK8" s="1410"/>
      <c r="AL8" s="1410"/>
      <c r="AM8" s="1410"/>
      <c r="AN8" s="1410"/>
      <c r="AO8" s="1410"/>
      <c r="AP8" s="1410"/>
      <c r="AQ8" s="1410"/>
      <c r="AR8" s="1410"/>
      <c r="AS8" s="1410"/>
      <c r="AT8" s="1410"/>
      <c r="AU8" s="899"/>
      <c r="AV8" s="899"/>
      <c r="AW8" s="899"/>
      <c r="AX8" s="899"/>
      <c r="AY8" s="899"/>
      <c r="BD8" s="3" t="s">
        <v>2512</v>
      </c>
      <c r="BE8" s="1252">
        <f>SUMIF($AC$718:$AC$752,"&lt;=35%",$G$718:G$752)-SUM($BE$5:BE7)</f>
        <v>0</v>
      </c>
    </row>
    <row r="9" spans="1:58" ht="12.95" customHeight="1">
      <c r="A9" s="1335" t="s">
        <v>2077</v>
      </c>
      <c r="B9" s="1335"/>
      <c r="C9" s="1335"/>
      <c r="D9" s="1335"/>
      <c r="E9" s="1335"/>
      <c r="F9" s="1335"/>
      <c r="G9" s="1335"/>
      <c r="H9" s="1335"/>
      <c r="I9" s="1335"/>
      <c r="J9" s="1335"/>
      <c r="K9" s="1335"/>
      <c r="L9" s="1335"/>
      <c r="M9" s="1335"/>
      <c r="N9" s="1335"/>
      <c r="O9" s="1335"/>
      <c r="P9" s="1335"/>
      <c r="Q9" s="1335"/>
      <c r="R9" s="1335"/>
      <c r="S9" s="1335"/>
      <c r="T9" s="1335"/>
      <c r="U9" s="1335"/>
      <c r="V9" s="1335"/>
      <c r="W9" s="1335"/>
      <c r="X9" s="1335"/>
      <c r="Y9" s="1335"/>
      <c r="Z9" s="1335"/>
      <c r="AA9" s="1335"/>
      <c r="AB9" s="1335"/>
      <c r="AC9" s="1335"/>
      <c r="AD9" s="1335"/>
      <c r="AE9" s="1335"/>
      <c r="AF9" s="1335"/>
      <c r="AG9" s="1335"/>
      <c r="AH9" s="1335"/>
      <c r="AI9" s="1335"/>
      <c r="AJ9" s="1335"/>
      <c r="AK9" s="1335"/>
      <c r="AL9" s="1335"/>
      <c r="AM9" s="1335"/>
      <c r="AN9" s="1335"/>
      <c r="AO9" s="1335"/>
      <c r="AP9" s="1335"/>
      <c r="AQ9" s="1335"/>
      <c r="AR9" s="1335"/>
      <c r="AS9" s="1335"/>
      <c r="AT9" s="1335"/>
      <c r="AU9" s="13"/>
      <c r="AV9" s="13"/>
      <c r="AW9" s="13"/>
      <c r="AX9" s="13"/>
      <c r="AY9" s="13"/>
      <c r="BD9" s="1251" t="s">
        <v>2504</v>
      </c>
      <c r="BE9" s="1252">
        <f>SUMIF($AC$718:$AC$752,"&lt;=40%",$G$718:G$752)-SUM($BE$5:BE8)</f>
        <v>0</v>
      </c>
    </row>
    <row r="10" spans="1:58" ht="12.95" customHeight="1">
      <c r="A10" s="1335" t="s">
        <v>2461</v>
      </c>
      <c r="B10" s="1335"/>
      <c r="C10" s="1335"/>
      <c r="D10" s="1335"/>
      <c r="E10" s="1335"/>
      <c r="F10" s="1335"/>
      <c r="G10" s="1335"/>
      <c r="H10" s="1335"/>
      <c r="I10" s="1335"/>
      <c r="J10" s="1335"/>
      <c r="K10" s="1335"/>
      <c r="L10" s="1335"/>
      <c r="M10" s="1335"/>
      <c r="N10" s="1335"/>
      <c r="O10" s="1335"/>
      <c r="P10" s="1335"/>
      <c r="Q10" s="1335"/>
      <c r="R10" s="1335"/>
      <c r="S10" s="1335"/>
      <c r="T10" s="1335"/>
      <c r="U10" s="1335"/>
      <c r="V10" s="1335"/>
      <c r="W10" s="1335"/>
      <c r="X10" s="1335"/>
      <c r="Y10" s="1335"/>
      <c r="Z10" s="1335"/>
      <c r="AA10" s="1335"/>
      <c r="AB10" s="1335"/>
      <c r="AC10" s="1335"/>
      <c r="AD10" s="1335"/>
      <c r="AE10" s="1335"/>
      <c r="AF10" s="1335"/>
      <c r="AG10" s="1335"/>
      <c r="AH10" s="1335"/>
      <c r="AI10" s="1335"/>
      <c r="AJ10" s="1335"/>
      <c r="AK10" s="1335"/>
      <c r="AL10" s="1335"/>
      <c r="AM10" s="1335"/>
      <c r="AN10" s="1335"/>
      <c r="AO10" s="1335"/>
      <c r="AP10" s="1335"/>
      <c r="AQ10" s="1335"/>
      <c r="AR10" s="1335"/>
      <c r="AS10" s="1335"/>
      <c r="AT10" s="1335"/>
      <c r="AU10" s="13"/>
      <c r="AV10" s="13"/>
      <c r="AW10" s="13"/>
      <c r="AX10" s="13"/>
      <c r="AY10" s="13"/>
      <c r="BD10" s="3" t="s">
        <v>2513</v>
      </c>
      <c r="BE10" s="1252">
        <f>SUMIF($AC$718:$AC$752,"&lt;=45%",$G$718:G$752)-SUM($BE$5:BE9)</f>
        <v>0</v>
      </c>
    </row>
    <row r="11" spans="1:58" ht="12.95" customHeight="1">
      <c r="A11" s="1335" t="s">
        <v>2608</v>
      </c>
      <c r="B11" s="1335"/>
      <c r="C11" s="1335"/>
      <c r="D11" s="1335"/>
      <c r="E11" s="1335"/>
      <c r="F11" s="1335"/>
      <c r="G11" s="1335"/>
      <c r="H11" s="1335"/>
      <c r="I11" s="1335"/>
      <c r="J11" s="1335"/>
      <c r="K11" s="1335"/>
      <c r="L11" s="1335"/>
      <c r="M11" s="1335"/>
      <c r="N11" s="1335"/>
      <c r="O11" s="1335"/>
      <c r="P11" s="1335"/>
      <c r="Q11" s="1335"/>
      <c r="R11" s="1335"/>
      <c r="S11" s="1335"/>
      <c r="T11" s="1335"/>
      <c r="U11" s="1335"/>
      <c r="V11" s="1335"/>
      <c r="W11" s="1335"/>
      <c r="X11" s="1335"/>
      <c r="Y11" s="1335"/>
      <c r="Z11" s="1335"/>
      <c r="AA11" s="1335"/>
      <c r="AB11" s="1335"/>
      <c r="AC11" s="1335"/>
      <c r="AD11" s="1335"/>
      <c r="AE11" s="1335"/>
      <c r="AF11" s="1335"/>
      <c r="AG11" s="1335"/>
      <c r="AH11" s="1335"/>
      <c r="AI11" s="1335"/>
      <c r="AJ11" s="1335"/>
      <c r="AK11" s="1335"/>
      <c r="AL11" s="1335"/>
      <c r="AM11" s="1335"/>
      <c r="AN11" s="1335"/>
      <c r="AO11" s="1335"/>
      <c r="AP11" s="1335"/>
      <c r="AQ11" s="1335"/>
      <c r="AR11" s="1335"/>
      <c r="AS11" s="1335"/>
      <c r="AT11" s="1335"/>
      <c r="AU11" s="13"/>
      <c r="AV11" s="13"/>
      <c r="AW11" s="13"/>
      <c r="AX11" s="13"/>
      <c r="AY11" s="13"/>
      <c r="BD11" s="1250" t="s">
        <v>2505</v>
      </c>
      <c r="BE11" s="1252">
        <f>SUMIF($AC$718:$AC$752,"&lt;=50%",$G$718:G$752)-SUM($BE$5:BE10)</f>
        <v>24</v>
      </c>
    </row>
    <row r="12" spans="1:58" ht="12.95" customHeight="1">
      <c r="A12" s="1411" t="s">
        <v>2597</v>
      </c>
      <c r="B12" s="1411"/>
      <c r="C12" s="1411"/>
      <c r="D12" s="1411"/>
      <c r="E12" s="1411"/>
      <c r="F12" s="1411"/>
      <c r="G12" s="1411"/>
      <c r="H12" s="1411"/>
      <c r="I12" s="1411"/>
      <c r="J12" s="1411"/>
      <c r="K12" s="1411"/>
      <c r="L12" s="1411"/>
      <c r="M12" s="1411"/>
      <c r="N12" s="1411"/>
      <c r="O12" s="1411"/>
      <c r="P12" s="1411"/>
      <c r="Q12" s="1411"/>
      <c r="R12" s="1411"/>
      <c r="S12" s="1411"/>
      <c r="T12" s="1411"/>
      <c r="U12" s="1411"/>
      <c r="V12" s="1411"/>
      <c r="W12" s="1411"/>
      <c r="X12" s="1411"/>
      <c r="Y12" s="1411"/>
      <c r="Z12" s="1411"/>
      <c r="AA12" s="1411"/>
      <c r="AB12" s="1411"/>
      <c r="AC12" s="1411"/>
      <c r="AD12" s="1411"/>
      <c r="AE12" s="1411"/>
      <c r="AF12" s="1411"/>
      <c r="AG12" s="1411"/>
      <c r="AH12" s="1411"/>
      <c r="AI12" s="1411"/>
      <c r="AJ12" s="1411"/>
      <c r="AK12" s="1411"/>
      <c r="AL12" s="1411"/>
      <c r="AM12" s="1411"/>
      <c r="AN12" s="1411"/>
      <c r="AO12" s="1411"/>
      <c r="AP12" s="1411"/>
      <c r="AQ12" s="1411"/>
      <c r="AR12" s="1411"/>
      <c r="AS12" s="1411"/>
      <c r="AT12" s="1411"/>
      <c r="AU12" s="6"/>
      <c r="AV12" s="6"/>
      <c r="AW12" s="6"/>
      <c r="AX12" s="6"/>
      <c r="AY12" s="6"/>
      <c r="BD12" s="3" t="s">
        <v>2514</v>
      </c>
      <c r="BE12" s="1252">
        <f>SUMIF($AC$718:$AC$752,"&lt;=55%",$G$718:G$752)-SUM($BE$5:BE11)</f>
        <v>0</v>
      </c>
    </row>
    <row r="13" spans="1:58" ht="12.95" customHeight="1">
      <c r="A13" s="1258" t="s">
        <v>2078</v>
      </c>
      <c r="B13" s="1258"/>
      <c r="C13" s="1258"/>
      <c r="D13" s="1258"/>
      <c r="E13" s="1258"/>
      <c r="F13" s="1258"/>
      <c r="G13" s="1258"/>
      <c r="H13" s="1258"/>
      <c r="I13" s="1258"/>
      <c r="J13" s="1258"/>
      <c r="K13" s="1258"/>
      <c r="L13" s="1258"/>
      <c r="M13" s="1258"/>
      <c r="N13" s="1258"/>
      <c r="O13" s="1258"/>
      <c r="P13" s="1258"/>
      <c r="Q13" s="1258"/>
      <c r="R13" s="1258"/>
      <c r="S13" s="1258"/>
      <c r="T13" s="1258"/>
      <c r="U13" s="1258"/>
      <c r="V13" s="1258"/>
      <c r="W13" s="1258"/>
      <c r="X13" s="1258"/>
      <c r="Y13" s="1258"/>
      <c r="Z13" s="1258"/>
      <c r="AA13" s="1258"/>
      <c r="AB13" s="1258"/>
      <c r="AC13" s="1258"/>
      <c r="AD13" s="1258"/>
      <c r="AE13" s="1258"/>
      <c r="AF13" s="1258"/>
      <c r="AG13" s="1258"/>
      <c r="AH13" s="1258"/>
      <c r="AI13" s="1258"/>
      <c r="AJ13" s="1258"/>
      <c r="AK13" s="1258"/>
      <c r="AL13" s="1258"/>
      <c r="AM13" s="1258"/>
      <c r="AN13" s="1258"/>
      <c r="AO13" s="1258"/>
      <c r="AP13" s="1258"/>
      <c r="AQ13" s="1258"/>
      <c r="AR13" s="1258"/>
      <c r="AS13" s="1258"/>
      <c r="AT13" s="1258"/>
      <c r="AU13" s="900"/>
      <c r="AV13" s="900"/>
      <c r="AW13" s="900"/>
      <c r="AX13" s="900"/>
      <c r="AY13" s="900"/>
      <c r="BD13" s="1251" t="s">
        <v>2506</v>
      </c>
      <c r="BE13" s="1252">
        <f>SUMIF($AC$718:$AC$752,"&lt;=60%",$G$718:G$752)-SUM($BE$5:BE12)</f>
        <v>126</v>
      </c>
    </row>
    <row r="14" spans="1:58" ht="12.95" customHeight="1">
      <c r="A14" s="1258"/>
      <c r="B14" s="1258"/>
      <c r="C14" s="1258"/>
      <c r="D14" s="1258"/>
      <c r="E14" s="1258"/>
      <c r="F14" s="1258"/>
      <c r="G14" s="1258"/>
      <c r="H14" s="1258"/>
      <c r="I14" s="1258"/>
      <c r="J14" s="1258"/>
      <c r="K14" s="1258"/>
      <c r="L14" s="1258"/>
      <c r="M14" s="1258"/>
      <c r="N14" s="1258"/>
      <c r="O14" s="1258"/>
      <c r="P14" s="1258"/>
      <c r="Q14" s="1258"/>
      <c r="R14" s="1258"/>
      <c r="S14" s="1258"/>
      <c r="T14" s="1258"/>
      <c r="U14" s="1258"/>
      <c r="V14" s="1258"/>
      <c r="W14" s="1258"/>
      <c r="X14" s="1258"/>
      <c r="Y14" s="1258"/>
      <c r="Z14" s="1258"/>
      <c r="AA14" s="1258"/>
      <c r="AB14" s="1258"/>
      <c r="AC14" s="1258"/>
      <c r="AD14" s="1258"/>
      <c r="AE14" s="1258"/>
      <c r="AF14" s="1258"/>
      <c r="AG14" s="1258"/>
      <c r="AH14" s="1258"/>
      <c r="AI14" s="1258"/>
      <c r="AJ14" s="1258"/>
      <c r="AK14" s="1258"/>
      <c r="AL14" s="1258"/>
      <c r="AM14" s="1258"/>
      <c r="AN14" s="1258"/>
      <c r="AO14" s="1258"/>
      <c r="AP14" s="1258"/>
      <c r="AQ14" s="1258"/>
      <c r="AR14" s="1258"/>
      <c r="AS14" s="1258"/>
      <c r="AT14" s="1258"/>
      <c r="AU14" s="900"/>
      <c r="AV14" s="900"/>
      <c r="AW14" s="900"/>
      <c r="AX14" s="900"/>
      <c r="AY14" s="900"/>
      <c r="BD14" s="1250" t="s">
        <v>2507</v>
      </c>
      <c r="BE14" s="1252">
        <f>SUMIF($AC$718:$AC$752,"&lt;=70%",$G$718:G$752)-SUM($BE$5:BE13)</f>
        <v>56</v>
      </c>
    </row>
    <row r="15" spans="1:58" ht="12.9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251" t="s">
        <v>2508</v>
      </c>
      <c r="BE15" s="1252">
        <f>SUMIF($AC$718:$AC$752,"&lt;=80%",$G$718:G$752)-SUM($BE$5:BE14)</f>
        <v>0</v>
      </c>
    </row>
    <row r="16" spans="1:58" ht="12.95" customHeight="1">
      <c r="A16" s="57" t="s">
        <v>2079</v>
      </c>
      <c r="C16" s="4"/>
      <c r="D16" s="4"/>
      <c r="E16" s="4"/>
      <c r="F16" s="4"/>
      <c r="G16" s="4"/>
      <c r="H16" s="1419" t="s">
        <v>2609</v>
      </c>
      <c r="I16" s="1420"/>
      <c r="J16" s="1420"/>
      <c r="K16" s="1420"/>
      <c r="L16" s="1420"/>
      <c r="M16" s="1420"/>
      <c r="N16" s="1420"/>
      <c r="O16" s="1420"/>
      <c r="P16" s="1420"/>
      <c r="Q16" s="1420"/>
      <c r="R16" s="1420"/>
      <c r="S16" s="1420"/>
      <c r="T16" s="1420"/>
      <c r="U16" s="1420"/>
      <c r="V16" s="1420"/>
      <c r="W16" s="1420"/>
      <c r="X16" s="1420"/>
      <c r="Y16" s="1420"/>
      <c r="Z16" s="1420"/>
      <c r="AA16" s="1420"/>
      <c r="AB16" s="1420"/>
      <c r="AC16" s="1420"/>
      <c r="AD16" s="1420"/>
      <c r="AE16" s="1420"/>
      <c r="AF16" s="1420"/>
      <c r="AG16" s="1420"/>
      <c r="AH16" s="1420"/>
      <c r="AI16" s="1420"/>
      <c r="AJ16" s="1420"/>
      <c r="BD16" s="1251" t="s">
        <v>656</v>
      </c>
      <c r="BE16" s="1252" t="str">
        <f>Application!H18</f>
        <v>Francis Avenue Apartments</v>
      </c>
    </row>
    <row r="17" spans="1:58" ht="12.95" customHeight="1">
      <c r="BD17" s="1250" t="s">
        <v>2521</v>
      </c>
      <c r="BE17" s="1252">
        <f>Application!AA934</f>
        <v>0</v>
      </c>
    </row>
    <row r="18" spans="1:58" ht="12.95" customHeight="1">
      <c r="A18" s="57" t="s">
        <v>101</v>
      </c>
      <c r="C18" s="4"/>
      <c r="D18" s="4"/>
      <c r="E18" s="4"/>
      <c r="F18" s="4"/>
      <c r="G18" s="4"/>
      <c r="H18" s="1416" t="s">
        <v>2610</v>
      </c>
      <c r="I18" s="1417"/>
      <c r="J18" s="1417"/>
      <c r="K18" s="1417"/>
      <c r="L18" s="1417"/>
      <c r="M18" s="1417"/>
      <c r="N18" s="1417"/>
      <c r="O18" s="1417"/>
      <c r="P18" s="1417"/>
      <c r="Q18" s="1417"/>
      <c r="R18" s="1417"/>
      <c r="S18" s="1417"/>
      <c r="T18" s="1417"/>
      <c r="U18" s="1417"/>
      <c r="V18" s="1417"/>
      <c r="W18" s="1417"/>
      <c r="X18" s="1417"/>
      <c r="Y18" s="1417"/>
      <c r="Z18" s="1417"/>
      <c r="AA18" s="1417"/>
      <c r="AB18" s="1417"/>
      <c r="AC18" s="1417"/>
      <c r="AD18" s="1417"/>
      <c r="AE18" s="1417"/>
      <c r="AF18" s="1417"/>
      <c r="AG18" s="1417"/>
      <c r="AH18" s="1417"/>
      <c r="AI18" s="1417"/>
      <c r="AJ18" s="1417"/>
      <c r="BD18" s="1251" t="s">
        <v>2522</v>
      </c>
      <c r="BE18" s="1252">
        <f>'CalHFA Addendum'!N11</f>
        <v>0</v>
      </c>
    </row>
    <row r="19" spans="1:58" ht="12.95" customHeight="1">
      <c r="BD19" s="1250" t="s">
        <v>2523</v>
      </c>
      <c r="BE19" s="1252">
        <f>Application!M26</f>
        <v>3707705</v>
      </c>
    </row>
    <row r="20" spans="1:58" ht="12.95" customHeight="1">
      <c r="A20" s="1412" t="s">
        <v>873</v>
      </c>
      <c r="B20" s="1412"/>
      <c r="C20" s="1412"/>
      <c r="D20" s="1412"/>
      <c r="E20" s="1412"/>
      <c r="F20" s="1412"/>
      <c r="G20" s="1412"/>
      <c r="H20" s="1412"/>
      <c r="I20" s="1412"/>
      <c r="J20" s="1412"/>
      <c r="K20" s="1412"/>
      <c r="L20" s="1412"/>
      <c r="M20" s="1412"/>
      <c r="N20" s="1412"/>
      <c r="O20" s="1412"/>
      <c r="P20" s="1412"/>
      <c r="Q20" s="1412"/>
      <c r="R20" s="1412"/>
      <c r="S20" s="1412"/>
      <c r="T20" s="1412"/>
      <c r="U20" s="1412"/>
      <c r="V20" s="1412"/>
      <c r="W20" s="1412"/>
      <c r="X20" s="1412"/>
      <c r="Y20" s="1412"/>
      <c r="Z20" s="1412"/>
      <c r="AA20" s="1412"/>
      <c r="AB20" s="1412"/>
      <c r="AC20" s="1412"/>
      <c r="AD20" s="1412"/>
      <c r="AE20" s="1412"/>
      <c r="AF20" s="1412"/>
      <c r="AG20" s="1412"/>
      <c r="AH20" s="1412"/>
      <c r="AI20" s="1412"/>
      <c r="AJ20" s="1412"/>
      <c r="AK20" s="1412"/>
      <c r="AL20" s="1412"/>
      <c r="AM20" s="1412"/>
      <c r="AN20" s="1412"/>
      <c r="AO20" s="1412"/>
      <c r="AP20" s="1412"/>
      <c r="AQ20" s="1412"/>
      <c r="AR20" s="1412"/>
      <c r="AS20" s="1412"/>
      <c r="AT20" s="1412"/>
      <c r="AU20" s="901"/>
      <c r="AV20" s="901"/>
      <c r="AW20" s="901"/>
      <c r="AX20" s="901"/>
      <c r="AY20" s="901"/>
      <c r="BD20" s="1251" t="s">
        <v>2524</v>
      </c>
      <c r="BE20" s="1252">
        <f>Application!M27</f>
        <v>0</v>
      </c>
    </row>
    <row r="21" spans="1:58" ht="12.95" customHeight="1">
      <c r="A21" s="1421" t="s">
        <v>1008</v>
      </c>
      <c r="B21" s="1421"/>
      <c r="C21" s="1421"/>
      <c r="D21" s="1421"/>
      <c r="E21" s="1421"/>
      <c r="F21" s="1421"/>
      <c r="G21" s="1421"/>
      <c r="H21" s="1421"/>
      <c r="I21" s="1421"/>
      <c r="J21" s="1421"/>
      <c r="K21" s="1421"/>
      <c r="L21" s="1421"/>
      <c r="M21" s="1421"/>
      <c r="N21" s="1421"/>
      <c r="O21" s="1421"/>
      <c r="P21" s="1421"/>
      <c r="Q21" s="1421"/>
      <c r="R21" s="1421"/>
      <c r="S21" s="1421"/>
      <c r="T21" s="1421"/>
      <c r="U21" s="1421"/>
      <c r="V21" s="1421"/>
      <c r="W21" s="1421"/>
      <c r="X21" s="1421"/>
      <c r="Y21" s="1421"/>
      <c r="Z21" s="1421"/>
      <c r="AA21" s="1421"/>
      <c r="AB21" s="1421"/>
      <c r="AC21" s="1421"/>
      <c r="AD21" s="1421"/>
      <c r="AE21" s="1421"/>
      <c r="AF21" s="1421"/>
      <c r="AG21" s="1421"/>
      <c r="AH21" s="1421"/>
      <c r="AI21" s="1421"/>
      <c r="AJ21" s="1421"/>
      <c r="AK21" s="1421"/>
      <c r="AL21" s="1421"/>
      <c r="AM21" s="902"/>
      <c r="AN21" s="902"/>
      <c r="AO21" s="902"/>
      <c r="AP21" s="902"/>
      <c r="AQ21" s="902"/>
      <c r="AR21" s="902"/>
      <c r="AS21" s="902"/>
      <c r="AT21" s="902"/>
      <c r="AU21" s="902"/>
      <c r="AV21" s="902"/>
      <c r="AW21" s="902"/>
      <c r="AX21" s="902"/>
      <c r="AY21" s="902"/>
      <c r="BD21" s="1250" t="s">
        <v>2525</v>
      </c>
      <c r="BE21" s="1252">
        <f>Application!AM554</f>
        <v>42000000</v>
      </c>
    </row>
    <row r="22" spans="1:58"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251" t="s">
        <v>282</v>
      </c>
      <c r="BE22" s="1252">
        <f>'Sources and Uses Budget'!B105</f>
        <v>86190738</v>
      </c>
      <c r="BF22" s="3" t="s">
        <v>2599</v>
      </c>
    </row>
    <row r="23" spans="1:58" ht="12.95" customHeight="1">
      <c r="A23" s="1290" t="s">
        <v>2147</v>
      </c>
      <c r="B23" s="1290"/>
      <c r="C23" s="1290"/>
      <c r="D23" s="1290"/>
      <c r="E23" s="1290"/>
      <c r="F23" s="1290"/>
      <c r="G23" s="1290"/>
      <c r="H23" s="1290"/>
      <c r="I23" s="1290"/>
      <c r="J23" s="1290"/>
      <c r="K23" s="1290"/>
      <c r="L23" s="1290"/>
      <c r="M23" s="1290"/>
      <c r="N23" s="1290"/>
      <c r="O23" s="1290"/>
      <c r="P23" s="1290"/>
      <c r="Q23" s="1290"/>
      <c r="R23" s="1290"/>
      <c r="S23" s="1290"/>
      <c r="T23" s="1290"/>
      <c r="U23" s="1290"/>
      <c r="V23" s="1290"/>
      <c r="W23" s="1290"/>
      <c r="X23" s="1290"/>
      <c r="Y23" s="1290"/>
      <c r="Z23" s="1290"/>
      <c r="AA23" s="1290"/>
      <c r="AB23" s="1290"/>
      <c r="AC23" s="1290"/>
      <c r="AD23" s="1290"/>
      <c r="AE23" s="1290"/>
      <c r="AF23" s="1290"/>
      <c r="AG23" s="1290"/>
      <c r="AH23" s="1290"/>
      <c r="AI23" s="1290"/>
      <c r="AJ23" s="1290"/>
      <c r="AK23" s="1290"/>
      <c r="AL23" s="1290"/>
      <c r="AM23" s="1290"/>
      <c r="AN23" s="1290"/>
      <c r="AO23" s="1290"/>
      <c r="AP23" s="1290"/>
      <c r="AQ23" s="1290"/>
      <c r="AR23" s="1290"/>
      <c r="AS23" s="1290"/>
      <c r="AT23" s="1290"/>
      <c r="AU23" s="18"/>
      <c r="AV23" s="18"/>
      <c r="AW23" s="18"/>
      <c r="AX23" s="18"/>
      <c r="AY23" s="18"/>
      <c r="AZ23" s="18"/>
      <c r="BD23" s="1250" t="s">
        <v>2526</v>
      </c>
      <c r="BE23" s="1252">
        <f>'Sources and Uses Budget'!B4</f>
        <v>7750000</v>
      </c>
    </row>
    <row r="24" spans="1:58" ht="12.95" customHeight="1">
      <c r="A24" s="1290"/>
      <c r="B24" s="1290"/>
      <c r="C24" s="1290"/>
      <c r="D24" s="1290"/>
      <c r="E24" s="1290"/>
      <c r="F24" s="1290"/>
      <c r="G24" s="1290"/>
      <c r="H24" s="1290"/>
      <c r="I24" s="1290"/>
      <c r="J24" s="1290"/>
      <c r="K24" s="1290"/>
      <c r="L24" s="1290"/>
      <c r="M24" s="1290"/>
      <c r="N24" s="1290"/>
      <c r="O24" s="1290"/>
      <c r="P24" s="1290"/>
      <c r="Q24" s="1290"/>
      <c r="R24" s="1290"/>
      <c r="S24" s="1290"/>
      <c r="T24" s="1290"/>
      <c r="U24" s="1290"/>
      <c r="V24" s="1290"/>
      <c r="W24" s="1290"/>
      <c r="X24" s="1290"/>
      <c r="Y24" s="1290"/>
      <c r="Z24" s="1290"/>
      <c r="AA24" s="1290"/>
      <c r="AB24" s="1290"/>
      <c r="AC24" s="1290"/>
      <c r="AD24" s="1290"/>
      <c r="AE24" s="1290"/>
      <c r="AF24" s="1290"/>
      <c r="AG24" s="1290"/>
      <c r="AH24" s="1290"/>
      <c r="AI24" s="1290"/>
      <c r="AJ24" s="1290"/>
      <c r="AK24" s="1290"/>
      <c r="AL24" s="1290"/>
      <c r="AM24" s="1290"/>
      <c r="AN24" s="1290"/>
      <c r="AO24" s="1290"/>
      <c r="AP24" s="1290"/>
      <c r="AQ24" s="1290"/>
      <c r="AR24" s="1290"/>
      <c r="AS24" s="1290"/>
      <c r="AT24" s="1290"/>
      <c r="AU24" s="18"/>
      <c r="AV24" s="18"/>
      <c r="AW24" s="18"/>
      <c r="AX24" s="18"/>
      <c r="AY24" s="18"/>
      <c r="AZ24" s="18"/>
      <c r="BD24" s="1251" t="s">
        <v>2527</v>
      </c>
      <c r="BE24" s="1252">
        <f>Application!AG450</f>
        <v>133303</v>
      </c>
    </row>
    <row r="25" spans="1:58"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250" t="s">
        <v>2528</v>
      </c>
      <c r="BE25" s="1252" t="str">
        <f>Application!D208</f>
        <v>40%/60% Average Income</v>
      </c>
    </row>
    <row r="26" spans="1:58" ht="12.95" customHeight="1">
      <c r="A26" s="4"/>
      <c r="C26" s="4"/>
      <c r="D26" s="4"/>
      <c r="E26" s="4"/>
      <c r="F26" s="4"/>
      <c r="G26" s="4"/>
      <c r="H26" s="4"/>
      <c r="I26" s="4"/>
      <c r="J26" s="4"/>
      <c r="K26" s="4"/>
      <c r="L26" s="4"/>
      <c r="M26" s="1418">
        <f>'Basis &amp; Credits'!AB56</f>
        <v>3707705</v>
      </c>
      <c r="N26" s="1418"/>
      <c r="O26" s="1418"/>
      <c r="P26" s="1418"/>
      <c r="Q26" s="1418"/>
      <c r="R26" s="4" t="s">
        <v>759</v>
      </c>
      <c r="S26" s="4"/>
      <c r="T26" s="4"/>
      <c r="U26" s="4"/>
      <c r="V26" s="4"/>
      <c r="W26" s="4"/>
      <c r="X26" s="4"/>
      <c r="Y26" s="4"/>
      <c r="Z26" s="4"/>
      <c r="AF26" s="4"/>
      <c r="AG26" s="4"/>
      <c r="AH26" s="4"/>
      <c r="AI26" s="4"/>
      <c r="AJ26" s="4"/>
      <c r="AK26" s="4"/>
      <c r="BD26" s="1251" t="s">
        <v>1638</v>
      </c>
      <c r="BE26" s="1252" t="b">
        <f>Application!M356="Yes"</f>
        <v>0</v>
      </c>
    </row>
    <row r="27" spans="1:58" ht="12.95" customHeight="1">
      <c r="A27" s="4"/>
      <c r="C27" s="4"/>
      <c r="D27" s="4"/>
      <c r="E27" s="4"/>
      <c r="F27" s="4"/>
      <c r="G27" s="4"/>
      <c r="H27" s="4"/>
      <c r="I27" s="4"/>
      <c r="J27" s="4"/>
      <c r="K27" s="4"/>
      <c r="L27" s="4"/>
      <c r="M27" s="1422">
        <f>'Basis &amp; Credits'!AB78</f>
        <v>0</v>
      </c>
      <c r="N27" s="1422"/>
      <c r="O27" s="1422"/>
      <c r="P27" s="1422"/>
      <c r="Q27" s="1422"/>
      <c r="R27" s="3" t="s">
        <v>1266</v>
      </c>
      <c r="S27" s="4"/>
      <c r="T27" s="4"/>
      <c r="U27" s="4"/>
      <c r="V27" s="4"/>
      <c r="W27" s="4"/>
      <c r="X27" s="4"/>
      <c r="Y27" s="4"/>
      <c r="Z27" s="4"/>
      <c r="AF27" s="4"/>
      <c r="AG27" s="4"/>
      <c r="AH27" s="4"/>
      <c r="AI27" s="4"/>
      <c r="AJ27" s="4"/>
      <c r="AK27" s="4"/>
      <c r="BD27" s="1250" t="s">
        <v>2099</v>
      </c>
      <c r="BE27" s="1252" t="b">
        <f>Application!M355="Yes"</f>
        <v>1</v>
      </c>
    </row>
    <row r="28" spans="1:58"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251" t="s">
        <v>2529</v>
      </c>
      <c r="BE28" s="1252" t="b">
        <f>Application!M357="Yes"</f>
        <v>0</v>
      </c>
    </row>
    <row r="29" spans="1:58" ht="12.95" customHeight="1">
      <c r="A29" s="1413" t="s">
        <v>2148</v>
      </c>
      <c r="B29" s="1413"/>
      <c r="C29" s="1413"/>
      <c r="D29" s="1413"/>
      <c r="E29" s="1413"/>
      <c r="F29" s="1413"/>
      <c r="G29" s="1413"/>
      <c r="H29" s="1413"/>
      <c r="I29" s="1413"/>
      <c r="J29" s="1413"/>
      <c r="K29" s="1413"/>
      <c r="L29" s="1413"/>
      <c r="M29" s="1413"/>
      <c r="N29" s="1413"/>
      <c r="O29" s="1413"/>
      <c r="P29" s="1413"/>
      <c r="Q29" s="1413"/>
      <c r="R29" s="1413"/>
      <c r="S29" s="1413"/>
      <c r="T29" s="1413"/>
      <c r="U29" s="1413"/>
      <c r="V29" s="1413"/>
      <c r="W29" s="1413"/>
      <c r="X29" s="1413"/>
      <c r="Y29" s="1413"/>
      <c r="Z29" s="1413"/>
      <c r="AA29" s="1413"/>
      <c r="AB29" s="1413"/>
      <c r="AC29" s="1413"/>
      <c r="AD29" s="1413"/>
      <c r="AE29" s="1413"/>
      <c r="AF29" s="1413"/>
      <c r="AG29" s="1413"/>
      <c r="AH29" s="1413"/>
      <c r="AI29" s="1413"/>
      <c r="AJ29" s="1413"/>
      <c r="AK29" s="1413"/>
      <c r="AL29" s="1413"/>
      <c r="AM29" s="1413"/>
      <c r="AN29" s="1413"/>
      <c r="AO29" s="1413"/>
      <c r="AP29" s="1413"/>
      <c r="AQ29" s="1413"/>
      <c r="AR29" s="1413"/>
      <c r="AS29" s="1413"/>
      <c r="AT29" s="1413"/>
      <c r="BD29" s="1250" t="s">
        <v>2530</v>
      </c>
      <c r="BE29" s="1252" t="b">
        <f>Application!M358="Yes"</f>
        <v>0</v>
      </c>
    </row>
    <row r="30" spans="1:58" ht="12.95" customHeight="1">
      <c r="A30" s="1413"/>
      <c r="B30" s="1413"/>
      <c r="C30" s="1413"/>
      <c r="D30" s="1413"/>
      <c r="E30" s="1413"/>
      <c r="F30" s="1413"/>
      <c r="G30" s="1413"/>
      <c r="H30" s="1413"/>
      <c r="I30" s="1413"/>
      <c r="J30" s="1413"/>
      <c r="K30" s="1413"/>
      <c r="L30" s="1413"/>
      <c r="M30" s="1413"/>
      <c r="N30" s="1413"/>
      <c r="O30" s="1413"/>
      <c r="P30" s="1413"/>
      <c r="Q30" s="1413"/>
      <c r="R30" s="1413"/>
      <c r="S30" s="1413"/>
      <c r="T30" s="1413"/>
      <c r="U30" s="1413"/>
      <c r="V30" s="1413"/>
      <c r="W30" s="1413"/>
      <c r="X30" s="1413"/>
      <c r="Y30" s="1413"/>
      <c r="Z30" s="1413"/>
      <c r="AA30" s="1413"/>
      <c r="AB30" s="1413"/>
      <c r="AC30" s="1413"/>
      <c r="AD30" s="1413"/>
      <c r="AE30" s="1413"/>
      <c r="AF30" s="1413"/>
      <c r="AG30" s="1413"/>
      <c r="AH30" s="1413"/>
      <c r="AI30" s="1413"/>
      <c r="AJ30" s="1413"/>
      <c r="AK30" s="1413"/>
      <c r="AL30" s="1413"/>
      <c r="AM30" s="1413"/>
      <c r="AN30" s="1413"/>
      <c r="AO30" s="1413"/>
      <c r="AP30" s="1413"/>
      <c r="AQ30" s="1413"/>
      <c r="AR30" s="1413"/>
      <c r="AS30" s="1413"/>
      <c r="AT30" s="1413"/>
      <c r="AZ30" s="20"/>
      <c r="BD30" s="1251" t="s">
        <v>28</v>
      </c>
      <c r="BE30" s="1252" t="b">
        <f>Application!AJ355="Yes"</f>
        <v>0</v>
      </c>
    </row>
    <row r="31" spans="1:58" ht="12.95" customHeight="1">
      <c r="A31" s="1413"/>
      <c r="B31" s="1413"/>
      <c r="C31" s="1413"/>
      <c r="D31" s="1413"/>
      <c r="E31" s="1413"/>
      <c r="F31" s="1413"/>
      <c r="G31" s="1413"/>
      <c r="H31" s="1413"/>
      <c r="I31" s="1413"/>
      <c r="J31" s="1413"/>
      <c r="K31" s="1413"/>
      <c r="L31" s="1413"/>
      <c r="M31" s="1413"/>
      <c r="N31" s="1413"/>
      <c r="O31" s="1413"/>
      <c r="P31" s="1413"/>
      <c r="Q31" s="1413"/>
      <c r="R31" s="1413"/>
      <c r="S31" s="1413"/>
      <c r="T31" s="1413"/>
      <c r="U31" s="1413"/>
      <c r="V31" s="1413"/>
      <c r="W31" s="1413"/>
      <c r="X31" s="1413"/>
      <c r="Y31" s="1413"/>
      <c r="Z31" s="1413"/>
      <c r="AA31" s="1413"/>
      <c r="AB31" s="1413"/>
      <c r="AC31" s="1413"/>
      <c r="AD31" s="1413"/>
      <c r="AE31" s="1413"/>
      <c r="AF31" s="1413"/>
      <c r="AG31" s="1413"/>
      <c r="AH31" s="1413"/>
      <c r="AI31" s="1413"/>
      <c r="AJ31" s="1413"/>
      <c r="AK31" s="1413"/>
      <c r="AL31" s="1413"/>
      <c r="AM31" s="1413"/>
      <c r="AN31" s="1413"/>
      <c r="AO31" s="1413"/>
      <c r="AP31" s="1413"/>
      <c r="AQ31" s="1413"/>
      <c r="AR31" s="1413"/>
      <c r="AS31" s="1413"/>
      <c r="AT31" s="1413"/>
      <c r="AU31" s="20"/>
      <c r="AV31" s="20"/>
      <c r="AW31" s="20"/>
      <c r="AX31" s="20"/>
      <c r="AY31" s="20"/>
      <c r="AZ31" s="20"/>
      <c r="BD31" s="1250" t="s">
        <v>2531</v>
      </c>
      <c r="BE31" s="1252" t="str">
        <f>Application!D211</f>
        <v>Non-Targeted</v>
      </c>
    </row>
    <row r="32" spans="1:58"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251" t="s">
        <v>2532</v>
      </c>
      <c r="BE32" s="1252">
        <f>IF(ISNUMBER(Application!W465),W465,0)</f>
        <v>0</v>
      </c>
    </row>
    <row r="33" spans="1:57" ht="12.95" customHeight="1">
      <c r="A33" s="520" t="s">
        <v>1277</v>
      </c>
      <c r="C33" s="520"/>
      <c r="D33" s="520"/>
      <c r="E33" s="520"/>
      <c r="F33" s="520"/>
      <c r="G33" s="520"/>
      <c r="H33" s="520"/>
      <c r="I33" s="520"/>
      <c r="J33" s="520"/>
      <c r="K33" s="520"/>
      <c r="L33" s="520"/>
      <c r="M33" s="520"/>
      <c r="N33" s="520"/>
      <c r="O33" s="1330" t="s">
        <v>669</v>
      </c>
      <c r="P33" s="1330"/>
      <c r="Q33" s="1414" t="s">
        <v>2149</v>
      </c>
      <c r="R33" s="1414"/>
      <c r="S33" s="1414"/>
      <c r="T33" s="1414"/>
      <c r="U33" s="1414"/>
      <c r="V33" s="1414"/>
      <c r="W33" s="1414"/>
      <c r="X33" s="1414"/>
      <c r="Y33" s="1414"/>
      <c r="Z33" s="1414"/>
      <c r="AA33" s="1414"/>
      <c r="AB33" s="1414"/>
      <c r="AC33" s="1414"/>
      <c r="AD33" s="1414"/>
      <c r="AE33" s="1414"/>
      <c r="AF33" s="1414"/>
      <c r="AG33" s="1414"/>
      <c r="AH33" s="1414"/>
      <c r="AI33" s="1414"/>
      <c r="AJ33" s="1414"/>
      <c r="AK33" s="1414"/>
      <c r="AL33" s="1414"/>
      <c r="AM33" s="1414"/>
      <c r="AN33" s="1414"/>
      <c r="AO33" s="1414"/>
      <c r="AP33" s="1414"/>
      <c r="AQ33" s="1414"/>
      <c r="AR33" s="1414"/>
      <c r="AS33" s="1414"/>
      <c r="AT33" s="1414"/>
      <c r="AU33" s="20"/>
      <c r="AV33" s="20"/>
      <c r="AW33" s="20"/>
      <c r="AX33" s="20"/>
      <c r="AY33" s="20"/>
      <c r="BD33" s="1250" t="s">
        <v>2600</v>
      </c>
      <c r="BE33" s="1252" t="str">
        <f>Application!D220</f>
        <v>City of Los Angeles</v>
      </c>
    </row>
    <row r="34" spans="1:57" ht="12.95" customHeight="1">
      <c r="A34" s="1413" t="s">
        <v>2150</v>
      </c>
      <c r="B34" s="1413"/>
      <c r="C34" s="1413"/>
      <c r="D34" s="1413"/>
      <c r="E34" s="1413"/>
      <c r="F34" s="1413"/>
      <c r="G34" s="1413"/>
      <c r="H34" s="1413"/>
      <c r="I34" s="1413"/>
      <c r="J34" s="1413"/>
      <c r="K34" s="1413"/>
      <c r="L34" s="1413"/>
      <c r="M34" s="1413"/>
      <c r="N34" s="1413"/>
      <c r="O34" s="1413"/>
      <c r="P34" s="1413"/>
      <c r="Q34" s="1413"/>
      <c r="R34" s="1413"/>
      <c r="S34" s="1413"/>
      <c r="T34" s="1413"/>
      <c r="U34" s="1413"/>
      <c r="V34" s="1413"/>
      <c r="W34" s="1413"/>
      <c r="X34" s="1413"/>
      <c r="Y34" s="1413"/>
      <c r="Z34" s="1413"/>
      <c r="AA34" s="1413"/>
      <c r="AB34" s="1413"/>
      <c r="AC34" s="1413"/>
      <c r="AD34" s="1413"/>
      <c r="AE34" s="1413"/>
      <c r="AF34" s="1413"/>
      <c r="AG34" s="1413"/>
      <c r="AH34" s="1413"/>
      <c r="AI34" s="1413"/>
      <c r="AJ34" s="1413"/>
      <c r="AK34" s="1413"/>
      <c r="AL34" s="1413"/>
      <c r="AM34" s="1413"/>
      <c r="AN34" s="1413"/>
      <c r="AO34" s="1413"/>
      <c r="AP34" s="1413"/>
      <c r="AQ34" s="1413"/>
      <c r="AR34" s="1413"/>
      <c r="AS34" s="1413"/>
      <c r="AT34" s="1413"/>
      <c r="AU34" s="20"/>
      <c r="AV34" s="20"/>
      <c r="AW34" s="20"/>
      <c r="AX34" s="20"/>
      <c r="AY34" s="20"/>
      <c r="AZ34" s="20"/>
      <c r="BD34" s="1251" t="s">
        <v>2533</v>
      </c>
      <c r="BE34" s="1252" t="str">
        <f>Application!I185</f>
        <v>2859 Francis Ave</v>
      </c>
    </row>
    <row r="35" spans="1:57" ht="12.95" customHeight="1">
      <c r="A35" s="1413"/>
      <c r="B35" s="1413"/>
      <c r="C35" s="1413"/>
      <c r="D35" s="1413"/>
      <c r="E35" s="1413"/>
      <c r="F35" s="1413"/>
      <c r="G35" s="1413"/>
      <c r="H35" s="1413"/>
      <c r="I35" s="1413"/>
      <c r="J35" s="1413"/>
      <c r="K35" s="1413"/>
      <c r="L35" s="1413"/>
      <c r="M35" s="1413"/>
      <c r="N35" s="1413"/>
      <c r="O35" s="1413"/>
      <c r="P35" s="1413"/>
      <c r="Q35" s="1413"/>
      <c r="R35" s="1413"/>
      <c r="S35" s="1413"/>
      <c r="T35" s="1413"/>
      <c r="U35" s="1413"/>
      <c r="V35" s="1413"/>
      <c r="W35" s="1413"/>
      <c r="X35" s="1413"/>
      <c r="Y35" s="1413"/>
      <c r="Z35" s="1413"/>
      <c r="AA35" s="1413"/>
      <c r="AB35" s="1413"/>
      <c r="AC35" s="1413"/>
      <c r="AD35" s="1413"/>
      <c r="AE35" s="1413"/>
      <c r="AF35" s="1413"/>
      <c r="AG35" s="1413"/>
      <c r="AH35" s="1413"/>
      <c r="AI35" s="1413"/>
      <c r="AJ35" s="1413"/>
      <c r="AK35" s="1413"/>
      <c r="AL35" s="1413"/>
      <c r="AM35" s="1413"/>
      <c r="AN35" s="1413"/>
      <c r="AO35" s="1413"/>
      <c r="AP35" s="1413"/>
      <c r="AQ35" s="1413"/>
      <c r="AR35" s="1413"/>
      <c r="AS35" s="1413"/>
      <c r="AT35" s="1413"/>
      <c r="AU35" s="20"/>
      <c r="AV35" s="20"/>
      <c r="AW35" s="20"/>
      <c r="AX35" s="20"/>
      <c r="AY35" s="20"/>
      <c r="AZ35" s="20"/>
      <c r="BD35" s="1250" t="s">
        <v>2534</v>
      </c>
      <c r="BE35" s="1252" t="str">
        <f>IF(Application!E187="","",Application!E187)</f>
        <v/>
      </c>
    </row>
    <row r="36" spans="1:57" ht="12.95" customHeight="1">
      <c r="A36" s="1413"/>
      <c r="B36" s="1413"/>
      <c r="C36" s="1413"/>
      <c r="D36" s="1413"/>
      <c r="E36" s="1413"/>
      <c r="F36" s="1413"/>
      <c r="G36" s="1413"/>
      <c r="H36" s="1413"/>
      <c r="I36" s="1413"/>
      <c r="J36" s="1413"/>
      <c r="K36" s="1413"/>
      <c r="L36" s="1413"/>
      <c r="M36" s="1413"/>
      <c r="N36" s="1413"/>
      <c r="O36" s="1413"/>
      <c r="P36" s="1413"/>
      <c r="Q36" s="1413"/>
      <c r="R36" s="1413"/>
      <c r="S36" s="1413"/>
      <c r="T36" s="1413"/>
      <c r="U36" s="1413"/>
      <c r="V36" s="1413"/>
      <c r="W36" s="1413"/>
      <c r="X36" s="1413"/>
      <c r="Y36" s="1413"/>
      <c r="Z36" s="1413"/>
      <c r="AA36" s="1413"/>
      <c r="AB36" s="1413"/>
      <c r="AC36" s="1413"/>
      <c r="AD36" s="1413"/>
      <c r="AE36" s="1413"/>
      <c r="AF36" s="1413"/>
      <c r="AG36" s="1413"/>
      <c r="AH36" s="1413"/>
      <c r="AI36" s="1413"/>
      <c r="AJ36" s="1413"/>
      <c r="AK36" s="1413"/>
      <c r="AL36" s="1413"/>
      <c r="AM36" s="1413"/>
      <c r="AN36" s="1413"/>
      <c r="AO36" s="1413"/>
      <c r="AP36" s="1413"/>
      <c r="AQ36" s="1413"/>
      <c r="AR36" s="1413"/>
      <c r="AS36" s="1413"/>
      <c r="AT36" s="1413"/>
      <c r="AU36" s="20"/>
      <c r="AV36" s="20"/>
      <c r="AW36" s="20"/>
      <c r="AX36" s="20"/>
      <c r="AY36" s="20"/>
      <c r="AZ36" s="20"/>
      <c r="BD36" s="1251" t="s">
        <v>2535</v>
      </c>
      <c r="BE36" s="1252" t="str">
        <f>Application!I189</f>
        <v>Los Angeles</v>
      </c>
    </row>
    <row r="37" spans="1:57" ht="12.95" customHeight="1">
      <c r="A37" s="1413"/>
      <c r="B37" s="1413"/>
      <c r="C37" s="1413"/>
      <c r="D37" s="1413"/>
      <c r="E37" s="1413"/>
      <c r="F37" s="1413"/>
      <c r="G37" s="1413"/>
      <c r="H37" s="1413"/>
      <c r="I37" s="1413"/>
      <c r="J37" s="1413"/>
      <c r="K37" s="1413"/>
      <c r="L37" s="1413"/>
      <c r="M37" s="1413"/>
      <c r="N37" s="1413"/>
      <c r="O37" s="1413"/>
      <c r="P37" s="1413"/>
      <c r="Q37" s="1413"/>
      <c r="R37" s="1413"/>
      <c r="S37" s="1413"/>
      <c r="T37" s="1413"/>
      <c r="U37" s="1413"/>
      <c r="V37" s="1413"/>
      <c r="W37" s="1413"/>
      <c r="X37" s="1413"/>
      <c r="Y37" s="1413"/>
      <c r="Z37" s="1413"/>
      <c r="AA37" s="1413"/>
      <c r="AB37" s="1413"/>
      <c r="AC37" s="1413"/>
      <c r="AD37" s="1413"/>
      <c r="AE37" s="1413"/>
      <c r="AF37" s="1413"/>
      <c r="AG37" s="1413"/>
      <c r="AH37" s="1413"/>
      <c r="AI37" s="1413"/>
      <c r="AJ37" s="1413"/>
      <c r="AK37" s="1413"/>
      <c r="AL37" s="1413"/>
      <c r="AM37" s="1413"/>
      <c r="AN37" s="1413"/>
      <c r="AO37" s="1413"/>
      <c r="AP37" s="1413"/>
      <c r="AQ37" s="1413"/>
      <c r="AR37" s="1413"/>
      <c r="AS37" s="1413"/>
      <c r="AT37" s="1413"/>
      <c r="AZ37" s="20"/>
      <c r="BD37" s="1250" t="s">
        <v>2536</v>
      </c>
      <c r="BE37" s="1252" t="str">
        <f>Application!T189</f>
        <v>Los Angeles</v>
      </c>
    </row>
    <row r="38" spans="1:57" ht="12.95" customHeight="1">
      <c r="A38" s="3"/>
      <c r="AZ38" s="20"/>
      <c r="BD38" s="1251" t="s">
        <v>2537</v>
      </c>
      <c r="BE38" s="1252">
        <f>Application!I190</f>
        <v>90005</v>
      </c>
    </row>
    <row r="39" spans="1:57" ht="12.95" customHeight="1">
      <c r="A39" s="1260" t="s">
        <v>2151</v>
      </c>
      <c r="B39" s="1260"/>
      <c r="C39" s="1260"/>
      <c r="D39" s="1260"/>
      <c r="E39" s="1260"/>
      <c r="F39" s="1260"/>
      <c r="G39" s="1260"/>
      <c r="H39" s="1260"/>
      <c r="I39" s="1260"/>
      <c r="J39" s="1260"/>
      <c r="K39" s="1260"/>
      <c r="L39" s="1260"/>
      <c r="M39" s="1260"/>
      <c r="N39" s="1260"/>
      <c r="O39" s="1260"/>
      <c r="P39" s="1260"/>
      <c r="Q39" s="1260"/>
      <c r="R39" s="1260"/>
      <c r="S39" s="1260"/>
      <c r="T39" s="1260"/>
      <c r="U39" s="1260"/>
      <c r="V39" s="1260"/>
      <c r="W39" s="1260"/>
      <c r="X39" s="1260"/>
      <c r="Y39" s="1260"/>
      <c r="Z39" s="1260"/>
      <c r="AA39" s="1260"/>
      <c r="AB39" s="1260"/>
      <c r="AC39" s="1260"/>
      <c r="AD39" s="1260"/>
      <c r="AE39" s="1260"/>
      <c r="AF39" s="1260"/>
      <c r="AG39" s="1260"/>
      <c r="AH39" s="1260"/>
      <c r="AI39" s="1260"/>
      <c r="AJ39" s="1260"/>
      <c r="AK39" s="1260"/>
      <c r="AL39" s="1260"/>
      <c r="AM39" s="1260"/>
      <c r="AN39" s="1260"/>
      <c r="AO39" s="1260"/>
      <c r="AP39" s="1260"/>
      <c r="AQ39" s="1260"/>
      <c r="AR39" s="1260"/>
      <c r="AS39" s="1260"/>
      <c r="AT39" s="1260"/>
      <c r="AZ39" s="20"/>
      <c r="BD39" s="1250" t="s">
        <v>2538</v>
      </c>
      <c r="BE39" s="1252">
        <f>Application!AG437</f>
        <v>232</v>
      </c>
    </row>
    <row r="40" spans="1:57" ht="12.95" customHeight="1">
      <c r="A40" s="1260"/>
      <c r="B40" s="1260"/>
      <c r="C40" s="1260"/>
      <c r="D40" s="1260"/>
      <c r="E40" s="1260"/>
      <c r="F40" s="1260"/>
      <c r="G40" s="1260"/>
      <c r="H40" s="1260"/>
      <c r="I40" s="1260"/>
      <c r="J40" s="1260"/>
      <c r="K40" s="1260"/>
      <c r="L40" s="1260"/>
      <c r="M40" s="1260"/>
      <c r="N40" s="1260"/>
      <c r="O40" s="1260"/>
      <c r="P40" s="1260"/>
      <c r="Q40" s="1260"/>
      <c r="R40" s="1260"/>
      <c r="S40" s="1260"/>
      <c r="T40" s="1260"/>
      <c r="U40" s="1260"/>
      <c r="V40" s="1260"/>
      <c r="W40" s="1260"/>
      <c r="X40" s="1260"/>
      <c r="Y40" s="1260"/>
      <c r="Z40" s="1260"/>
      <c r="AA40" s="1260"/>
      <c r="AB40" s="1260"/>
      <c r="AC40" s="1260"/>
      <c r="AD40" s="1260"/>
      <c r="AE40" s="1260"/>
      <c r="AF40" s="1260"/>
      <c r="AG40" s="1260"/>
      <c r="AH40" s="1260"/>
      <c r="AI40" s="1260"/>
      <c r="AJ40" s="1260"/>
      <c r="AK40" s="1260"/>
      <c r="AL40" s="1260"/>
      <c r="AM40" s="1260"/>
      <c r="AN40" s="1260"/>
      <c r="AO40" s="1260"/>
      <c r="AP40" s="1260"/>
      <c r="AQ40" s="1260"/>
      <c r="AR40" s="1260"/>
      <c r="AS40" s="1260"/>
      <c r="AT40" s="1260"/>
      <c r="AU40" s="20"/>
      <c r="AV40" s="20"/>
      <c r="AW40" s="20"/>
      <c r="AX40" s="20"/>
      <c r="AY40" s="20"/>
      <c r="AZ40" s="20"/>
      <c r="BD40" s="1251" t="s">
        <v>383</v>
      </c>
      <c r="BE40" s="1252">
        <f>Application!AG440</f>
        <v>230</v>
      </c>
    </row>
    <row r="41" spans="1:57" ht="12.95" customHeight="1">
      <c r="A41" s="1260"/>
      <c r="B41" s="1260"/>
      <c r="C41" s="1260"/>
      <c r="D41" s="1260"/>
      <c r="E41" s="1260"/>
      <c r="F41" s="1260"/>
      <c r="G41" s="1260"/>
      <c r="H41" s="1260"/>
      <c r="I41" s="1260"/>
      <c r="J41" s="1260"/>
      <c r="K41" s="1260"/>
      <c r="L41" s="1260"/>
      <c r="M41" s="1260"/>
      <c r="N41" s="1260"/>
      <c r="O41" s="1260"/>
      <c r="P41" s="1260"/>
      <c r="Q41" s="1260"/>
      <c r="R41" s="1260"/>
      <c r="S41" s="1260"/>
      <c r="T41" s="1260"/>
      <c r="U41" s="1260"/>
      <c r="V41" s="1260"/>
      <c r="W41" s="1260"/>
      <c r="X41" s="1260"/>
      <c r="Y41" s="1260"/>
      <c r="Z41" s="1260"/>
      <c r="AA41" s="1260"/>
      <c r="AB41" s="1260"/>
      <c r="AC41" s="1260"/>
      <c r="AD41" s="1260"/>
      <c r="AE41" s="1260"/>
      <c r="AF41" s="1260"/>
      <c r="AG41" s="1260"/>
      <c r="AH41" s="1260"/>
      <c r="AI41" s="1260"/>
      <c r="AJ41" s="1260"/>
      <c r="AK41" s="1260"/>
      <c r="AL41" s="1260"/>
      <c r="AM41" s="1260"/>
      <c r="AN41" s="1260"/>
      <c r="AO41" s="1260"/>
      <c r="AP41" s="1260"/>
      <c r="AQ41" s="1260"/>
      <c r="AR41" s="1260"/>
      <c r="AS41" s="1260"/>
      <c r="AT41" s="1260"/>
      <c r="AU41" s="20"/>
      <c r="AV41" s="20"/>
      <c r="AW41" s="20"/>
      <c r="AX41" s="20"/>
      <c r="AY41" s="20"/>
      <c r="AZ41" s="20"/>
      <c r="BD41" s="1250" t="s">
        <v>286</v>
      </c>
      <c r="BE41" s="1252">
        <f>Application!AG438</f>
        <v>0</v>
      </c>
    </row>
    <row r="42" spans="1:57" ht="12.95" customHeight="1">
      <c r="A42" s="1260"/>
      <c r="B42" s="1260"/>
      <c r="C42" s="1260"/>
      <c r="D42" s="1260"/>
      <c r="E42" s="1260"/>
      <c r="F42" s="1260"/>
      <c r="G42" s="1260"/>
      <c r="H42" s="1260"/>
      <c r="I42" s="1260"/>
      <c r="J42" s="1260"/>
      <c r="K42" s="1260"/>
      <c r="L42" s="1260"/>
      <c r="M42" s="1260"/>
      <c r="N42" s="1260"/>
      <c r="O42" s="1260"/>
      <c r="P42" s="1260"/>
      <c r="Q42" s="1260"/>
      <c r="R42" s="1260"/>
      <c r="S42" s="1260"/>
      <c r="T42" s="1260"/>
      <c r="U42" s="1260"/>
      <c r="V42" s="1260"/>
      <c r="W42" s="1260"/>
      <c r="X42" s="1260"/>
      <c r="Y42" s="1260"/>
      <c r="Z42" s="1260"/>
      <c r="AA42" s="1260"/>
      <c r="AB42" s="1260"/>
      <c r="AC42" s="1260"/>
      <c r="AD42" s="1260"/>
      <c r="AE42" s="1260"/>
      <c r="AF42" s="1260"/>
      <c r="AG42" s="1260"/>
      <c r="AH42" s="1260"/>
      <c r="AI42" s="1260"/>
      <c r="AJ42" s="1260"/>
      <c r="AK42" s="1260"/>
      <c r="AL42" s="1260"/>
      <c r="AM42" s="1260"/>
      <c r="AN42" s="1260"/>
      <c r="AO42" s="1260"/>
      <c r="AP42" s="1260"/>
      <c r="AQ42" s="1260"/>
      <c r="AR42" s="1260"/>
      <c r="AS42" s="1260"/>
      <c r="AT42" s="1260"/>
      <c r="AZ42" s="20"/>
      <c r="BD42" s="1251" t="s">
        <v>2539</v>
      </c>
      <c r="BE42" s="1254">
        <f>Application!AC753</f>
        <v>0.58260869565217388</v>
      </c>
    </row>
    <row r="43" spans="1:57" ht="12.95" customHeight="1">
      <c r="A43" s="1260"/>
      <c r="B43" s="1260"/>
      <c r="C43" s="1260"/>
      <c r="D43" s="1260"/>
      <c r="E43" s="1260"/>
      <c r="F43" s="1260"/>
      <c r="G43" s="1260"/>
      <c r="H43" s="1260"/>
      <c r="I43" s="1260"/>
      <c r="J43" s="1260"/>
      <c r="K43" s="1260"/>
      <c r="L43" s="1260"/>
      <c r="M43" s="1260"/>
      <c r="N43" s="1260"/>
      <c r="O43" s="1260"/>
      <c r="P43" s="1260"/>
      <c r="Q43" s="1260"/>
      <c r="R43" s="1260"/>
      <c r="S43" s="1260"/>
      <c r="T43" s="1260"/>
      <c r="U43" s="1260"/>
      <c r="V43" s="1260"/>
      <c r="W43" s="1260"/>
      <c r="X43" s="1260"/>
      <c r="Y43" s="1260"/>
      <c r="Z43" s="1260"/>
      <c r="AA43" s="1260"/>
      <c r="AB43" s="1260"/>
      <c r="AC43" s="1260"/>
      <c r="AD43" s="1260"/>
      <c r="AE43" s="1260"/>
      <c r="AF43" s="1260"/>
      <c r="AG43" s="1260"/>
      <c r="AH43" s="1260"/>
      <c r="AI43" s="1260"/>
      <c r="AJ43" s="1260"/>
      <c r="AK43" s="1260"/>
      <c r="AL43" s="1260"/>
      <c r="AM43" s="1260"/>
      <c r="AN43" s="1260"/>
      <c r="AO43" s="1260"/>
      <c r="AP43" s="1260"/>
      <c r="AQ43" s="1260"/>
      <c r="AR43" s="1260"/>
      <c r="AS43" s="1260"/>
      <c r="AT43" s="1260"/>
      <c r="AU43" s="20"/>
      <c r="AV43" s="20"/>
      <c r="AW43" s="20"/>
      <c r="AX43" s="20"/>
      <c r="AY43" s="20"/>
      <c r="AZ43" s="20"/>
      <c r="BD43" s="1250" t="s">
        <v>2540</v>
      </c>
      <c r="BE43" s="1254">
        <f>Application!AH753</f>
        <v>0.58265529230438362</v>
      </c>
    </row>
    <row r="44" spans="1:57" ht="12.95" customHeight="1">
      <c r="A44" s="1260"/>
      <c r="B44" s="1260"/>
      <c r="C44" s="1260"/>
      <c r="D44" s="1260"/>
      <c r="E44" s="1260"/>
      <c r="F44" s="1260"/>
      <c r="G44" s="1260"/>
      <c r="H44" s="1260"/>
      <c r="I44" s="1260"/>
      <c r="J44" s="1260"/>
      <c r="K44" s="1260"/>
      <c r="L44" s="1260"/>
      <c r="M44" s="1260"/>
      <c r="N44" s="1260"/>
      <c r="O44" s="1260"/>
      <c r="P44" s="1260"/>
      <c r="Q44" s="1260"/>
      <c r="R44" s="1260"/>
      <c r="S44" s="1260"/>
      <c r="T44" s="1260"/>
      <c r="U44" s="1260"/>
      <c r="V44" s="1260"/>
      <c r="W44" s="1260"/>
      <c r="X44" s="1260"/>
      <c r="Y44" s="1260"/>
      <c r="Z44" s="1260"/>
      <c r="AA44" s="1260"/>
      <c r="AB44" s="1260"/>
      <c r="AC44" s="1260"/>
      <c r="AD44" s="1260"/>
      <c r="AE44" s="1260"/>
      <c r="AF44" s="1260"/>
      <c r="AG44" s="1260"/>
      <c r="AH44" s="1260"/>
      <c r="AI44" s="1260"/>
      <c r="AJ44" s="1260"/>
      <c r="AK44" s="1260"/>
      <c r="AL44" s="1260"/>
      <c r="AM44" s="1260"/>
      <c r="AN44" s="1260"/>
      <c r="AO44" s="1260"/>
      <c r="AP44" s="1260"/>
      <c r="AQ44" s="1260"/>
      <c r="AR44" s="1260"/>
      <c r="AS44" s="1260"/>
      <c r="AT44" s="1260"/>
      <c r="AU44" s="20"/>
      <c r="AV44" s="20"/>
      <c r="AW44" s="20"/>
      <c r="AX44" s="20"/>
      <c r="AY44" s="20"/>
      <c r="AZ44" s="20"/>
      <c r="BD44" s="1251" t="s">
        <v>2541</v>
      </c>
      <c r="BE44" s="1252">
        <f>Application!AC454</f>
        <v>371511.80172413791</v>
      </c>
    </row>
    <row r="45" spans="1:57" ht="12.95" customHeight="1">
      <c r="A45" s="520"/>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250" t="s">
        <v>2542</v>
      </c>
      <c r="BE45" s="1252">
        <f>Application!AE424</f>
        <v>1</v>
      </c>
    </row>
    <row r="46" spans="1:57" ht="12.95" customHeight="1">
      <c r="A46" s="1290" t="s">
        <v>2152</v>
      </c>
      <c r="B46" s="1290"/>
      <c r="C46" s="1290"/>
      <c r="D46" s="1290"/>
      <c r="E46" s="1290"/>
      <c r="F46" s="1290"/>
      <c r="G46" s="1290"/>
      <c r="H46" s="1290"/>
      <c r="I46" s="1290"/>
      <c r="J46" s="1290"/>
      <c r="K46" s="1290"/>
      <c r="L46" s="1290"/>
      <c r="M46" s="1290"/>
      <c r="N46" s="1290"/>
      <c r="O46" s="1290"/>
      <c r="P46" s="1290"/>
      <c r="Q46" s="1290"/>
      <c r="R46" s="1290"/>
      <c r="S46" s="1290"/>
      <c r="T46" s="1290"/>
      <c r="U46" s="1290"/>
      <c r="V46" s="1290"/>
      <c r="W46" s="1290"/>
      <c r="X46" s="1290"/>
      <c r="Y46" s="1290"/>
      <c r="Z46" s="1290"/>
      <c r="AA46" s="1290"/>
      <c r="AB46" s="1290"/>
      <c r="AC46" s="1290"/>
      <c r="AD46" s="1290"/>
      <c r="AE46" s="1290"/>
      <c r="AF46" s="1290"/>
      <c r="AG46" s="1290"/>
      <c r="AH46" s="1290"/>
      <c r="AI46" s="1290"/>
      <c r="AJ46" s="1290"/>
      <c r="AK46" s="1290"/>
      <c r="AL46" s="1290"/>
      <c r="AM46" s="1290"/>
      <c r="AN46" s="1290"/>
      <c r="AO46" s="1290"/>
      <c r="AP46" s="1290"/>
      <c r="AQ46" s="1290"/>
      <c r="AR46" s="1290"/>
      <c r="AS46" s="1290"/>
      <c r="AT46" s="1290"/>
      <c r="AU46" s="20"/>
      <c r="AV46" s="20"/>
      <c r="AW46" s="20"/>
      <c r="AX46" s="20"/>
      <c r="AY46" s="20"/>
      <c r="AZ46" s="20"/>
      <c r="BD46" s="1251" t="s">
        <v>2543</v>
      </c>
      <c r="BE46" s="1252" t="b">
        <f>Application!T195="Yes"</f>
        <v>0</v>
      </c>
    </row>
    <row r="47" spans="1:57" ht="12.95" customHeight="1">
      <c r="A47" s="1290"/>
      <c r="B47" s="1290"/>
      <c r="C47" s="1290"/>
      <c r="D47" s="1290"/>
      <c r="E47" s="1290"/>
      <c r="F47" s="1290"/>
      <c r="G47" s="1290"/>
      <c r="H47" s="1290"/>
      <c r="I47" s="1290"/>
      <c r="J47" s="1290"/>
      <c r="K47" s="1290"/>
      <c r="L47" s="1290"/>
      <c r="M47" s="1290"/>
      <c r="N47" s="1290"/>
      <c r="O47" s="1290"/>
      <c r="P47" s="1290"/>
      <c r="Q47" s="1290"/>
      <c r="R47" s="1290"/>
      <c r="S47" s="1290"/>
      <c r="T47" s="1290"/>
      <c r="U47" s="1290"/>
      <c r="V47" s="1290"/>
      <c r="W47" s="1290"/>
      <c r="X47" s="1290"/>
      <c r="Y47" s="1290"/>
      <c r="Z47" s="1290"/>
      <c r="AA47" s="1290"/>
      <c r="AB47" s="1290"/>
      <c r="AC47" s="1290"/>
      <c r="AD47" s="1290"/>
      <c r="AE47" s="1290"/>
      <c r="AF47" s="1290"/>
      <c r="AG47" s="1290"/>
      <c r="AH47" s="1290"/>
      <c r="AI47" s="1290"/>
      <c r="AJ47" s="1290"/>
      <c r="AK47" s="1290"/>
      <c r="AL47" s="1290"/>
      <c r="AM47" s="1290"/>
      <c r="AN47" s="1290"/>
      <c r="AO47" s="1290"/>
      <c r="AP47" s="1290"/>
      <c r="AQ47" s="1290"/>
      <c r="AR47" s="1290"/>
      <c r="AS47" s="1290"/>
      <c r="AT47" s="1290"/>
      <c r="AU47" s="20"/>
      <c r="AV47" s="20"/>
      <c r="AW47" s="20"/>
      <c r="AX47" s="20"/>
      <c r="AY47" s="20"/>
      <c r="AZ47" s="20"/>
      <c r="BD47" s="1250" t="s">
        <v>2544</v>
      </c>
      <c r="BE47" s="1252" t="b">
        <f>Application!T196="Yes"</f>
        <v>1</v>
      </c>
    </row>
    <row r="48" spans="1:57" ht="12.95" customHeight="1">
      <c r="A48" s="1290"/>
      <c r="B48" s="1290"/>
      <c r="C48" s="1290"/>
      <c r="D48" s="1290"/>
      <c r="E48" s="1290"/>
      <c r="F48" s="1290"/>
      <c r="G48" s="1290"/>
      <c r="H48" s="1290"/>
      <c r="I48" s="1290"/>
      <c r="J48" s="1290"/>
      <c r="K48" s="1290"/>
      <c r="L48" s="1290"/>
      <c r="M48" s="1290"/>
      <c r="N48" s="1290"/>
      <c r="O48" s="1290"/>
      <c r="P48" s="1290"/>
      <c r="Q48" s="1290"/>
      <c r="R48" s="1290"/>
      <c r="S48" s="1290"/>
      <c r="T48" s="1290"/>
      <c r="U48" s="1290"/>
      <c r="V48" s="1290"/>
      <c r="W48" s="1290"/>
      <c r="X48" s="1290"/>
      <c r="Y48" s="1290"/>
      <c r="Z48" s="1290"/>
      <c r="AA48" s="1290"/>
      <c r="AB48" s="1290"/>
      <c r="AC48" s="1290"/>
      <c r="AD48" s="1290"/>
      <c r="AE48" s="1290"/>
      <c r="AF48" s="1290"/>
      <c r="AG48" s="1290"/>
      <c r="AH48" s="1290"/>
      <c r="AI48" s="1290"/>
      <c r="AJ48" s="1290"/>
      <c r="AK48" s="1290"/>
      <c r="AL48" s="1290"/>
      <c r="AM48" s="1290"/>
      <c r="AN48" s="1290"/>
      <c r="AO48" s="1290"/>
      <c r="AP48" s="1290"/>
      <c r="AQ48" s="1290"/>
      <c r="AR48" s="1290"/>
      <c r="AS48" s="1290"/>
      <c r="AT48" s="1290"/>
      <c r="AU48" s="20"/>
      <c r="AV48" s="20"/>
      <c r="AW48" s="20"/>
      <c r="AX48" s="20"/>
      <c r="AY48" s="20"/>
      <c r="AZ48" s="20"/>
      <c r="BD48" s="1251" t="s">
        <v>2545</v>
      </c>
      <c r="BE48" s="1252" t="str">
        <f>Application!M243</f>
        <v>Francis AGP LLC</v>
      </c>
    </row>
    <row r="49" spans="1:57" ht="12.95" customHeight="1">
      <c r="A49" s="1290"/>
      <c r="B49" s="1290"/>
      <c r="C49" s="1290"/>
      <c r="D49" s="1290"/>
      <c r="E49" s="1290"/>
      <c r="F49" s="1290"/>
      <c r="G49" s="1290"/>
      <c r="H49" s="1290"/>
      <c r="I49" s="1290"/>
      <c r="J49" s="1290"/>
      <c r="K49" s="1290"/>
      <c r="L49" s="1290"/>
      <c r="M49" s="1290"/>
      <c r="N49" s="1290"/>
      <c r="O49" s="1290"/>
      <c r="P49" s="1290"/>
      <c r="Q49" s="1290"/>
      <c r="R49" s="1290"/>
      <c r="S49" s="1290"/>
      <c r="T49" s="1290"/>
      <c r="U49" s="1290"/>
      <c r="V49" s="1290"/>
      <c r="W49" s="1290"/>
      <c r="X49" s="1290"/>
      <c r="Y49" s="1290"/>
      <c r="Z49" s="1290"/>
      <c r="AA49" s="1290"/>
      <c r="AB49" s="1290"/>
      <c r="AC49" s="1290"/>
      <c r="AD49" s="1290"/>
      <c r="AE49" s="1290"/>
      <c r="AF49" s="1290"/>
      <c r="AG49" s="1290"/>
      <c r="AH49" s="1290"/>
      <c r="AI49" s="1290"/>
      <c r="AJ49" s="1290"/>
      <c r="AK49" s="1290"/>
      <c r="AL49" s="1290"/>
      <c r="AM49" s="1290"/>
      <c r="AN49" s="1290"/>
      <c r="AO49" s="1290"/>
      <c r="AP49" s="1290"/>
      <c r="AQ49" s="1290"/>
      <c r="AR49" s="1290"/>
      <c r="AS49" s="1290"/>
      <c r="AT49" s="1290"/>
      <c r="AU49" s="20"/>
      <c r="AV49" s="20"/>
      <c r="AW49" s="20"/>
      <c r="AX49" s="20"/>
      <c r="AY49" s="20"/>
      <c r="AZ49" s="20"/>
      <c r="BD49" s="1250" t="s">
        <v>2546</v>
      </c>
      <c r="BE49" s="1252" t="str">
        <f>Application!M246</f>
        <v>Sydne Garchik</v>
      </c>
    </row>
    <row r="50" spans="1:57" ht="12.95" customHeight="1">
      <c r="A50" s="456"/>
      <c r="B50" s="456"/>
      <c r="C50" s="456"/>
      <c r="D50" s="456"/>
      <c r="E50" s="456"/>
      <c r="F50" s="456"/>
      <c r="G50" s="456"/>
      <c r="H50" s="456"/>
      <c r="I50" s="456"/>
      <c r="J50" s="456"/>
      <c r="K50" s="456"/>
      <c r="L50" s="456"/>
      <c r="M50" s="456"/>
      <c r="N50" s="456"/>
      <c r="O50" s="456"/>
      <c r="P50" s="456"/>
      <c r="Q50" s="456"/>
      <c r="R50" s="456"/>
      <c r="S50" s="456"/>
      <c r="T50" s="456"/>
      <c r="U50" s="456"/>
      <c r="V50" s="456"/>
      <c r="W50" s="456"/>
      <c r="X50" s="456"/>
      <c r="Y50" s="456"/>
      <c r="Z50" s="456"/>
      <c r="AA50" s="456"/>
      <c r="AB50" s="456"/>
      <c r="AC50" s="456"/>
      <c r="AD50" s="456"/>
      <c r="AE50" s="456"/>
      <c r="AF50" s="456"/>
      <c r="AG50" s="456"/>
      <c r="AH50" s="456"/>
      <c r="AI50" s="456"/>
      <c r="AJ50" s="456"/>
      <c r="AK50" s="456"/>
      <c r="AL50" s="456"/>
      <c r="AM50" s="456"/>
      <c r="AN50" s="456"/>
      <c r="AO50" s="456"/>
      <c r="AP50" s="456"/>
      <c r="AQ50" s="456"/>
      <c r="AR50" s="456"/>
      <c r="AS50" s="456"/>
      <c r="AT50" s="456"/>
      <c r="AU50" s="20"/>
      <c r="AV50" s="20"/>
      <c r="AW50" s="20"/>
      <c r="AX50" s="20"/>
      <c r="AY50" s="20"/>
      <c r="AZ50" s="20"/>
      <c r="BD50" s="1251" t="s">
        <v>2547</v>
      </c>
      <c r="BE50" s="1252" t="str">
        <f>Application!AA249</f>
        <v xml:space="preserve">MRK Partners, Inc. </v>
      </c>
    </row>
    <row r="51" spans="1:57" ht="12.95" customHeight="1">
      <c r="A51" s="1260" t="s">
        <v>2153</v>
      </c>
      <c r="B51" s="1260"/>
      <c r="C51" s="1260"/>
      <c r="D51" s="1260"/>
      <c r="E51" s="1260"/>
      <c r="F51" s="1260"/>
      <c r="G51" s="1260"/>
      <c r="H51" s="1260"/>
      <c r="I51" s="1260"/>
      <c r="J51" s="1260"/>
      <c r="K51" s="1260"/>
      <c r="L51" s="1260"/>
      <c r="M51" s="1260"/>
      <c r="N51" s="1260"/>
      <c r="O51" s="1260"/>
      <c r="P51" s="1260"/>
      <c r="Q51" s="1260"/>
      <c r="R51" s="1260"/>
      <c r="S51" s="1260"/>
      <c r="T51" s="1260"/>
      <c r="U51" s="1260"/>
      <c r="V51" s="1260"/>
      <c r="W51" s="1260"/>
      <c r="X51" s="1260"/>
      <c r="Y51" s="1260"/>
      <c r="Z51" s="1260"/>
      <c r="AA51" s="1260"/>
      <c r="AB51" s="1260"/>
      <c r="AC51" s="1260"/>
      <c r="AD51" s="1260"/>
      <c r="AE51" s="1260"/>
      <c r="AF51" s="1260"/>
      <c r="AG51" s="1260"/>
      <c r="AH51" s="1260"/>
      <c r="AI51" s="1260"/>
      <c r="AJ51" s="1260"/>
      <c r="AK51" s="1260"/>
      <c r="AL51" s="1260"/>
      <c r="AM51" s="1260"/>
      <c r="AN51" s="1260"/>
      <c r="AO51" s="1260"/>
      <c r="AP51" s="1260"/>
      <c r="AQ51" s="1260"/>
      <c r="AR51" s="1260"/>
      <c r="AS51" s="1260"/>
      <c r="AT51" s="1260"/>
      <c r="AU51" s="20"/>
      <c r="AV51" s="20"/>
      <c r="AW51" s="20"/>
      <c r="AX51" s="20"/>
      <c r="AY51" s="20"/>
      <c r="AZ51" s="20"/>
      <c r="BD51" s="1250" t="s">
        <v>2548</v>
      </c>
      <c r="BE51" s="1252" t="str">
        <f>Application!M251</f>
        <v>Pacific Southwest Community Development Corporation, a California nonprofit public benefit corporation</v>
      </c>
    </row>
    <row r="52" spans="1:57" ht="12.95" customHeight="1">
      <c r="A52" s="1260"/>
      <c r="B52" s="1260"/>
      <c r="C52" s="1260"/>
      <c r="D52" s="1260"/>
      <c r="E52" s="1260"/>
      <c r="F52" s="1260"/>
      <c r="G52" s="1260"/>
      <c r="H52" s="1260"/>
      <c r="I52" s="1260"/>
      <c r="J52" s="1260"/>
      <c r="K52" s="1260"/>
      <c r="L52" s="1260"/>
      <c r="M52" s="1260"/>
      <c r="N52" s="1260"/>
      <c r="O52" s="1260"/>
      <c r="P52" s="1260"/>
      <c r="Q52" s="1260"/>
      <c r="R52" s="1260"/>
      <c r="S52" s="1260"/>
      <c r="T52" s="1260"/>
      <c r="U52" s="1260"/>
      <c r="V52" s="1260"/>
      <c r="W52" s="1260"/>
      <c r="X52" s="1260"/>
      <c r="Y52" s="1260"/>
      <c r="Z52" s="1260"/>
      <c r="AA52" s="1260"/>
      <c r="AB52" s="1260"/>
      <c r="AC52" s="1260"/>
      <c r="AD52" s="1260"/>
      <c r="AE52" s="1260"/>
      <c r="AF52" s="1260"/>
      <c r="AG52" s="1260"/>
      <c r="AH52" s="1260"/>
      <c r="AI52" s="1260"/>
      <c r="AJ52" s="1260"/>
      <c r="AK52" s="1260"/>
      <c r="AL52" s="1260"/>
      <c r="AM52" s="1260"/>
      <c r="AN52" s="1260"/>
      <c r="AO52" s="1260"/>
      <c r="AP52" s="1260"/>
      <c r="AQ52" s="1260"/>
      <c r="AR52" s="1260"/>
      <c r="AS52" s="1260"/>
      <c r="AT52" s="1260"/>
      <c r="AU52" s="20"/>
      <c r="AV52" s="20"/>
      <c r="AW52" s="20"/>
      <c r="AX52" s="20"/>
      <c r="AY52" s="20"/>
      <c r="AZ52" s="20"/>
      <c r="BD52" s="1251" t="s">
        <v>2549</v>
      </c>
      <c r="BE52" s="1252" t="str">
        <f>Application!M254</f>
        <v>Robert Laing</v>
      </c>
    </row>
    <row r="53" spans="1:57"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250" t="s">
        <v>2550</v>
      </c>
      <c r="BE53" s="1252" t="str">
        <f>Application!AA257</f>
        <v>Pacific Southwest Community Development Corporation, a California nonprofit public benefit corporation</v>
      </c>
    </row>
    <row r="54" spans="1:57" ht="12.95" customHeight="1">
      <c r="A54" s="1260" t="s">
        <v>2154</v>
      </c>
      <c r="B54" s="1260"/>
      <c r="C54" s="1260"/>
      <c r="D54" s="1260"/>
      <c r="E54" s="1260"/>
      <c r="F54" s="1260"/>
      <c r="G54" s="1260"/>
      <c r="H54" s="1260"/>
      <c r="I54" s="1260"/>
      <c r="J54" s="1260"/>
      <c r="K54" s="1260"/>
      <c r="L54" s="1260"/>
      <c r="M54" s="1260"/>
      <c r="N54" s="1260"/>
      <c r="O54" s="1260"/>
      <c r="P54" s="1260"/>
      <c r="Q54" s="1260"/>
      <c r="R54" s="1260"/>
      <c r="S54" s="1260"/>
      <c r="T54" s="1260"/>
      <c r="U54" s="1260"/>
      <c r="V54" s="1260"/>
      <c r="W54" s="1260"/>
      <c r="X54" s="1260"/>
      <c r="Y54" s="1260"/>
      <c r="Z54" s="1260"/>
      <c r="AA54" s="1260"/>
      <c r="AB54" s="1260"/>
      <c r="AC54" s="1260"/>
      <c r="AD54" s="1260"/>
      <c r="AE54" s="1260"/>
      <c r="AF54" s="1260"/>
      <c r="AG54" s="1260"/>
      <c r="AH54" s="1260"/>
      <c r="AI54" s="1260"/>
      <c r="AJ54" s="1260"/>
      <c r="AK54" s="1260"/>
      <c r="AL54" s="1260"/>
      <c r="AM54" s="1260"/>
      <c r="AN54" s="1260"/>
      <c r="AO54" s="1260"/>
      <c r="AP54" s="1260"/>
      <c r="AQ54" s="1260"/>
      <c r="AR54" s="1260"/>
      <c r="AS54" s="1260"/>
      <c r="AT54" s="1260"/>
      <c r="AU54" s="20"/>
      <c r="AV54" s="20"/>
      <c r="AW54" s="20"/>
      <c r="AX54" s="20"/>
      <c r="AY54" s="20"/>
      <c r="AZ54" s="21"/>
      <c r="BD54" s="1251" t="s">
        <v>2551</v>
      </c>
      <c r="BE54" s="1252">
        <f>Application!M259</f>
        <v>0</v>
      </c>
    </row>
    <row r="55" spans="1:57" ht="12.95" customHeight="1">
      <c r="A55" s="1260"/>
      <c r="B55" s="1260"/>
      <c r="C55" s="1260"/>
      <c r="D55" s="1260"/>
      <c r="E55" s="1260"/>
      <c r="F55" s="1260"/>
      <c r="G55" s="1260"/>
      <c r="H55" s="1260"/>
      <c r="I55" s="1260"/>
      <c r="J55" s="1260"/>
      <c r="K55" s="1260"/>
      <c r="L55" s="1260"/>
      <c r="M55" s="1260"/>
      <c r="N55" s="1260"/>
      <c r="O55" s="1260"/>
      <c r="P55" s="1260"/>
      <c r="Q55" s="1260"/>
      <c r="R55" s="1260"/>
      <c r="S55" s="1260"/>
      <c r="T55" s="1260"/>
      <c r="U55" s="1260"/>
      <c r="V55" s="1260"/>
      <c r="W55" s="1260"/>
      <c r="X55" s="1260"/>
      <c r="Y55" s="1260"/>
      <c r="Z55" s="1260"/>
      <c r="AA55" s="1260"/>
      <c r="AB55" s="1260"/>
      <c r="AC55" s="1260"/>
      <c r="AD55" s="1260"/>
      <c r="AE55" s="1260"/>
      <c r="AF55" s="1260"/>
      <c r="AG55" s="1260"/>
      <c r="AH55" s="1260"/>
      <c r="AI55" s="1260"/>
      <c r="AJ55" s="1260"/>
      <c r="AK55" s="1260"/>
      <c r="AL55" s="1260"/>
      <c r="AM55" s="1260"/>
      <c r="AN55" s="1260"/>
      <c r="AO55" s="1260"/>
      <c r="AP55" s="1260"/>
      <c r="AQ55" s="1260"/>
      <c r="AR55" s="1260"/>
      <c r="AS55" s="1260"/>
      <c r="AT55" s="1260"/>
      <c r="AZ55" s="21"/>
      <c r="BD55" s="1250" t="s">
        <v>2552</v>
      </c>
      <c r="BE55" s="1252">
        <f>Application!M262</f>
        <v>0</v>
      </c>
    </row>
    <row r="56" spans="1:57" ht="12.95" customHeight="1">
      <c r="A56" s="1260"/>
      <c r="B56" s="1260"/>
      <c r="C56" s="1260"/>
      <c r="D56" s="1260"/>
      <c r="E56" s="1260"/>
      <c r="F56" s="1260"/>
      <c r="G56" s="1260"/>
      <c r="H56" s="1260"/>
      <c r="I56" s="1260"/>
      <c r="J56" s="1260"/>
      <c r="K56" s="1260"/>
      <c r="L56" s="1260"/>
      <c r="M56" s="1260"/>
      <c r="N56" s="1260"/>
      <c r="O56" s="1260"/>
      <c r="P56" s="1260"/>
      <c r="Q56" s="1260"/>
      <c r="R56" s="1260"/>
      <c r="S56" s="1260"/>
      <c r="T56" s="1260"/>
      <c r="U56" s="1260"/>
      <c r="V56" s="1260"/>
      <c r="W56" s="1260"/>
      <c r="X56" s="1260"/>
      <c r="Y56" s="1260"/>
      <c r="Z56" s="1260"/>
      <c r="AA56" s="1260"/>
      <c r="AB56" s="1260"/>
      <c r="AC56" s="1260"/>
      <c r="AD56" s="1260"/>
      <c r="AE56" s="1260"/>
      <c r="AF56" s="1260"/>
      <c r="AG56" s="1260"/>
      <c r="AH56" s="1260"/>
      <c r="AI56" s="1260"/>
      <c r="AJ56" s="1260"/>
      <c r="AK56" s="1260"/>
      <c r="AL56" s="1260"/>
      <c r="AM56" s="1260"/>
      <c r="AN56" s="1260"/>
      <c r="AO56" s="1260"/>
      <c r="AP56" s="1260"/>
      <c r="AQ56" s="1260"/>
      <c r="AR56" s="1260"/>
      <c r="AS56" s="1260"/>
      <c r="AT56" s="1260"/>
      <c r="BD56" s="1251" t="s">
        <v>2553</v>
      </c>
      <c r="BE56" s="1252">
        <f>Application!AA265</f>
        <v>0</v>
      </c>
    </row>
    <row r="57" spans="1:57" ht="12.95" customHeight="1">
      <c r="A57" s="1260"/>
      <c r="B57" s="1260"/>
      <c r="C57" s="1260"/>
      <c r="D57" s="1260"/>
      <c r="E57" s="1260"/>
      <c r="F57" s="1260"/>
      <c r="G57" s="1260"/>
      <c r="H57" s="1260"/>
      <c r="I57" s="1260"/>
      <c r="J57" s="1260"/>
      <c r="K57" s="1260"/>
      <c r="L57" s="1260"/>
      <c r="M57" s="1260"/>
      <c r="N57" s="1260"/>
      <c r="O57" s="1260"/>
      <c r="P57" s="1260"/>
      <c r="Q57" s="1260"/>
      <c r="R57" s="1260"/>
      <c r="S57" s="1260"/>
      <c r="T57" s="1260"/>
      <c r="U57" s="1260"/>
      <c r="V57" s="1260"/>
      <c r="W57" s="1260"/>
      <c r="X57" s="1260"/>
      <c r="Y57" s="1260"/>
      <c r="Z57" s="1260"/>
      <c r="AA57" s="1260"/>
      <c r="AB57" s="1260"/>
      <c r="AC57" s="1260"/>
      <c r="AD57" s="1260"/>
      <c r="AE57" s="1260"/>
      <c r="AF57" s="1260"/>
      <c r="AG57" s="1260"/>
      <c r="AH57" s="1260"/>
      <c r="AI57" s="1260"/>
      <c r="AJ57" s="1260"/>
      <c r="AK57" s="1260"/>
      <c r="AL57" s="1260"/>
      <c r="AM57" s="1260"/>
      <c r="AN57" s="1260"/>
      <c r="AO57" s="1260"/>
      <c r="AP57" s="1260"/>
      <c r="AQ57" s="1260"/>
      <c r="AR57" s="1260"/>
      <c r="AS57" s="1260"/>
      <c r="AT57" s="1260"/>
      <c r="BD57" s="1250" t="s">
        <v>2554</v>
      </c>
      <c r="BE57" s="1252" t="str">
        <f>Application!H287</f>
        <v>MRK Partners, Inc.</v>
      </c>
    </row>
    <row r="58" spans="1:57" ht="12.95" customHeight="1">
      <c r="A58" s="1260"/>
      <c r="B58" s="1260"/>
      <c r="C58" s="1260"/>
      <c r="D58" s="1260"/>
      <c r="E58" s="1260"/>
      <c r="F58" s="1260"/>
      <c r="G58" s="1260"/>
      <c r="H58" s="1260"/>
      <c r="I58" s="1260"/>
      <c r="J58" s="1260"/>
      <c r="K58" s="1260"/>
      <c r="L58" s="1260"/>
      <c r="M58" s="1260"/>
      <c r="N58" s="1260"/>
      <c r="O58" s="1260"/>
      <c r="P58" s="1260"/>
      <c r="Q58" s="1260"/>
      <c r="R58" s="1260"/>
      <c r="S58" s="1260"/>
      <c r="T58" s="1260"/>
      <c r="U58" s="1260"/>
      <c r="V58" s="1260"/>
      <c r="W58" s="1260"/>
      <c r="X58" s="1260"/>
      <c r="Y58" s="1260"/>
      <c r="Z58" s="1260"/>
      <c r="AA58" s="1260"/>
      <c r="AB58" s="1260"/>
      <c r="AC58" s="1260"/>
      <c r="AD58" s="1260"/>
      <c r="AE58" s="1260"/>
      <c r="AF58" s="1260"/>
      <c r="AG58" s="1260"/>
      <c r="AH58" s="1260"/>
      <c r="AI58" s="1260"/>
      <c r="AJ58" s="1260"/>
      <c r="AK58" s="1260"/>
      <c r="AL58" s="1260"/>
      <c r="AM58" s="1260"/>
      <c r="AN58" s="1260"/>
      <c r="AO58" s="1260"/>
      <c r="AP58" s="1260"/>
      <c r="AQ58" s="1260"/>
      <c r="AR58" s="1260"/>
      <c r="AS58" s="1260"/>
      <c r="AT58" s="1260"/>
      <c r="BD58" s="1251" t="s">
        <v>2555</v>
      </c>
      <c r="BE58" s="1252" t="str">
        <f>Application!H288</f>
        <v>5230 Pacific Concourse Drive, Suite 350</v>
      </c>
    </row>
    <row r="59" spans="1:57" ht="12.95" customHeight="1">
      <c r="A59" s="520"/>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250" t="s">
        <v>2556</v>
      </c>
      <c r="BE59" s="1252" t="str">
        <f>Application!H289</f>
        <v>Los Angeles, CA 90045</v>
      </c>
    </row>
    <row r="60" spans="1:57" ht="12.95" customHeight="1">
      <c r="A60" s="1260" t="s">
        <v>2155</v>
      </c>
      <c r="B60" s="1260"/>
      <c r="C60" s="1260"/>
      <c r="D60" s="1260"/>
      <c r="E60" s="1260"/>
      <c r="F60" s="1260"/>
      <c r="G60" s="1260"/>
      <c r="H60" s="1260"/>
      <c r="I60" s="1260"/>
      <c r="J60" s="1260"/>
      <c r="K60" s="1260"/>
      <c r="L60" s="1260"/>
      <c r="M60" s="1260"/>
      <c r="N60" s="1260"/>
      <c r="O60" s="1260"/>
      <c r="P60" s="1260"/>
      <c r="Q60" s="1260"/>
      <c r="R60" s="1260"/>
      <c r="S60" s="1260"/>
      <c r="T60" s="1260"/>
      <c r="U60" s="1260"/>
      <c r="V60" s="1260"/>
      <c r="W60" s="1260"/>
      <c r="X60" s="1260"/>
      <c r="Y60" s="1260"/>
      <c r="Z60" s="1260"/>
      <c r="AA60" s="1260"/>
      <c r="AB60" s="1260"/>
      <c r="AC60" s="1260"/>
      <c r="AD60" s="1260"/>
      <c r="AE60" s="1260"/>
      <c r="AF60" s="1260"/>
      <c r="AG60" s="1260"/>
      <c r="AH60" s="1260"/>
      <c r="AI60" s="1260"/>
      <c r="AJ60" s="1260"/>
      <c r="AK60" s="1260"/>
      <c r="AL60" s="1260"/>
      <c r="AM60" s="1260"/>
      <c r="AN60" s="1260"/>
      <c r="AO60" s="1260"/>
      <c r="AP60" s="1260"/>
      <c r="AQ60" s="1260"/>
      <c r="AR60" s="1260"/>
      <c r="AS60" s="1260"/>
      <c r="AT60" s="1260"/>
      <c r="AU60" s="20"/>
      <c r="AV60" s="20"/>
      <c r="AW60" s="20"/>
      <c r="AX60" s="20"/>
      <c r="AY60" s="20"/>
      <c r="AZ60" s="20"/>
      <c r="BD60" s="1251" t="s">
        <v>2557</v>
      </c>
      <c r="BE60" s="1252" t="str">
        <f>Application!H290</f>
        <v>Sydne Garchik</v>
      </c>
    </row>
    <row r="61" spans="1:57" ht="12.95" customHeight="1">
      <c r="A61" s="1260"/>
      <c r="B61" s="1260"/>
      <c r="C61" s="1260"/>
      <c r="D61" s="1260"/>
      <c r="E61" s="1260"/>
      <c r="F61" s="1260"/>
      <c r="G61" s="1260"/>
      <c r="H61" s="1260"/>
      <c r="I61" s="1260"/>
      <c r="J61" s="1260"/>
      <c r="K61" s="1260"/>
      <c r="L61" s="1260"/>
      <c r="M61" s="1260"/>
      <c r="N61" s="1260"/>
      <c r="O61" s="1260"/>
      <c r="P61" s="1260"/>
      <c r="Q61" s="1260"/>
      <c r="R61" s="1260"/>
      <c r="S61" s="1260"/>
      <c r="T61" s="1260"/>
      <c r="U61" s="1260"/>
      <c r="V61" s="1260"/>
      <c r="W61" s="1260"/>
      <c r="X61" s="1260"/>
      <c r="Y61" s="1260"/>
      <c r="Z61" s="1260"/>
      <c r="AA61" s="1260"/>
      <c r="AB61" s="1260"/>
      <c r="AC61" s="1260"/>
      <c r="AD61" s="1260"/>
      <c r="AE61" s="1260"/>
      <c r="AF61" s="1260"/>
      <c r="AG61" s="1260"/>
      <c r="AH61" s="1260"/>
      <c r="AI61" s="1260"/>
      <c r="AJ61" s="1260"/>
      <c r="AK61" s="1260"/>
      <c r="AL61" s="1260"/>
      <c r="AM61" s="1260"/>
      <c r="AN61" s="1260"/>
      <c r="AO61" s="1260"/>
      <c r="AP61" s="1260"/>
      <c r="AQ61" s="1260"/>
      <c r="AR61" s="1260"/>
      <c r="AS61" s="1260"/>
      <c r="AT61" s="1260"/>
      <c r="AU61" s="20"/>
      <c r="AV61" s="20"/>
      <c r="AW61" s="20"/>
      <c r="AX61" s="20"/>
      <c r="AY61" s="20"/>
      <c r="AZ61" s="20"/>
      <c r="BD61" s="1250" t="s">
        <v>2558</v>
      </c>
      <c r="BE61" s="1252" t="str">
        <f>Application!H293</f>
        <v>sgarchik@mrkpartners.com</v>
      </c>
    </row>
    <row r="62" spans="1:57" ht="12.95" customHeight="1">
      <c r="A62" s="520"/>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251" t="s">
        <v>2559</v>
      </c>
      <c r="BE62" s="1255">
        <f>'Basis &amp; Credits'!AB50</f>
        <v>0.92715559999999997</v>
      </c>
    </row>
    <row r="63" spans="1:57" ht="12.95" customHeight="1">
      <c r="A63" s="91" t="s">
        <v>2156</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250" t="s">
        <v>1249</v>
      </c>
      <c r="BE63" s="1255">
        <f>'Basis &amp; Credits'!AB72</f>
        <v>0</v>
      </c>
    </row>
    <row r="64" spans="1:57"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251" t="s">
        <v>2560</v>
      </c>
      <c r="BE64" s="1252" t="str">
        <f>Application!X180</f>
        <v>No</v>
      </c>
    </row>
    <row r="65" spans="1:57" ht="12.95" customHeight="1">
      <c r="A65" s="1415" t="s">
        <v>2157</v>
      </c>
      <c r="B65" s="1415"/>
      <c r="C65" s="1415"/>
      <c r="D65" s="1415"/>
      <c r="E65" s="1415"/>
      <c r="F65" s="1415"/>
      <c r="G65" s="1415"/>
      <c r="H65" s="1415"/>
      <c r="I65" s="1415"/>
      <c r="J65" s="1415"/>
      <c r="K65" s="1415"/>
      <c r="L65" s="1415"/>
      <c r="M65" s="1415"/>
      <c r="N65" s="1415"/>
      <c r="O65" s="1415"/>
      <c r="P65" s="1415"/>
      <c r="Q65" s="1415"/>
      <c r="R65" s="1415"/>
      <c r="S65" s="1415"/>
      <c r="T65" s="1415"/>
      <c r="U65" s="1415"/>
      <c r="V65" s="1415"/>
      <c r="W65" s="1415"/>
      <c r="X65" s="1415"/>
      <c r="Y65" s="1415"/>
      <c r="Z65" s="1415"/>
      <c r="AA65" s="1415"/>
      <c r="AB65" s="1415"/>
      <c r="AC65" s="1415"/>
      <c r="AD65" s="1415"/>
      <c r="AE65" s="1415"/>
      <c r="AF65" s="1415"/>
      <c r="AG65" s="1415"/>
      <c r="AH65" s="1415"/>
      <c r="AI65" s="1415"/>
      <c r="AJ65" s="1415"/>
      <c r="AK65" s="1415"/>
      <c r="AL65" s="1415"/>
      <c r="AM65" s="1415"/>
      <c r="AN65" s="1415"/>
      <c r="AO65" s="1415"/>
      <c r="AP65" s="1415"/>
      <c r="AQ65" s="1415"/>
      <c r="AR65" s="1415"/>
      <c r="AS65" s="1415"/>
      <c r="AT65" s="1415"/>
      <c r="AU65" s="21"/>
      <c r="AV65" s="21"/>
      <c r="AW65" s="21"/>
      <c r="AX65" s="21"/>
      <c r="AY65" s="21"/>
      <c r="AZ65" s="20"/>
      <c r="BD65" s="1250" t="s">
        <v>2596</v>
      </c>
      <c r="BE65" s="1252" t="str">
        <f>Z205</f>
        <v>(select)</v>
      </c>
    </row>
    <row r="66" spans="1:57" ht="12.95" customHeight="1">
      <c r="A66" s="1415"/>
      <c r="B66" s="1415"/>
      <c r="C66" s="1415"/>
      <c r="D66" s="1415"/>
      <c r="E66" s="1415"/>
      <c r="F66" s="1415"/>
      <c r="G66" s="1415"/>
      <c r="H66" s="1415"/>
      <c r="I66" s="1415"/>
      <c r="J66" s="1415"/>
      <c r="K66" s="1415"/>
      <c r="L66" s="1415"/>
      <c r="M66" s="1415"/>
      <c r="N66" s="1415"/>
      <c r="O66" s="1415"/>
      <c r="P66" s="1415"/>
      <c r="Q66" s="1415"/>
      <c r="R66" s="1415"/>
      <c r="S66" s="1415"/>
      <c r="T66" s="1415"/>
      <c r="U66" s="1415"/>
      <c r="V66" s="1415"/>
      <c r="W66" s="1415"/>
      <c r="X66" s="1415"/>
      <c r="Y66" s="1415"/>
      <c r="Z66" s="1415"/>
      <c r="AA66" s="1415"/>
      <c r="AB66" s="1415"/>
      <c r="AC66" s="1415"/>
      <c r="AD66" s="1415"/>
      <c r="AE66" s="1415"/>
      <c r="AF66" s="1415"/>
      <c r="AG66" s="1415"/>
      <c r="AH66" s="1415"/>
      <c r="AI66" s="1415"/>
      <c r="AJ66" s="1415"/>
      <c r="AK66" s="1415"/>
      <c r="AL66" s="1415"/>
      <c r="AM66" s="1415"/>
      <c r="AN66" s="1415"/>
      <c r="AO66" s="1415"/>
      <c r="AP66" s="1415"/>
      <c r="AQ66" s="1415"/>
      <c r="AR66" s="1415"/>
      <c r="AS66" s="1415"/>
      <c r="AT66" s="1415"/>
      <c r="AU66" s="21"/>
      <c r="AV66" s="21"/>
      <c r="AW66" s="21"/>
      <c r="AX66" s="21"/>
      <c r="AY66" s="21"/>
      <c r="AZ66" s="20"/>
      <c r="BD66" s="1251" t="s">
        <v>2561</v>
      </c>
      <c r="BE66" s="1252" t="b">
        <f>Application!Z205="State Farmworker Credit"</f>
        <v>0</v>
      </c>
    </row>
    <row r="67" spans="1:57" ht="12.95" customHeight="1">
      <c r="A67" s="1415"/>
      <c r="B67" s="1415"/>
      <c r="C67" s="1415"/>
      <c r="D67" s="1415"/>
      <c r="E67" s="1415"/>
      <c r="F67" s="1415"/>
      <c r="G67" s="1415"/>
      <c r="H67" s="1415"/>
      <c r="I67" s="1415"/>
      <c r="J67" s="1415"/>
      <c r="K67" s="1415"/>
      <c r="L67" s="1415"/>
      <c r="M67" s="1415"/>
      <c r="N67" s="1415"/>
      <c r="O67" s="1415"/>
      <c r="P67" s="1415"/>
      <c r="Q67" s="1415"/>
      <c r="R67" s="1415"/>
      <c r="S67" s="1415"/>
      <c r="T67" s="1415"/>
      <c r="U67" s="1415"/>
      <c r="V67" s="1415"/>
      <c r="W67" s="1415"/>
      <c r="X67" s="1415"/>
      <c r="Y67" s="1415"/>
      <c r="Z67" s="1415"/>
      <c r="AA67" s="1415"/>
      <c r="AB67" s="1415"/>
      <c r="AC67" s="1415"/>
      <c r="AD67" s="1415"/>
      <c r="AE67" s="1415"/>
      <c r="AF67" s="1415"/>
      <c r="AG67" s="1415"/>
      <c r="AH67" s="1415"/>
      <c r="AI67" s="1415"/>
      <c r="AJ67" s="1415"/>
      <c r="AK67" s="1415"/>
      <c r="AL67" s="1415"/>
      <c r="AM67" s="1415"/>
      <c r="AN67" s="1415"/>
      <c r="AO67" s="1415"/>
      <c r="AP67" s="1415"/>
      <c r="AQ67" s="1415"/>
      <c r="AR67" s="1415"/>
      <c r="AS67" s="1415"/>
      <c r="AT67" s="1415"/>
      <c r="AZ67" s="20"/>
      <c r="BD67" s="1250" t="s">
        <v>2562</v>
      </c>
      <c r="BE67" s="1252" t="b">
        <f>Application!O33="Yes"</f>
        <v>0</v>
      </c>
    </row>
    <row r="68" spans="1:57" ht="12.95"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251" t="s">
        <v>2563</v>
      </c>
      <c r="BE68" s="1252">
        <f>'Sources and Uses Budget'!D105</f>
        <v>0</v>
      </c>
    </row>
    <row r="69" spans="1:57" ht="12.95" customHeight="1">
      <c r="A69" s="1415" t="s">
        <v>2158</v>
      </c>
      <c r="B69" s="1415"/>
      <c r="C69" s="1415"/>
      <c r="D69" s="1415"/>
      <c r="E69" s="1415"/>
      <c r="F69" s="1415"/>
      <c r="G69" s="1415"/>
      <c r="H69" s="1415"/>
      <c r="I69" s="1415"/>
      <c r="J69" s="1415"/>
      <c r="K69" s="1415"/>
      <c r="L69" s="1415"/>
      <c r="M69" s="1415"/>
      <c r="N69" s="1415"/>
      <c r="O69" s="1415"/>
      <c r="P69" s="1415"/>
      <c r="Q69" s="1415"/>
      <c r="R69" s="1415"/>
      <c r="S69" s="1415"/>
      <c r="T69" s="1415"/>
      <c r="U69" s="1415"/>
      <c r="V69" s="1415"/>
      <c r="W69" s="1415"/>
      <c r="X69" s="1415"/>
      <c r="Y69" s="1415"/>
      <c r="Z69" s="1415"/>
      <c r="AA69" s="1415"/>
      <c r="AB69" s="1415"/>
      <c r="AC69" s="1415"/>
      <c r="AD69" s="1415"/>
      <c r="AE69" s="1415"/>
      <c r="AF69" s="1415"/>
      <c r="AG69" s="1415"/>
      <c r="AH69" s="1415"/>
      <c r="AI69" s="1415"/>
      <c r="AJ69" s="1415"/>
      <c r="AK69" s="1415"/>
      <c r="AL69" s="1415"/>
      <c r="AM69" s="1415"/>
      <c r="AN69" s="1415"/>
      <c r="AO69" s="1415"/>
      <c r="AP69" s="1415"/>
      <c r="AQ69" s="1415"/>
      <c r="AR69" s="1415"/>
      <c r="AS69" s="1415"/>
      <c r="AT69" s="1415"/>
      <c r="AZ69" s="20"/>
      <c r="BD69" s="1250" t="s">
        <v>2564</v>
      </c>
      <c r="BE69" s="1252" t="str">
        <f>Application!W700</f>
        <v>California Municipal Finance Authority</v>
      </c>
    </row>
    <row r="70" spans="1:57" ht="12.95" customHeight="1">
      <c r="A70" s="1415"/>
      <c r="B70" s="1415"/>
      <c r="C70" s="1415"/>
      <c r="D70" s="1415"/>
      <c r="E70" s="1415"/>
      <c r="F70" s="1415"/>
      <c r="G70" s="1415"/>
      <c r="H70" s="1415"/>
      <c r="I70" s="1415"/>
      <c r="J70" s="1415"/>
      <c r="K70" s="1415"/>
      <c r="L70" s="1415"/>
      <c r="M70" s="1415"/>
      <c r="N70" s="1415"/>
      <c r="O70" s="1415"/>
      <c r="P70" s="1415"/>
      <c r="Q70" s="1415"/>
      <c r="R70" s="1415"/>
      <c r="S70" s="1415"/>
      <c r="T70" s="1415"/>
      <c r="U70" s="1415"/>
      <c r="V70" s="1415"/>
      <c r="W70" s="1415"/>
      <c r="X70" s="1415"/>
      <c r="Y70" s="1415"/>
      <c r="Z70" s="1415"/>
      <c r="AA70" s="1415"/>
      <c r="AB70" s="1415"/>
      <c r="AC70" s="1415"/>
      <c r="AD70" s="1415"/>
      <c r="AE70" s="1415"/>
      <c r="AF70" s="1415"/>
      <c r="AG70" s="1415"/>
      <c r="AH70" s="1415"/>
      <c r="AI70" s="1415"/>
      <c r="AJ70" s="1415"/>
      <c r="AK70" s="1415"/>
      <c r="AL70" s="1415"/>
      <c r="AM70" s="1415"/>
      <c r="AN70" s="1415"/>
      <c r="AO70" s="1415"/>
      <c r="AP70" s="1415"/>
      <c r="AQ70" s="1415"/>
      <c r="AR70" s="1415"/>
      <c r="AS70" s="1415"/>
      <c r="AT70" s="1415"/>
      <c r="AU70" s="20"/>
      <c r="AV70" s="20"/>
      <c r="AW70" s="20"/>
      <c r="AX70" s="20"/>
      <c r="AY70" s="20"/>
      <c r="AZ70" s="20"/>
      <c r="BD70" s="1251" t="s">
        <v>2565</v>
      </c>
      <c r="BE70" s="1252">
        <f ca="1">'Points System'!AF821</f>
        <v>119</v>
      </c>
    </row>
    <row r="71" spans="1:57" ht="12.95" customHeight="1">
      <c r="A71" s="520"/>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250" t="s">
        <v>2566</v>
      </c>
      <c r="BE71" s="1252">
        <f>'Points System'!AF804</f>
        <v>0</v>
      </c>
    </row>
    <row r="72" spans="1:57" ht="12.95" customHeight="1">
      <c r="A72" s="1413" t="s">
        <v>2159</v>
      </c>
      <c r="B72" s="1413"/>
      <c r="C72" s="1413"/>
      <c r="D72" s="1413"/>
      <c r="E72" s="1413"/>
      <c r="F72" s="1413"/>
      <c r="G72" s="1413"/>
      <c r="H72" s="1413"/>
      <c r="I72" s="1413"/>
      <c r="J72" s="1413"/>
      <c r="K72" s="1413"/>
      <c r="L72" s="1413"/>
      <c r="M72" s="1413"/>
      <c r="N72" s="1413"/>
      <c r="O72" s="1413"/>
      <c r="P72" s="1413"/>
      <c r="Q72" s="1413"/>
      <c r="R72" s="1413"/>
      <c r="S72" s="1413"/>
      <c r="T72" s="1413"/>
      <c r="U72" s="1413"/>
      <c r="V72" s="1413"/>
      <c r="W72" s="1413"/>
      <c r="X72" s="1413"/>
      <c r="Y72" s="1413"/>
      <c r="Z72" s="1413"/>
      <c r="AA72" s="1413"/>
      <c r="AB72" s="1413"/>
      <c r="AC72" s="1413"/>
      <c r="AD72" s="1413"/>
      <c r="AE72" s="1413"/>
      <c r="AF72" s="1413"/>
      <c r="AG72" s="1413"/>
      <c r="AH72" s="1413"/>
      <c r="AI72" s="1413"/>
      <c r="AJ72" s="1413"/>
      <c r="AK72" s="1413"/>
      <c r="AL72" s="1413"/>
      <c r="AM72" s="1413"/>
      <c r="AN72" s="1413"/>
      <c r="AO72" s="1413"/>
      <c r="AP72" s="1413"/>
      <c r="AQ72" s="1413"/>
      <c r="AR72" s="1413"/>
      <c r="AS72" s="1413"/>
      <c r="AT72" s="1413"/>
      <c r="AU72" s="20"/>
      <c r="AV72" s="20"/>
      <c r="AW72" s="20"/>
      <c r="AX72" s="20"/>
      <c r="AY72" s="20"/>
      <c r="AZ72" s="20"/>
      <c r="BD72" s="1251" t="s">
        <v>2567</v>
      </c>
      <c r="BE72" s="1252">
        <f>'Points System'!AF805</f>
        <v>10</v>
      </c>
    </row>
    <row r="73" spans="1:57" ht="12.95" customHeight="1">
      <c r="A73" s="1413"/>
      <c r="B73" s="1413"/>
      <c r="C73" s="1413"/>
      <c r="D73" s="1413"/>
      <c r="E73" s="1413"/>
      <c r="F73" s="1413"/>
      <c r="G73" s="1413"/>
      <c r="H73" s="1413"/>
      <c r="I73" s="1413"/>
      <c r="J73" s="1413"/>
      <c r="K73" s="1413"/>
      <c r="L73" s="1413"/>
      <c r="M73" s="1413"/>
      <c r="N73" s="1413"/>
      <c r="O73" s="1413"/>
      <c r="P73" s="1413"/>
      <c r="Q73" s="1413"/>
      <c r="R73" s="1413"/>
      <c r="S73" s="1413"/>
      <c r="T73" s="1413"/>
      <c r="U73" s="1413"/>
      <c r="V73" s="1413"/>
      <c r="W73" s="1413"/>
      <c r="X73" s="1413"/>
      <c r="Y73" s="1413"/>
      <c r="Z73" s="1413"/>
      <c r="AA73" s="1413"/>
      <c r="AB73" s="1413"/>
      <c r="AC73" s="1413"/>
      <c r="AD73" s="1413"/>
      <c r="AE73" s="1413"/>
      <c r="AF73" s="1413"/>
      <c r="AG73" s="1413"/>
      <c r="AH73" s="1413"/>
      <c r="AI73" s="1413"/>
      <c r="AJ73" s="1413"/>
      <c r="AK73" s="1413"/>
      <c r="AL73" s="1413"/>
      <c r="AM73" s="1413"/>
      <c r="AN73" s="1413"/>
      <c r="AO73" s="1413"/>
      <c r="AP73" s="1413"/>
      <c r="AQ73" s="1413"/>
      <c r="AR73" s="1413"/>
      <c r="AS73" s="1413"/>
      <c r="AT73" s="1413"/>
      <c r="AU73" s="20"/>
      <c r="AV73" s="20"/>
      <c r="AW73" s="20"/>
      <c r="AX73" s="20"/>
      <c r="AY73" s="20"/>
      <c r="AZ73" s="20"/>
      <c r="BD73" s="1250" t="s">
        <v>2568</v>
      </c>
      <c r="BE73" s="1252">
        <f ca="1">'Points System'!AF806</f>
        <v>20</v>
      </c>
    </row>
    <row r="74" spans="1:57" ht="12.9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251" t="s">
        <v>2569</v>
      </c>
      <c r="BE74" s="1252">
        <f>'Points System'!AF807</f>
        <v>10</v>
      </c>
    </row>
    <row r="75" spans="1:57" ht="12.95" customHeight="1">
      <c r="A75" s="1803" t="s">
        <v>2160</v>
      </c>
      <c r="B75" s="1803"/>
      <c r="C75" s="1803"/>
      <c r="D75" s="1803"/>
      <c r="E75" s="1803"/>
      <c r="F75" s="1803"/>
      <c r="G75" s="1803"/>
      <c r="H75" s="1803"/>
      <c r="I75" s="1803"/>
      <c r="J75" s="1803"/>
      <c r="K75" s="1803"/>
      <c r="L75" s="1803"/>
      <c r="M75" s="1803"/>
      <c r="N75" s="1803"/>
      <c r="O75" s="1803"/>
      <c r="P75" s="1803"/>
      <c r="Q75" s="1803"/>
      <c r="R75" s="1803"/>
      <c r="S75" s="1803"/>
      <c r="T75" s="1803"/>
      <c r="U75" s="1803"/>
      <c r="V75" s="1803"/>
      <c r="W75" s="1803"/>
      <c r="X75" s="1803"/>
      <c r="Y75" s="1803"/>
      <c r="Z75" s="1803"/>
      <c r="AA75" s="1803"/>
      <c r="AB75" s="1803"/>
      <c r="AC75" s="1803"/>
      <c r="AD75" s="1803"/>
      <c r="AE75" s="1803"/>
      <c r="AF75" s="1803"/>
      <c r="AG75" s="1803"/>
      <c r="AH75" s="1803"/>
      <c r="AI75" s="1803"/>
      <c r="AJ75" s="1803"/>
      <c r="AK75" s="1803"/>
      <c r="AL75" s="1803"/>
      <c r="AM75" s="1803"/>
      <c r="AN75" s="1803"/>
      <c r="AO75" s="1803"/>
      <c r="AP75" s="1803"/>
      <c r="AQ75" s="1803"/>
      <c r="AR75" s="1803"/>
      <c r="AS75" s="1803"/>
      <c r="AT75" s="1803"/>
      <c r="AU75" s="20"/>
      <c r="AV75" s="20"/>
      <c r="AW75" s="20"/>
      <c r="AX75" s="20"/>
      <c r="AY75" s="20"/>
      <c r="AZ75" s="20"/>
      <c r="BD75" s="1250" t="s">
        <v>2570</v>
      </c>
      <c r="BE75" s="1252">
        <f>'Points System'!AF808</f>
        <v>10</v>
      </c>
    </row>
    <row r="76" spans="1:57" ht="12.95" customHeight="1">
      <c r="A76" s="1803"/>
      <c r="B76" s="1803"/>
      <c r="C76" s="1803"/>
      <c r="D76" s="1803"/>
      <c r="E76" s="1803"/>
      <c r="F76" s="1803"/>
      <c r="G76" s="1803"/>
      <c r="H76" s="1803"/>
      <c r="I76" s="1803"/>
      <c r="J76" s="1803"/>
      <c r="K76" s="1803"/>
      <c r="L76" s="1803"/>
      <c r="M76" s="1803"/>
      <c r="N76" s="1803"/>
      <c r="O76" s="1803"/>
      <c r="P76" s="1803"/>
      <c r="Q76" s="1803"/>
      <c r="R76" s="1803"/>
      <c r="S76" s="1803"/>
      <c r="T76" s="1803"/>
      <c r="U76" s="1803"/>
      <c r="V76" s="1803"/>
      <c r="W76" s="1803"/>
      <c r="X76" s="1803"/>
      <c r="Y76" s="1803"/>
      <c r="Z76" s="1803"/>
      <c r="AA76" s="1803"/>
      <c r="AB76" s="1803"/>
      <c r="AC76" s="1803"/>
      <c r="AD76" s="1803"/>
      <c r="AE76" s="1803"/>
      <c r="AF76" s="1803"/>
      <c r="AG76" s="1803"/>
      <c r="AH76" s="1803"/>
      <c r="AI76" s="1803"/>
      <c r="AJ76" s="1803"/>
      <c r="AK76" s="1803"/>
      <c r="AL76" s="1803"/>
      <c r="AM76" s="1803"/>
      <c r="AN76" s="1803"/>
      <c r="AO76" s="1803"/>
      <c r="AP76" s="1803"/>
      <c r="AQ76" s="1803"/>
      <c r="AR76" s="1803"/>
      <c r="AS76" s="1803"/>
      <c r="AT76" s="1803"/>
      <c r="AU76" s="20"/>
      <c r="AV76" s="20"/>
      <c r="AW76" s="20"/>
      <c r="AX76" s="20"/>
      <c r="AY76" s="20"/>
      <c r="AZ76" s="17"/>
      <c r="BD76" s="1251" t="s">
        <v>2571</v>
      </c>
      <c r="BE76" s="1252">
        <f>'Points System'!AF811</f>
        <v>10</v>
      </c>
    </row>
    <row r="77" spans="1:57" ht="12.95" customHeight="1">
      <c r="A77" s="1803"/>
      <c r="B77" s="1803"/>
      <c r="C77" s="1803"/>
      <c r="D77" s="1803"/>
      <c r="E77" s="1803"/>
      <c r="F77" s="1803"/>
      <c r="G77" s="1803"/>
      <c r="H77" s="1803"/>
      <c r="I77" s="1803"/>
      <c r="J77" s="1803"/>
      <c r="K77" s="1803"/>
      <c r="L77" s="1803"/>
      <c r="M77" s="1803"/>
      <c r="N77" s="1803"/>
      <c r="O77" s="1803"/>
      <c r="P77" s="1803"/>
      <c r="Q77" s="1803"/>
      <c r="R77" s="1803"/>
      <c r="S77" s="1803"/>
      <c r="T77" s="1803"/>
      <c r="U77" s="1803"/>
      <c r="V77" s="1803"/>
      <c r="W77" s="1803"/>
      <c r="X77" s="1803"/>
      <c r="Y77" s="1803"/>
      <c r="Z77" s="1803"/>
      <c r="AA77" s="1803"/>
      <c r="AB77" s="1803"/>
      <c r="AC77" s="1803"/>
      <c r="AD77" s="1803"/>
      <c r="AE77" s="1803"/>
      <c r="AF77" s="1803"/>
      <c r="AG77" s="1803"/>
      <c r="AH77" s="1803"/>
      <c r="AI77" s="1803"/>
      <c r="AJ77" s="1803"/>
      <c r="AK77" s="1803"/>
      <c r="AL77" s="1803"/>
      <c r="AM77" s="1803"/>
      <c r="AN77" s="1803"/>
      <c r="AO77" s="1803"/>
      <c r="AP77" s="1803"/>
      <c r="AQ77" s="1803"/>
      <c r="AR77" s="1803"/>
      <c r="AS77" s="1803"/>
      <c r="AT77" s="1803"/>
      <c r="AU77" s="20"/>
      <c r="AV77" s="20"/>
      <c r="AW77" s="20"/>
      <c r="AX77" s="20"/>
      <c r="AY77" s="20"/>
      <c r="AZ77" s="17"/>
      <c r="BD77" s="1250" t="s">
        <v>2572</v>
      </c>
      <c r="BE77" s="1252">
        <f>'Points System'!AF812</f>
        <v>8</v>
      </c>
    </row>
    <row r="78" spans="1:57"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251" t="s">
        <v>2573</v>
      </c>
      <c r="BE78" s="1252">
        <f>'Points System'!AF814</f>
        <v>10</v>
      </c>
    </row>
    <row r="79" spans="1:57" ht="12.95" customHeight="1">
      <c r="A79" s="1415" t="s">
        <v>2161</v>
      </c>
      <c r="B79" s="1415"/>
      <c r="C79" s="1415"/>
      <c r="D79" s="1415"/>
      <c r="E79" s="1415"/>
      <c r="F79" s="1415"/>
      <c r="G79" s="1415"/>
      <c r="H79" s="1415"/>
      <c r="I79" s="1415"/>
      <c r="J79" s="1415"/>
      <c r="K79" s="1415"/>
      <c r="L79" s="1415"/>
      <c r="M79" s="1415"/>
      <c r="N79" s="1415"/>
      <c r="O79" s="1415"/>
      <c r="P79" s="1415"/>
      <c r="Q79" s="1415"/>
      <c r="R79" s="1415"/>
      <c r="S79" s="1415"/>
      <c r="T79" s="1415"/>
      <c r="U79" s="1415"/>
      <c r="V79" s="1415"/>
      <c r="W79" s="1415"/>
      <c r="X79" s="1415"/>
      <c r="Y79" s="1415"/>
      <c r="Z79" s="1415"/>
      <c r="AA79" s="1415"/>
      <c r="AB79" s="1415"/>
      <c r="AC79" s="1415"/>
      <c r="AD79" s="1415"/>
      <c r="AE79" s="1415"/>
      <c r="AF79" s="1415"/>
      <c r="AG79" s="1415"/>
      <c r="AH79" s="1415"/>
      <c r="AI79" s="1415"/>
      <c r="AJ79" s="1415"/>
      <c r="AK79" s="1415"/>
      <c r="AL79" s="1415"/>
      <c r="AM79" s="1415"/>
      <c r="AN79" s="1415"/>
      <c r="AO79" s="1415"/>
      <c r="AP79" s="1415"/>
      <c r="AQ79" s="1415"/>
      <c r="AR79" s="1415"/>
      <c r="AS79" s="1415"/>
      <c r="AT79" s="1415"/>
      <c r="AU79" s="20"/>
      <c r="AV79" s="20"/>
      <c r="AW79" s="20"/>
      <c r="AX79" s="20"/>
      <c r="AY79" s="20"/>
      <c r="AZ79" s="20"/>
      <c r="BD79" s="1250" t="s">
        <v>2574</v>
      </c>
      <c r="BE79" s="1252">
        <f>'Points System'!AF815</f>
        <v>9</v>
      </c>
    </row>
    <row r="80" spans="1:57" ht="12.95" customHeight="1">
      <c r="A80" s="1415"/>
      <c r="B80" s="1415"/>
      <c r="C80" s="1415"/>
      <c r="D80" s="1415"/>
      <c r="E80" s="1415"/>
      <c r="F80" s="1415"/>
      <c r="G80" s="1415"/>
      <c r="H80" s="1415"/>
      <c r="I80" s="1415"/>
      <c r="J80" s="1415"/>
      <c r="K80" s="1415"/>
      <c r="L80" s="1415"/>
      <c r="M80" s="1415"/>
      <c r="N80" s="1415"/>
      <c r="O80" s="1415"/>
      <c r="P80" s="1415"/>
      <c r="Q80" s="1415"/>
      <c r="R80" s="1415"/>
      <c r="S80" s="1415"/>
      <c r="T80" s="1415"/>
      <c r="U80" s="1415"/>
      <c r="V80" s="1415"/>
      <c r="W80" s="1415"/>
      <c r="X80" s="1415"/>
      <c r="Y80" s="1415"/>
      <c r="Z80" s="1415"/>
      <c r="AA80" s="1415"/>
      <c r="AB80" s="1415"/>
      <c r="AC80" s="1415"/>
      <c r="AD80" s="1415"/>
      <c r="AE80" s="1415"/>
      <c r="AF80" s="1415"/>
      <c r="AG80" s="1415"/>
      <c r="AH80" s="1415"/>
      <c r="AI80" s="1415"/>
      <c r="AJ80" s="1415"/>
      <c r="AK80" s="1415"/>
      <c r="AL80" s="1415"/>
      <c r="AM80" s="1415"/>
      <c r="AN80" s="1415"/>
      <c r="AO80" s="1415"/>
      <c r="AP80" s="1415"/>
      <c r="AQ80" s="1415"/>
      <c r="AR80" s="1415"/>
      <c r="AS80" s="1415"/>
      <c r="AT80" s="1415"/>
      <c r="AU80" s="20"/>
      <c r="AV80" s="20"/>
      <c r="AW80" s="20"/>
      <c r="AX80" s="20"/>
      <c r="AY80" s="20"/>
      <c r="AZ80" s="20"/>
      <c r="BD80" s="1251" t="s">
        <v>2575</v>
      </c>
      <c r="BE80" s="1252">
        <f>'Points System'!AF817</f>
        <v>10</v>
      </c>
    </row>
    <row r="81" spans="1:57" ht="12.95" customHeight="1">
      <c r="A81" s="1415"/>
      <c r="B81" s="1415"/>
      <c r="C81" s="1415"/>
      <c r="D81" s="1415"/>
      <c r="E81" s="1415"/>
      <c r="F81" s="1415"/>
      <c r="G81" s="1415"/>
      <c r="H81" s="1415"/>
      <c r="I81" s="1415"/>
      <c r="J81" s="1415"/>
      <c r="K81" s="1415"/>
      <c r="L81" s="1415"/>
      <c r="M81" s="1415"/>
      <c r="N81" s="1415"/>
      <c r="O81" s="1415"/>
      <c r="P81" s="1415"/>
      <c r="Q81" s="1415"/>
      <c r="R81" s="1415"/>
      <c r="S81" s="1415"/>
      <c r="T81" s="1415"/>
      <c r="U81" s="1415"/>
      <c r="V81" s="1415"/>
      <c r="W81" s="1415"/>
      <c r="X81" s="1415"/>
      <c r="Y81" s="1415"/>
      <c r="Z81" s="1415"/>
      <c r="AA81" s="1415"/>
      <c r="AB81" s="1415"/>
      <c r="AC81" s="1415"/>
      <c r="AD81" s="1415"/>
      <c r="AE81" s="1415"/>
      <c r="AF81" s="1415"/>
      <c r="AG81" s="1415"/>
      <c r="AH81" s="1415"/>
      <c r="AI81" s="1415"/>
      <c r="AJ81" s="1415"/>
      <c r="AK81" s="1415"/>
      <c r="AL81" s="1415"/>
      <c r="AM81" s="1415"/>
      <c r="AN81" s="1415"/>
      <c r="AO81" s="1415"/>
      <c r="AP81" s="1415"/>
      <c r="AQ81" s="1415"/>
      <c r="AR81" s="1415"/>
      <c r="AS81" s="1415"/>
      <c r="AT81" s="1415"/>
      <c r="AU81" s="20"/>
      <c r="AV81" s="20"/>
      <c r="AW81" s="20"/>
      <c r="AX81" s="20"/>
      <c r="AY81" s="20"/>
      <c r="AZ81" s="20"/>
      <c r="BD81" s="1250" t="s">
        <v>2576</v>
      </c>
      <c r="BE81" s="1252">
        <f>'Points System'!AF818</f>
        <v>12</v>
      </c>
    </row>
    <row r="82" spans="1:57" ht="12.95" customHeight="1">
      <c r="A82" s="520"/>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251" t="s">
        <v>2577</v>
      </c>
      <c r="BE82" s="1252">
        <f>'Points System'!AF819</f>
        <v>10</v>
      </c>
    </row>
    <row r="83" spans="1:57" ht="12.95" customHeight="1">
      <c r="A83" s="1260" t="s">
        <v>2162</v>
      </c>
      <c r="B83" s="1260"/>
      <c r="C83" s="1260"/>
      <c r="D83" s="1260"/>
      <c r="E83" s="1260"/>
      <c r="F83" s="1260"/>
      <c r="G83" s="1260"/>
      <c r="H83" s="1260"/>
      <c r="I83" s="1260"/>
      <c r="J83" s="1260"/>
      <c r="K83" s="1260"/>
      <c r="L83" s="1260"/>
      <c r="M83" s="1260"/>
      <c r="N83" s="1260"/>
      <c r="O83" s="1260"/>
      <c r="P83" s="1260"/>
      <c r="Q83" s="1260"/>
      <c r="R83" s="1260"/>
      <c r="S83" s="1260"/>
      <c r="T83" s="1260"/>
      <c r="U83" s="1260"/>
      <c r="V83" s="1260"/>
      <c r="W83" s="1260"/>
      <c r="X83" s="1260"/>
      <c r="Y83" s="1260"/>
      <c r="Z83" s="1260"/>
      <c r="AA83" s="1260"/>
      <c r="AB83" s="1260"/>
      <c r="AC83" s="1260"/>
      <c r="AD83" s="1260"/>
      <c r="AE83" s="1260"/>
      <c r="AF83" s="1260"/>
      <c r="AG83" s="1260"/>
      <c r="AH83" s="1260"/>
      <c r="AI83" s="1260"/>
      <c r="AJ83" s="1260"/>
      <c r="AK83" s="1260"/>
      <c r="AL83" s="1260"/>
      <c r="AM83" s="1260"/>
      <c r="AN83" s="1260"/>
      <c r="AO83" s="1260"/>
      <c r="AP83" s="1260"/>
      <c r="AQ83" s="1260"/>
      <c r="AR83" s="1260"/>
      <c r="AS83" s="1260"/>
      <c r="AT83" s="1260"/>
      <c r="AU83" s="20"/>
      <c r="AV83" s="20"/>
      <c r="AW83" s="20"/>
      <c r="AX83" s="20"/>
      <c r="AY83" s="20"/>
      <c r="AZ83" s="20"/>
      <c r="BD83" s="1250" t="s">
        <v>2578</v>
      </c>
      <c r="BE83" s="1256">
        <f>'Tie Breaker'!H5</f>
        <v>1.5461521534240821</v>
      </c>
    </row>
    <row r="84" spans="1:57" ht="12.95" customHeight="1">
      <c r="A84" s="1260"/>
      <c r="B84" s="1260"/>
      <c r="C84" s="1260"/>
      <c r="D84" s="1260"/>
      <c r="E84" s="1260"/>
      <c r="F84" s="1260"/>
      <c r="G84" s="1260"/>
      <c r="H84" s="1260"/>
      <c r="I84" s="1260"/>
      <c r="J84" s="1260"/>
      <c r="K84" s="1260"/>
      <c r="L84" s="1260"/>
      <c r="M84" s="1260"/>
      <c r="N84" s="1260"/>
      <c r="O84" s="1260"/>
      <c r="P84" s="1260"/>
      <c r="Q84" s="1260"/>
      <c r="R84" s="1260"/>
      <c r="S84" s="1260"/>
      <c r="T84" s="1260"/>
      <c r="U84" s="1260"/>
      <c r="V84" s="1260"/>
      <c r="W84" s="1260"/>
      <c r="X84" s="1260"/>
      <c r="Y84" s="1260"/>
      <c r="Z84" s="1260"/>
      <c r="AA84" s="1260"/>
      <c r="AB84" s="1260"/>
      <c r="AC84" s="1260"/>
      <c r="AD84" s="1260"/>
      <c r="AE84" s="1260"/>
      <c r="AF84" s="1260"/>
      <c r="AG84" s="1260"/>
      <c r="AH84" s="1260"/>
      <c r="AI84" s="1260"/>
      <c r="AJ84" s="1260"/>
      <c r="AK84" s="1260"/>
      <c r="AL84" s="1260"/>
      <c r="AM84" s="1260"/>
      <c r="AN84" s="1260"/>
      <c r="AO84" s="1260"/>
      <c r="AP84" s="1260"/>
      <c r="AQ84" s="1260"/>
      <c r="AR84" s="1260"/>
      <c r="AS84" s="1260"/>
      <c r="AT84" s="1260"/>
      <c r="AU84" s="20"/>
      <c r="AV84" s="20"/>
      <c r="AW84" s="20"/>
      <c r="AX84" s="20"/>
      <c r="AY84" s="20"/>
      <c r="AZ84" s="20"/>
      <c r="BD84" s="1251" t="s">
        <v>2579</v>
      </c>
      <c r="BE84" s="1252" t="str">
        <f>Application!O153</f>
        <v>City of Los Angeles</v>
      </c>
    </row>
    <row r="85" spans="1:57"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250" t="s">
        <v>2580</v>
      </c>
      <c r="BE85" s="1252" t="str">
        <f>Application!O154</f>
        <v>Tim Elliott - Community Housing Program Manager</v>
      </c>
    </row>
    <row r="86" spans="1:57" ht="12.95" customHeight="1">
      <c r="A86" s="1260" t="s">
        <v>2163</v>
      </c>
      <c r="B86" s="1260"/>
      <c r="C86" s="1260"/>
      <c r="D86" s="1260"/>
      <c r="E86" s="1260"/>
      <c r="F86" s="1260"/>
      <c r="G86" s="1260"/>
      <c r="H86" s="1260"/>
      <c r="I86" s="1260"/>
      <c r="J86" s="1260"/>
      <c r="K86" s="1260"/>
      <c r="L86" s="1260"/>
      <c r="M86" s="1260"/>
      <c r="N86" s="1260"/>
      <c r="O86" s="1260"/>
      <c r="P86" s="1260"/>
      <c r="Q86" s="1260"/>
      <c r="R86" s="1260"/>
      <c r="S86" s="1260"/>
      <c r="T86" s="1260"/>
      <c r="U86" s="1260"/>
      <c r="V86" s="1260"/>
      <c r="W86" s="1260"/>
      <c r="X86" s="1260"/>
      <c r="Y86" s="1260"/>
      <c r="Z86" s="1260"/>
      <c r="AA86" s="1260"/>
      <c r="AB86" s="1260"/>
      <c r="AC86" s="1260"/>
      <c r="AD86" s="1260"/>
      <c r="AE86" s="1260"/>
      <c r="AF86" s="1260"/>
      <c r="AG86" s="1260"/>
      <c r="AH86" s="1260"/>
      <c r="AI86" s="1260"/>
      <c r="AJ86" s="1260"/>
      <c r="AK86" s="1260"/>
      <c r="AL86" s="1260"/>
      <c r="AM86" s="1260"/>
      <c r="AN86" s="1260"/>
      <c r="AO86" s="1260"/>
      <c r="AP86" s="1260"/>
      <c r="AQ86" s="1260"/>
      <c r="AR86" s="1260"/>
      <c r="AS86" s="1260"/>
      <c r="AT86" s="1260"/>
      <c r="AU86" s="20"/>
      <c r="AV86" s="20"/>
      <c r="AW86" s="20"/>
      <c r="AX86" s="20"/>
      <c r="AY86" s="20"/>
      <c r="AZ86" s="20"/>
      <c r="BD86" s="1251" t="s">
        <v>2581</v>
      </c>
      <c r="BE86" s="1252" t="str">
        <f>Application!O155</f>
        <v>City Manager</v>
      </c>
    </row>
    <row r="87" spans="1:57" ht="12.95" customHeight="1">
      <c r="A87" s="1260"/>
      <c r="B87" s="1260"/>
      <c r="C87" s="1260"/>
      <c r="D87" s="1260"/>
      <c r="E87" s="1260"/>
      <c r="F87" s="1260"/>
      <c r="G87" s="1260"/>
      <c r="H87" s="1260"/>
      <c r="I87" s="1260"/>
      <c r="J87" s="1260"/>
      <c r="K87" s="1260"/>
      <c r="L87" s="1260"/>
      <c r="M87" s="1260"/>
      <c r="N87" s="1260"/>
      <c r="O87" s="1260"/>
      <c r="P87" s="1260"/>
      <c r="Q87" s="1260"/>
      <c r="R87" s="1260"/>
      <c r="S87" s="1260"/>
      <c r="T87" s="1260"/>
      <c r="U87" s="1260"/>
      <c r="V87" s="1260"/>
      <c r="W87" s="1260"/>
      <c r="X87" s="1260"/>
      <c r="Y87" s="1260"/>
      <c r="Z87" s="1260"/>
      <c r="AA87" s="1260"/>
      <c r="AB87" s="1260"/>
      <c r="AC87" s="1260"/>
      <c r="AD87" s="1260"/>
      <c r="AE87" s="1260"/>
      <c r="AF87" s="1260"/>
      <c r="AG87" s="1260"/>
      <c r="AH87" s="1260"/>
      <c r="AI87" s="1260"/>
      <c r="AJ87" s="1260"/>
      <c r="AK87" s="1260"/>
      <c r="AL87" s="1260"/>
      <c r="AM87" s="1260"/>
      <c r="AN87" s="1260"/>
      <c r="AO87" s="1260"/>
      <c r="AP87" s="1260"/>
      <c r="AQ87" s="1260"/>
      <c r="AR87" s="1260"/>
      <c r="AS87" s="1260"/>
      <c r="AT87" s="1260"/>
      <c r="AU87" s="20"/>
      <c r="AV87" s="20"/>
      <c r="AW87" s="20"/>
      <c r="AX87" s="20"/>
      <c r="AY87" s="20"/>
      <c r="AZ87" s="20"/>
      <c r="BD87" s="1250" t="s">
        <v>2582</v>
      </c>
      <c r="BE87" s="1252" t="str">
        <f>Application!O156</f>
        <v>1200 W. 7th St., 8th Floor</v>
      </c>
    </row>
    <row r="88" spans="1:57" ht="12.9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251" t="s">
        <v>2583</v>
      </c>
      <c r="BE88" s="1252" t="str">
        <f>Application!O157</f>
        <v>Los Angeles</v>
      </c>
    </row>
    <row r="89" spans="1:57" ht="12.95" customHeight="1">
      <c r="A89" s="1812" t="s">
        <v>2164</v>
      </c>
      <c r="B89" s="1812"/>
      <c r="C89" s="1812"/>
      <c r="D89" s="1812"/>
      <c r="E89" s="1812"/>
      <c r="F89" s="1812"/>
      <c r="G89" s="1812"/>
      <c r="H89" s="1812"/>
      <c r="I89" s="1812"/>
      <c r="J89" s="1812"/>
      <c r="K89" s="1812"/>
      <c r="L89" s="1812"/>
      <c r="M89" s="1812"/>
      <c r="N89" s="1812"/>
      <c r="O89" s="1812"/>
      <c r="P89" s="1812"/>
      <c r="Q89" s="1812"/>
      <c r="R89" s="1812"/>
      <c r="S89" s="1812"/>
      <c r="T89" s="1812"/>
      <c r="U89" s="1812"/>
      <c r="V89" s="1812"/>
      <c r="W89" s="1812"/>
      <c r="X89" s="1812"/>
      <c r="Y89" s="1812"/>
      <c r="Z89" s="1812"/>
      <c r="AA89" s="1812"/>
      <c r="AB89" s="1812"/>
      <c r="AC89" s="1812"/>
      <c r="AD89" s="1812"/>
      <c r="AE89" s="1812"/>
      <c r="AF89" s="1812"/>
      <c r="AG89" s="1812"/>
      <c r="AH89" s="1812"/>
      <c r="AI89" s="1812"/>
      <c r="AJ89" s="1812"/>
      <c r="AK89" s="1812"/>
      <c r="AL89" s="1812"/>
      <c r="AM89" s="1812"/>
      <c r="AN89" s="1812"/>
      <c r="AO89" s="1812"/>
      <c r="AP89" s="1812"/>
      <c r="AQ89" s="1812"/>
      <c r="AR89" s="1812"/>
      <c r="AS89" s="1812"/>
      <c r="AT89" s="1812"/>
      <c r="AU89" s="17"/>
      <c r="AV89" s="17"/>
      <c r="AW89" s="17"/>
      <c r="AX89" s="17"/>
      <c r="AY89" s="17"/>
      <c r="AZ89" s="20"/>
      <c r="BD89" s="1250" t="s">
        <v>2584</v>
      </c>
      <c r="BE89" s="1252">
        <f>Application!O158</f>
        <v>90017</v>
      </c>
    </row>
    <row r="90" spans="1:57" ht="12.95" customHeight="1">
      <c r="A90" s="1812"/>
      <c r="B90" s="1812"/>
      <c r="C90" s="1812"/>
      <c r="D90" s="1812"/>
      <c r="E90" s="1812"/>
      <c r="F90" s="1812"/>
      <c r="G90" s="1812"/>
      <c r="H90" s="1812"/>
      <c r="I90" s="1812"/>
      <c r="J90" s="1812"/>
      <c r="K90" s="1812"/>
      <c r="L90" s="1812"/>
      <c r="M90" s="1812"/>
      <c r="N90" s="1812"/>
      <c r="O90" s="1812"/>
      <c r="P90" s="1812"/>
      <c r="Q90" s="1812"/>
      <c r="R90" s="1812"/>
      <c r="S90" s="1812"/>
      <c r="T90" s="1812"/>
      <c r="U90" s="1812"/>
      <c r="V90" s="1812"/>
      <c r="W90" s="1812"/>
      <c r="X90" s="1812"/>
      <c r="Y90" s="1812"/>
      <c r="Z90" s="1812"/>
      <c r="AA90" s="1812"/>
      <c r="AB90" s="1812"/>
      <c r="AC90" s="1812"/>
      <c r="AD90" s="1812"/>
      <c r="AE90" s="1812"/>
      <c r="AF90" s="1812"/>
      <c r="AG90" s="1812"/>
      <c r="AH90" s="1812"/>
      <c r="AI90" s="1812"/>
      <c r="AJ90" s="1812"/>
      <c r="AK90" s="1812"/>
      <c r="AL90" s="1812"/>
      <c r="AM90" s="1812"/>
      <c r="AN90" s="1812"/>
      <c r="AO90" s="1812"/>
      <c r="AP90" s="1812"/>
      <c r="AQ90" s="1812"/>
      <c r="AR90" s="1812"/>
      <c r="AS90" s="1812"/>
      <c r="AT90" s="1812"/>
      <c r="AU90" s="17"/>
      <c r="AV90" s="17"/>
      <c r="AW90" s="17"/>
      <c r="AX90" s="17"/>
      <c r="AY90" s="17"/>
      <c r="AZ90" s="20"/>
      <c r="BD90" s="1251" t="s">
        <v>2585</v>
      </c>
      <c r="BE90" s="1252" t="str">
        <f>Application!H16</f>
        <v>MRK Partners, Inc.</v>
      </c>
    </row>
    <row r="91" spans="1:57" ht="12.9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250" t="s">
        <v>2586</v>
      </c>
      <c r="BE91" s="1252" t="str">
        <f>Application!M233</f>
        <v>2711 N. Sepulveda Blvd # 526</v>
      </c>
    </row>
    <row r="92" spans="1:57" ht="12.95" customHeight="1">
      <c r="A92" s="1803" t="s">
        <v>2165</v>
      </c>
      <c r="B92" s="1803"/>
      <c r="C92" s="1803"/>
      <c r="D92" s="1803"/>
      <c r="E92" s="1803"/>
      <c r="F92" s="1803"/>
      <c r="G92" s="1803"/>
      <c r="H92" s="1803"/>
      <c r="I92" s="1803"/>
      <c r="J92" s="1803"/>
      <c r="K92" s="1803"/>
      <c r="L92" s="1803"/>
      <c r="M92" s="1803"/>
      <c r="N92" s="1803"/>
      <c r="O92" s="1803"/>
      <c r="P92" s="1803"/>
      <c r="Q92" s="1803"/>
      <c r="R92" s="1803"/>
      <c r="S92" s="1803"/>
      <c r="T92" s="1803"/>
      <c r="U92" s="1803"/>
      <c r="V92" s="1803"/>
      <c r="W92" s="1803"/>
      <c r="X92" s="1803"/>
      <c r="Y92" s="1803"/>
      <c r="Z92" s="1803"/>
      <c r="AA92" s="1803"/>
      <c r="AB92" s="1803"/>
      <c r="AC92" s="1803"/>
      <c r="AD92" s="1803"/>
      <c r="AE92" s="1803"/>
      <c r="AF92" s="1803"/>
      <c r="AG92" s="1803"/>
      <c r="AH92" s="1803"/>
      <c r="AI92" s="1803"/>
      <c r="AJ92" s="1803"/>
      <c r="AK92" s="1803"/>
      <c r="AL92" s="1803"/>
      <c r="AM92" s="1803"/>
      <c r="AN92" s="1803"/>
      <c r="AO92" s="1803"/>
      <c r="AP92" s="1803"/>
      <c r="AQ92" s="1803"/>
      <c r="AR92" s="1803"/>
      <c r="AS92" s="1803"/>
      <c r="AT92" s="1803"/>
      <c r="AU92" s="20"/>
      <c r="AV92" s="20"/>
      <c r="AW92" s="20"/>
      <c r="AX92" s="20"/>
      <c r="AY92" s="20"/>
      <c r="AZ92" s="20"/>
      <c r="BD92" s="1251" t="s">
        <v>2587</v>
      </c>
      <c r="BE92" s="1252" t="str">
        <f>Application!M234</f>
        <v>Manhattan Beach</v>
      </c>
    </row>
    <row r="93" spans="1:57" ht="12.95" customHeight="1">
      <c r="A93" s="1803"/>
      <c r="B93" s="1803"/>
      <c r="C93" s="1803"/>
      <c r="D93" s="1803"/>
      <c r="E93" s="1803"/>
      <c r="F93" s="1803"/>
      <c r="G93" s="1803"/>
      <c r="H93" s="1803"/>
      <c r="I93" s="1803"/>
      <c r="J93" s="1803"/>
      <c r="K93" s="1803"/>
      <c r="L93" s="1803"/>
      <c r="M93" s="1803"/>
      <c r="N93" s="1803"/>
      <c r="O93" s="1803"/>
      <c r="P93" s="1803"/>
      <c r="Q93" s="1803"/>
      <c r="R93" s="1803"/>
      <c r="S93" s="1803"/>
      <c r="T93" s="1803"/>
      <c r="U93" s="1803"/>
      <c r="V93" s="1803"/>
      <c r="W93" s="1803"/>
      <c r="X93" s="1803"/>
      <c r="Y93" s="1803"/>
      <c r="Z93" s="1803"/>
      <c r="AA93" s="1803"/>
      <c r="AB93" s="1803"/>
      <c r="AC93" s="1803"/>
      <c r="AD93" s="1803"/>
      <c r="AE93" s="1803"/>
      <c r="AF93" s="1803"/>
      <c r="AG93" s="1803"/>
      <c r="AH93" s="1803"/>
      <c r="AI93" s="1803"/>
      <c r="AJ93" s="1803"/>
      <c r="AK93" s="1803"/>
      <c r="AL93" s="1803"/>
      <c r="AM93" s="1803"/>
      <c r="AN93" s="1803"/>
      <c r="AO93" s="1803"/>
      <c r="AP93" s="1803"/>
      <c r="AQ93" s="1803"/>
      <c r="AR93" s="1803"/>
      <c r="AS93" s="1803"/>
      <c r="AT93" s="1803"/>
      <c r="AU93" s="20"/>
      <c r="AV93" s="20"/>
      <c r="AW93" s="20"/>
      <c r="AX93" s="20"/>
      <c r="AY93" s="20"/>
      <c r="AZ93" s="20"/>
      <c r="BD93" s="1250" t="s">
        <v>2588</v>
      </c>
      <c r="BE93" s="1252" t="str">
        <f>Application!W234</f>
        <v>CA</v>
      </c>
    </row>
    <row r="94" spans="1:57" ht="12.95" customHeight="1">
      <c r="A94" s="1803"/>
      <c r="B94" s="1803"/>
      <c r="C94" s="1803"/>
      <c r="D94" s="1803"/>
      <c r="E94" s="1803"/>
      <c r="F94" s="1803"/>
      <c r="G94" s="1803"/>
      <c r="H94" s="1803"/>
      <c r="I94" s="1803"/>
      <c r="J94" s="1803"/>
      <c r="K94" s="1803"/>
      <c r="L94" s="1803"/>
      <c r="M94" s="1803"/>
      <c r="N94" s="1803"/>
      <c r="O94" s="1803"/>
      <c r="P94" s="1803"/>
      <c r="Q94" s="1803"/>
      <c r="R94" s="1803"/>
      <c r="S94" s="1803"/>
      <c r="T94" s="1803"/>
      <c r="U94" s="1803"/>
      <c r="V94" s="1803"/>
      <c r="W94" s="1803"/>
      <c r="X94" s="1803"/>
      <c r="Y94" s="1803"/>
      <c r="Z94" s="1803"/>
      <c r="AA94" s="1803"/>
      <c r="AB94" s="1803"/>
      <c r="AC94" s="1803"/>
      <c r="AD94" s="1803"/>
      <c r="AE94" s="1803"/>
      <c r="AF94" s="1803"/>
      <c r="AG94" s="1803"/>
      <c r="AH94" s="1803"/>
      <c r="AI94" s="1803"/>
      <c r="AJ94" s="1803"/>
      <c r="AK94" s="1803"/>
      <c r="AL94" s="1803"/>
      <c r="AM94" s="1803"/>
      <c r="AN94" s="1803"/>
      <c r="AO94" s="1803"/>
      <c r="AP94" s="1803"/>
      <c r="AQ94" s="1803"/>
      <c r="AR94" s="1803"/>
      <c r="AS94" s="1803"/>
      <c r="AT94" s="1803"/>
      <c r="AU94" s="20"/>
      <c r="AV94" s="20"/>
      <c r="AW94" s="20"/>
      <c r="AX94" s="20"/>
      <c r="AY94" s="20"/>
      <c r="AZ94" s="20"/>
      <c r="BD94" s="1251" t="s">
        <v>2589</v>
      </c>
      <c r="BE94" s="1252">
        <f>Application!AC234</f>
        <v>90266</v>
      </c>
    </row>
    <row r="95" spans="1:57" ht="12.95" customHeight="1">
      <c r="A95" s="1803"/>
      <c r="B95" s="1803"/>
      <c r="C95" s="1803"/>
      <c r="D95" s="1803"/>
      <c r="E95" s="1803"/>
      <c r="F95" s="1803"/>
      <c r="G95" s="1803"/>
      <c r="H95" s="1803"/>
      <c r="I95" s="1803"/>
      <c r="J95" s="1803"/>
      <c r="K95" s="1803"/>
      <c r="L95" s="1803"/>
      <c r="M95" s="1803"/>
      <c r="N95" s="1803"/>
      <c r="O95" s="1803"/>
      <c r="P95" s="1803"/>
      <c r="Q95" s="1803"/>
      <c r="R95" s="1803"/>
      <c r="S95" s="1803"/>
      <c r="T95" s="1803"/>
      <c r="U95" s="1803"/>
      <c r="V95" s="1803"/>
      <c r="W95" s="1803"/>
      <c r="X95" s="1803"/>
      <c r="Y95" s="1803"/>
      <c r="Z95" s="1803"/>
      <c r="AA95" s="1803"/>
      <c r="AB95" s="1803"/>
      <c r="AC95" s="1803"/>
      <c r="AD95" s="1803"/>
      <c r="AE95" s="1803"/>
      <c r="AF95" s="1803"/>
      <c r="AG95" s="1803"/>
      <c r="AH95" s="1803"/>
      <c r="AI95" s="1803"/>
      <c r="AJ95" s="1803"/>
      <c r="AK95" s="1803"/>
      <c r="AL95" s="1803"/>
      <c r="AM95" s="1803"/>
      <c r="AN95" s="1803"/>
      <c r="AO95" s="1803"/>
      <c r="AP95" s="1803"/>
      <c r="AQ95" s="1803"/>
      <c r="AR95" s="1803"/>
      <c r="AS95" s="1803"/>
      <c r="AT95" s="1803"/>
      <c r="AU95" s="20"/>
      <c r="AV95" s="20"/>
      <c r="AW95" s="20"/>
      <c r="AX95" s="20"/>
      <c r="AY95" s="20"/>
      <c r="AZ95" s="20"/>
      <c r="BD95" s="1250" t="s">
        <v>2590</v>
      </c>
      <c r="BE95" s="1252" t="str">
        <f>Application!M235</f>
        <v>Sydne Garchik</v>
      </c>
    </row>
    <row r="96" spans="1:57" ht="12.95" customHeight="1">
      <c r="A96" s="1803"/>
      <c r="B96" s="1803"/>
      <c r="C96" s="1803"/>
      <c r="D96" s="1803"/>
      <c r="E96" s="1803"/>
      <c r="F96" s="1803"/>
      <c r="G96" s="1803"/>
      <c r="H96" s="1803"/>
      <c r="I96" s="1803"/>
      <c r="J96" s="1803"/>
      <c r="K96" s="1803"/>
      <c r="L96" s="1803"/>
      <c r="M96" s="1803"/>
      <c r="N96" s="1803"/>
      <c r="O96" s="1803"/>
      <c r="P96" s="1803"/>
      <c r="Q96" s="1803"/>
      <c r="R96" s="1803"/>
      <c r="S96" s="1803"/>
      <c r="T96" s="1803"/>
      <c r="U96" s="1803"/>
      <c r="V96" s="1803"/>
      <c r="W96" s="1803"/>
      <c r="X96" s="1803"/>
      <c r="Y96" s="1803"/>
      <c r="Z96" s="1803"/>
      <c r="AA96" s="1803"/>
      <c r="AB96" s="1803"/>
      <c r="AC96" s="1803"/>
      <c r="AD96" s="1803"/>
      <c r="AE96" s="1803"/>
      <c r="AF96" s="1803"/>
      <c r="AG96" s="1803"/>
      <c r="AH96" s="1803"/>
      <c r="AI96" s="1803"/>
      <c r="AJ96" s="1803"/>
      <c r="AK96" s="1803"/>
      <c r="AL96" s="1803"/>
      <c r="AM96" s="1803"/>
      <c r="AN96" s="1803"/>
      <c r="AO96" s="1803"/>
      <c r="AP96" s="1803"/>
      <c r="AQ96" s="1803"/>
      <c r="AR96" s="1803"/>
      <c r="AS96" s="1803"/>
      <c r="AT96" s="1803"/>
      <c r="AU96" s="20"/>
      <c r="AV96" s="20"/>
      <c r="AW96" s="20"/>
      <c r="AX96" s="20"/>
      <c r="AY96" s="20"/>
      <c r="AZ96" s="20"/>
      <c r="BD96" s="1251" t="s">
        <v>2591</v>
      </c>
      <c r="BE96" s="1252" t="str">
        <f>Application!M237</f>
        <v>sgarchik@mrkpartners.com</v>
      </c>
    </row>
    <row r="97" spans="1:57" ht="12.95" customHeight="1">
      <c r="A97" s="1803"/>
      <c r="B97" s="1803"/>
      <c r="C97" s="1803"/>
      <c r="D97" s="1803"/>
      <c r="E97" s="1803"/>
      <c r="F97" s="1803"/>
      <c r="G97" s="1803"/>
      <c r="H97" s="1803"/>
      <c r="I97" s="1803"/>
      <c r="J97" s="1803"/>
      <c r="K97" s="1803"/>
      <c r="L97" s="1803"/>
      <c r="M97" s="1803"/>
      <c r="N97" s="1803"/>
      <c r="O97" s="1803"/>
      <c r="P97" s="1803"/>
      <c r="Q97" s="1803"/>
      <c r="R97" s="1803"/>
      <c r="S97" s="1803"/>
      <c r="T97" s="1803"/>
      <c r="U97" s="1803"/>
      <c r="V97" s="1803"/>
      <c r="W97" s="1803"/>
      <c r="X97" s="1803"/>
      <c r="Y97" s="1803"/>
      <c r="Z97" s="1803"/>
      <c r="AA97" s="1803"/>
      <c r="AB97" s="1803"/>
      <c r="AC97" s="1803"/>
      <c r="AD97" s="1803"/>
      <c r="AE97" s="1803"/>
      <c r="AF97" s="1803"/>
      <c r="AG97" s="1803"/>
      <c r="AH97" s="1803"/>
      <c r="AI97" s="1803"/>
      <c r="AJ97" s="1803"/>
      <c r="AK97" s="1803"/>
      <c r="AL97" s="1803"/>
      <c r="AM97" s="1803"/>
      <c r="AN97" s="1803"/>
      <c r="AO97" s="1803"/>
      <c r="AP97" s="1803"/>
      <c r="AQ97" s="1803"/>
      <c r="AR97" s="1803"/>
      <c r="AS97" s="1803"/>
      <c r="AT97" s="1803"/>
      <c r="AU97" s="20"/>
      <c r="AV97" s="20"/>
      <c r="AW97" s="20"/>
      <c r="AX97" s="20"/>
      <c r="AY97" s="20"/>
      <c r="AZ97" s="20"/>
      <c r="BD97" s="1250" t="s">
        <v>2592</v>
      </c>
      <c r="BE97" s="1252" t="str">
        <f>Application!M248</f>
        <v>sgarchik@mrkpartners.com</v>
      </c>
    </row>
    <row r="98" spans="1:57" ht="12.95" customHeight="1">
      <c r="A98" s="1803"/>
      <c r="B98" s="1803"/>
      <c r="C98" s="1803"/>
      <c r="D98" s="1803"/>
      <c r="E98" s="1803"/>
      <c r="F98" s="1803"/>
      <c r="G98" s="1803"/>
      <c r="H98" s="1803"/>
      <c r="I98" s="1803"/>
      <c r="J98" s="1803"/>
      <c r="K98" s="1803"/>
      <c r="L98" s="1803"/>
      <c r="M98" s="1803"/>
      <c r="N98" s="1803"/>
      <c r="O98" s="1803"/>
      <c r="P98" s="1803"/>
      <c r="Q98" s="1803"/>
      <c r="R98" s="1803"/>
      <c r="S98" s="1803"/>
      <c r="T98" s="1803"/>
      <c r="U98" s="1803"/>
      <c r="V98" s="1803"/>
      <c r="W98" s="1803"/>
      <c r="X98" s="1803"/>
      <c r="Y98" s="1803"/>
      <c r="Z98" s="1803"/>
      <c r="AA98" s="1803"/>
      <c r="AB98" s="1803"/>
      <c r="AC98" s="1803"/>
      <c r="AD98" s="1803"/>
      <c r="AE98" s="1803"/>
      <c r="AF98" s="1803"/>
      <c r="AG98" s="1803"/>
      <c r="AH98" s="1803"/>
      <c r="AI98" s="1803"/>
      <c r="AJ98" s="1803"/>
      <c r="AK98" s="1803"/>
      <c r="AL98" s="1803"/>
      <c r="AM98" s="1803"/>
      <c r="AN98" s="1803"/>
      <c r="AO98" s="1803"/>
      <c r="AP98" s="1803"/>
      <c r="AQ98" s="1803"/>
      <c r="AR98" s="1803"/>
      <c r="AS98" s="1803"/>
      <c r="AT98" s="1803"/>
      <c r="AU98" s="20"/>
      <c r="AV98" s="20"/>
      <c r="AW98" s="20"/>
      <c r="AX98" s="20"/>
      <c r="AY98" s="20"/>
      <c r="AZ98" s="20"/>
      <c r="BD98" s="1251" t="s">
        <v>2593</v>
      </c>
      <c r="BE98" s="1252" t="str">
        <f>Application!M256</f>
        <v>robertlaing@pswcdc.org</v>
      </c>
    </row>
    <row r="99" spans="1:57"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250" t="s">
        <v>2594</v>
      </c>
      <c r="BE99" s="1252">
        <f>Application!M264</f>
        <v>0</v>
      </c>
    </row>
    <row r="100" spans="1:57" ht="12.95" customHeight="1">
      <c r="A100" s="1796" t="s">
        <v>2166</v>
      </c>
      <c r="B100" s="1796"/>
      <c r="C100" s="1796"/>
      <c r="D100" s="1796"/>
      <c r="E100" s="1796"/>
      <c r="F100" s="1796"/>
      <c r="G100" s="1796"/>
      <c r="H100" s="1796"/>
      <c r="I100" s="1796"/>
      <c r="J100" s="1796"/>
      <c r="K100" s="1796"/>
      <c r="L100" s="1796"/>
      <c r="M100" s="1796"/>
      <c r="N100" s="1796"/>
      <c r="O100" s="1796"/>
      <c r="P100" s="1796"/>
      <c r="Q100" s="1796"/>
      <c r="R100" s="1796"/>
      <c r="S100" s="1796"/>
      <c r="T100" s="1796"/>
      <c r="U100" s="1796"/>
      <c r="V100" s="1796"/>
      <c r="W100" s="1796"/>
      <c r="X100" s="1796"/>
      <c r="Y100" s="1796"/>
      <c r="Z100" s="1796"/>
      <c r="AA100" s="1796"/>
      <c r="AB100" s="1796"/>
      <c r="AC100" s="1796"/>
      <c r="AD100" s="1796"/>
      <c r="AE100" s="1796"/>
      <c r="AF100" s="1796"/>
      <c r="AG100" s="1796"/>
      <c r="AH100" s="1796"/>
      <c r="AI100" s="1796"/>
      <c r="AJ100" s="1796"/>
      <c r="AK100" s="1796"/>
      <c r="AL100" s="1796"/>
      <c r="AM100" s="1796"/>
      <c r="AN100" s="1796"/>
      <c r="AO100" s="1796"/>
      <c r="AP100" s="1796"/>
      <c r="AQ100" s="1796"/>
      <c r="AR100" s="1796"/>
      <c r="AS100" s="1796"/>
      <c r="AT100" s="1796"/>
      <c r="AU100" s="20"/>
      <c r="AV100" s="20"/>
      <c r="AW100" s="20"/>
      <c r="AX100" s="20"/>
      <c r="AY100" s="20"/>
      <c r="AZ100" s="20"/>
      <c r="BD100" s="1251" t="s">
        <v>2595</v>
      </c>
      <c r="BE100" s="1252" t="str">
        <f>Application!L279</f>
        <v>ljanke@mrkpartners.com</v>
      </c>
    </row>
    <row r="101" spans="1:57" ht="12.95" customHeight="1">
      <c r="A101" s="1796"/>
      <c r="B101" s="1796"/>
      <c r="C101" s="1796"/>
      <c r="D101" s="1796"/>
      <c r="E101" s="1796"/>
      <c r="F101" s="1796"/>
      <c r="G101" s="1796"/>
      <c r="H101" s="1796"/>
      <c r="I101" s="1796"/>
      <c r="J101" s="1796"/>
      <c r="K101" s="1796"/>
      <c r="L101" s="1796"/>
      <c r="M101" s="1796"/>
      <c r="N101" s="1796"/>
      <c r="O101" s="1796"/>
      <c r="P101" s="1796"/>
      <c r="Q101" s="1796"/>
      <c r="R101" s="1796"/>
      <c r="S101" s="1796"/>
      <c r="T101" s="1796"/>
      <c r="U101" s="1796"/>
      <c r="V101" s="1796"/>
      <c r="W101" s="1796"/>
      <c r="X101" s="1796"/>
      <c r="Y101" s="1796"/>
      <c r="Z101" s="1796"/>
      <c r="AA101" s="1796"/>
      <c r="AB101" s="1796"/>
      <c r="AC101" s="1796"/>
      <c r="AD101" s="1796"/>
      <c r="AE101" s="1796"/>
      <c r="AF101" s="1796"/>
      <c r="AG101" s="1796"/>
      <c r="AH101" s="1796"/>
      <c r="AI101" s="1796"/>
      <c r="AJ101" s="1796"/>
      <c r="AK101" s="1796"/>
      <c r="AL101" s="1796"/>
      <c r="AM101" s="1796"/>
      <c r="AN101" s="1796"/>
      <c r="AO101" s="1796"/>
      <c r="AP101" s="1796"/>
      <c r="AQ101" s="1796"/>
      <c r="AR101" s="1796"/>
      <c r="AS101" s="1796"/>
      <c r="AT101" s="1796"/>
      <c r="AU101" s="20"/>
      <c r="AV101" s="20"/>
      <c r="AW101" s="20"/>
      <c r="AX101" s="20"/>
      <c r="AY101" s="20"/>
      <c r="AZ101" s="20"/>
      <c r="BD101" s="3" t="s">
        <v>2601</v>
      </c>
      <c r="BE101">
        <f>'Sources and Uses Budget'!C105</f>
        <v>86190738</v>
      </c>
    </row>
    <row r="102" spans="1:57" ht="12.95" customHeight="1">
      <c r="A102" s="1796"/>
      <c r="B102" s="1796"/>
      <c r="C102" s="1796"/>
      <c r="D102" s="1796"/>
      <c r="E102" s="1796"/>
      <c r="F102" s="1796"/>
      <c r="G102" s="1796"/>
      <c r="H102" s="1796"/>
      <c r="I102" s="1796"/>
      <c r="J102" s="1796"/>
      <c r="K102" s="1796"/>
      <c r="L102" s="1796"/>
      <c r="M102" s="1796"/>
      <c r="N102" s="1796"/>
      <c r="O102" s="1796"/>
      <c r="P102" s="1796"/>
      <c r="Q102" s="1796"/>
      <c r="R102" s="1796"/>
      <c r="S102" s="1796"/>
      <c r="T102" s="1796"/>
      <c r="U102" s="1796"/>
      <c r="V102" s="1796"/>
      <c r="W102" s="1796"/>
      <c r="X102" s="1796"/>
      <c r="Y102" s="1796"/>
      <c r="Z102" s="1796"/>
      <c r="AA102" s="1796"/>
      <c r="AB102" s="1796"/>
      <c r="AC102" s="1796"/>
      <c r="AD102" s="1796"/>
      <c r="AE102" s="1796"/>
      <c r="AF102" s="1796"/>
      <c r="AG102" s="1796"/>
      <c r="AH102" s="1796"/>
      <c r="AI102" s="1796"/>
      <c r="AJ102" s="1796"/>
      <c r="AK102" s="1796"/>
      <c r="AL102" s="1796"/>
      <c r="AM102" s="1796"/>
      <c r="AN102" s="1796"/>
      <c r="AO102" s="1796"/>
      <c r="AP102" s="1796"/>
      <c r="AQ102" s="1796"/>
      <c r="AR102" s="1796"/>
      <c r="AS102" s="1796"/>
      <c r="AT102" s="1796"/>
      <c r="AU102" s="20"/>
      <c r="AV102" s="20"/>
      <c r="AW102" s="20"/>
      <c r="AX102" s="20"/>
      <c r="AY102" s="20"/>
      <c r="AZ102" s="20"/>
      <c r="BD102" s="3" t="s">
        <v>2602</v>
      </c>
      <c r="BE102" t="b">
        <f>T197="Yes"</f>
        <v>0</v>
      </c>
    </row>
    <row r="103" spans="1:57" ht="12.95" customHeight="1">
      <c r="A103" s="1796"/>
      <c r="B103" s="1796"/>
      <c r="C103" s="1796"/>
      <c r="D103" s="1796"/>
      <c r="E103" s="1796"/>
      <c r="F103" s="1796"/>
      <c r="G103" s="1796"/>
      <c r="H103" s="1796"/>
      <c r="I103" s="1796"/>
      <c r="J103" s="1796"/>
      <c r="K103" s="1796"/>
      <c r="L103" s="1796"/>
      <c r="M103" s="1796"/>
      <c r="N103" s="1796"/>
      <c r="O103" s="1796"/>
      <c r="P103" s="1796"/>
      <c r="Q103" s="1796"/>
      <c r="R103" s="1796"/>
      <c r="S103" s="1796"/>
      <c r="T103" s="1796"/>
      <c r="U103" s="1796"/>
      <c r="V103" s="1796"/>
      <c r="W103" s="1796"/>
      <c r="X103" s="1796"/>
      <c r="Y103" s="1796"/>
      <c r="Z103" s="1796"/>
      <c r="AA103" s="1796"/>
      <c r="AB103" s="1796"/>
      <c r="AC103" s="1796"/>
      <c r="AD103" s="1796"/>
      <c r="AE103" s="1796"/>
      <c r="AF103" s="1796"/>
      <c r="AG103" s="1796"/>
      <c r="AH103" s="1796"/>
      <c r="AI103" s="1796"/>
      <c r="AJ103" s="1796"/>
      <c r="AK103" s="1796"/>
      <c r="AL103" s="1796"/>
      <c r="AM103" s="1796"/>
      <c r="AN103" s="1796"/>
      <c r="AO103" s="1796"/>
      <c r="AP103" s="1796"/>
      <c r="AQ103" s="1796"/>
      <c r="AR103" s="1796"/>
      <c r="AS103" s="1796"/>
      <c r="AT103" s="1796"/>
      <c r="AU103" s="20"/>
      <c r="AV103" s="20"/>
      <c r="AW103" s="20"/>
      <c r="AX103" s="20"/>
      <c r="AY103" s="20"/>
    </row>
    <row r="104" spans="1:57" ht="12.9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7" ht="12.95" customHeight="1">
      <c r="A105" s="1796" t="s">
        <v>2167</v>
      </c>
      <c r="B105" s="1796"/>
      <c r="C105" s="1796"/>
      <c r="D105" s="1796"/>
      <c r="E105" s="1796"/>
      <c r="F105" s="1796"/>
      <c r="G105" s="1796"/>
      <c r="H105" s="1796"/>
      <c r="I105" s="1796"/>
      <c r="J105" s="1796"/>
      <c r="K105" s="1796"/>
      <c r="L105" s="1796"/>
      <c r="M105" s="1796"/>
      <c r="N105" s="1796"/>
      <c r="O105" s="1796"/>
      <c r="P105" s="1796"/>
      <c r="Q105" s="1796"/>
      <c r="R105" s="1796"/>
      <c r="S105" s="1796"/>
      <c r="T105" s="1796"/>
      <c r="U105" s="1796"/>
      <c r="V105" s="1796"/>
      <c r="W105" s="1796"/>
      <c r="X105" s="1796"/>
      <c r="Y105" s="1796"/>
      <c r="Z105" s="1796"/>
      <c r="AA105" s="1796"/>
      <c r="AB105" s="1796"/>
      <c r="AC105" s="1796"/>
      <c r="AD105" s="1796"/>
      <c r="AE105" s="1796"/>
      <c r="AF105" s="1796"/>
      <c r="AG105" s="1796"/>
      <c r="AH105" s="1796"/>
      <c r="AI105" s="1796"/>
      <c r="AJ105" s="1796"/>
      <c r="AK105" s="1796"/>
      <c r="AL105" s="1796"/>
      <c r="AM105" s="1796"/>
      <c r="AN105" s="1796"/>
      <c r="AO105" s="1796"/>
      <c r="AP105" s="1796"/>
      <c r="AQ105" s="1796"/>
      <c r="AR105" s="1796"/>
      <c r="AS105" s="1796"/>
      <c r="AT105" s="1796"/>
      <c r="AU105" s="20"/>
      <c r="AV105" s="20"/>
      <c r="AW105" s="20"/>
      <c r="AX105" s="20"/>
      <c r="AY105" s="20"/>
    </row>
    <row r="106" spans="1:57" ht="12.95" customHeight="1">
      <c r="A106" s="1796"/>
      <c r="B106" s="1796"/>
      <c r="C106" s="1796"/>
      <c r="D106" s="1796"/>
      <c r="E106" s="1796"/>
      <c r="F106" s="1796"/>
      <c r="G106" s="1796"/>
      <c r="H106" s="1796"/>
      <c r="I106" s="1796"/>
      <c r="J106" s="1796"/>
      <c r="K106" s="1796"/>
      <c r="L106" s="1796"/>
      <c r="M106" s="1796"/>
      <c r="N106" s="1796"/>
      <c r="O106" s="1796"/>
      <c r="P106" s="1796"/>
      <c r="Q106" s="1796"/>
      <c r="R106" s="1796"/>
      <c r="S106" s="1796"/>
      <c r="T106" s="1796"/>
      <c r="U106" s="1796"/>
      <c r="V106" s="1796"/>
      <c r="W106" s="1796"/>
      <c r="X106" s="1796"/>
      <c r="Y106" s="1796"/>
      <c r="Z106" s="1796"/>
      <c r="AA106" s="1796"/>
      <c r="AB106" s="1796"/>
      <c r="AC106" s="1796"/>
      <c r="AD106" s="1796"/>
      <c r="AE106" s="1796"/>
      <c r="AF106" s="1796"/>
      <c r="AG106" s="1796"/>
      <c r="AH106" s="1796"/>
      <c r="AI106" s="1796"/>
      <c r="AJ106" s="1796"/>
      <c r="AK106" s="1796"/>
      <c r="AL106" s="1796"/>
      <c r="AM106" s="1796"/>
      <c r="AN106" s="1796"/>
      <c r="AO106" s="1796"/>
      <c r="AP106" s="1796"/>
      <c r="AQ106" s="1796"/>
      <c r="AR106" s="1796"/>
      <c r="AS106" s="1796"/>
      <c r="AT106" s="1796"/>
      <c r="AU106" s="20"/>
      <c r="AV106" s="20"/>
      <c r="AW106" s="20"/>
      <c r="AX106" s="20"/>
      <c r="AY106" s="20"/>
    </row>
    <row r="107" spans="1:57" ht="12.95" customHeight="1">
      <c r="A107" s="518"/>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7" ht="12.95" customHeight="1">
      <c r="A108" s="518" t="s">
        <v>2168</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7"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7" ht="12.95" customHeight="1">
      <c r="A110" s="518"/>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7" ht="12.95" customHeight="1">
      <c r="A111" s="518"/>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2.95" customHeight="1">
      <c r="A112" s="518"/>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2.95" customHeight="1">
      <c r="A113" s="290"/>
      <c r="C113" s="3" t="s">
        <v>180</v>
      </c>
      <c r="G113" s="1793" t="s">
        <v>2751</v>
      </c>
      <c r="H113" s="1793"/>
      <c r="I113" s="3" t="s">
        <v>181</v>
      </c>
      <c r="L113" s="1793" t="s">
        <v>2752</v>
      </c>
      <c r="M113" s="1793"/>
      <c r="N113" s="1793"/>
      <c r="O113" s="1793"/>
      <c r="P113" s="1801" t="s">
        <v>2242</v>
      </c>
      <c r="Q113" s="1801"/>
      <c r="R113" s="1801"/>
      <c r="S113" s="1801"/>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2.9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2.95" customHeight="1">
      <c r="A115" s="91"/>
      <c r="C115" s="1806" t="s">
        <v>494</v>
      </c>
      <c r="D115" s="1806"/>
      <c r="E115" s="1806"/>
      <c r="F115" s="1806"/>
      <c r="G115" s="1806"/>
      <c r="H115" s="1806"/>
      <c r="I115" s="1806"/>
      <c r="J115" s="1806"/>
      <c r="K115" s="1806"/>
      <c r="L115" s="203" t="s">
        <v>627</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2.9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2.95" customHeight="1">
      <c r="A117" s="91"/>
      <c r="B117" s="22"/>
      <c r="C117" s="22"/>
      <c r="X117" s="3" t="s">
        <v>628</v>
      </c>
      <c r="Y117" s="1793" t="s">
        <v>2630</v>
      </c>
      <c r="Z117" s="1793"/>
      <c r="AA117" s="1793"/>
      <c r="AB117" s="1793"/>
      <c r="AC117" s="1793"/>
      <c r="AD117" s="1793"/>
      <c r="AE117" s="1793"/>
      <c r="AF117" s="1793"/>
      <c r="AG117" s="1793"/>
      <c r="AH117" s="1793"/>
      <c r="AI117" s="1793"/>
      <c r="AJ117" s="1793"/>
      <c r="AK117" s="1793"/>
    </row>
    <row r="118" spans="1:117" ht="12.95" customHeight="1">
      <c r="X118" s="3"/>
      <c r="Y118" s="3"/>
      <c r="Z118" s="3" t="s">
        <v>629</v>
      </c>
      <c r="AA118" s="3"/>
      <c r="AB118" s="3"/>
      <c r="AC118" s="3"/>
      <c r="AD118" s="3"/>
      <c r="AE118" s="3"/>
      <c r="AF118" s="3"/>
      <c r="AG118" s="3"/>
      <c r="AH118" s="3"/>
      <c r="AI118" s="3"/>
      <c r="AJ118" s="3"/>
      <c r="AK118" s="3"/>
    </row>
    <row r="119" spans="1:117" ht="12.9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2.95" customHeight="1">
      <c r="A120" s="91"/>
      <c r="B120" s="3"/>
      <c r="P120" s="3"/>
      <c r="Q120" s="3"/>
      <c r="R120" s="3"/>
      <c r="S120" s="3"/>
      <c r="T120" s="3"/>
      <c r="U120" s="3"/>
      <c r="V120" s="3"/>
      <c r="W120" s="3"/>
      <c r="X120" s="3"/>
      <c r="Y120" s="1793" t="s">
        <v>2630</v>
      </c>
      <c r="Z120" s="1793"/>
      <c r="AA120" s="1793"/>
      <c r="AB120" s="1793"/>
      <c r="AC120" s="1793"/>
      <c r="AD120" s="1793"/>
      <c r="AE120" s="1793"/>
      <c r="AF120" s="1793"/>
      <c r="AG120" s="1793"/>
      <c r="AH120" s="1793"/>
      <c r="AI120" s="1793"/>
      <c r="AJ120" s="1793"/>
      <c r="AK120" s="1793"/>
      <c r="AL120" s="3"/>
      <c r="AM120" s="3"/>
      <c r="AN120" s="3"/>
      <c r="AO120" s="3"/>
      <c r="AP120" s="3"/>
      <c r="AQ120" s="3"/>
      <c r="AR120" s="3"/>
      <c r="AS120" s="3"/>
      <c r="AT120" s="3"/>
      <c r="AU120" s="3"/>
      <c r="AV120" s="3"/>
      <c r="AW120" s="3"/>
      <c r="AX120" s="3"/>
      <c r="AY120" s="3"/>
    </row>
    <row r="121" spans="1:117" ht="12.95" customHeight="1">
      <c r="A121" s="3"/>
      <c r="B121" s="3"/>
      <c r="P121" s="3"/>
      <c r="Q121" s="3"/>
      <c r="R121" s="3"/>
      <c r="S121" s="3"/>
      <c r="T121" s="3"/>
      <c r="U121" s="3"/>
      <c r="V121" s="3"/>
      <c r="W121" s="3"/>
      <c r="X121" s="3"/>
      <c r="Y121" s="3"/>
      <c r="Z121" s="3" t="s">
        <v>630</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2.95" customHeight="1">
      <c r="A122" s="3"/>
      <c r="B122" s="3"/>
      <c r="T122" s="3"/>
      <c r="U122" s="3"/>
      <c r="V122" s="3"/>
      <c r="W122" s="3"/>
      <c r="AL122" s="3"/>
      <c r="AM122" s="3"/>
      <c r="AN122" s="3"/>
      <c r="AO122" s="3"/>
      <c r="AP122" s="3"/>
      <c r="AQ122" s="3"/>
      <c r="AR122" s="3"/>
      <c r="AS122" s="3"/>
      <c r="AT122" s="3"/>
      <c r="AU122" s="3"/>
      <c r="AV122" s="3"/>
      <c r="AW122" s="3"/>
      <c r="AX122" s="3"/>
      <c r="AY122" s="3"/>
      <c r="CQ122" s="14" t="s">
        <v>632</v>
      </c>
      <c r="CR122" s="14"/>
      <c r="CS122" s="14"/>
      <c r="CT122" s="14"/>
      <c r="CU122" s="1663" t="s">
        <v>469</v>
      </c>
      <c r="CV122" s="1664"/>
      <c r="CW122" s="14"/>
      <c r="CX122" s="14" t="s">
        <v>634</v>
      </c>
      <c r="CY122" s="14"/>
      <c r="CZ122" s="14"/>
      <c r="DA122" s="14"/>
      <c r="DB122" s="14"/>
      <c r="DC122" s="14"/>
      <c r="DD122" s="14"/>
      <c r="DE122" s="14"/>
      <c r="DF122" s="14"/>
      <c r="DG122" s="1660" t="str">
        <f>T189</f>
        <v>Los Angeles</v>
      </c>
      <c r="DH122" s="1661"/>
      <c r="DI122" s="1661"/>
      <c r="DJ122" s="1661"/>
      <c r="DK122" s="1661"/>
      <c r="DL122" s="1661"/>
      <c r="DM122" s="1662"/>
    </row>
    <row r="123" spans="1:117" ht="12.95" customHeight="1">
      <c r="A123" s="3"/>
      <c r="B123" s="3"/>
      <c r="T123" s="3"/>
      <c r="U123" s="3"/>
      <c r="V123" s="3"/>
      <c r="W123" s="3"/>
      <c r="X123" s="3"/>
      <c r="Y123" s="1793" t="s">
        <v>2753</v>
      </c>
      <c r="Z123" s="1793"/>
      <c r="AA123" s="1793"/>
      <c r="AB123" s="1793"/>
      <c r="AC123" s="1793"/>
      <c r="AD123" s="1793"/>
      <c r="AE123" s="1793"/>
      <c r="AF123" s="1793"/>
      <c r="AG123" s="1793"/>
      <c r="AH123" s="1793"/>
      <c r="AI123" s="1793"/>
      <c r="AJ123" s="1793"/>
      <c r="AK123" s="1793"/>
      <c r="AL123" s="3"/>
      <c r="AM123" s="3"/>
      <c r="AN123" s="3"/>
      <c r="AO123" s="3"/>
      <c r="AP123" s="3"/>
      <c r="AQ123" s="3"/>
      <c r="AR123" s="3"/>
      <c r="AS123" s="3"/>
      <c r="AT123" s="3"/>
      <c r="AU123" s="3"/>
      <c r="AV123" s="3"/>
      <c r="AW123" s="3"/>
      <c r="AX123" s="3"/>
      <c r="AY123" s="3"/>
      <c r="DJ123" s="3"/>
      <c r="DK123" s="3"/>
      <c r="DL123" s="3"/>
      <c r="DM123" s="3"/>
    </row>
    <row r="124" spans="1:117" ht="12.95" customHeight="1">
      <c r="A124" s="3"/>
      <c r="B124" s="3"/>
      <c r="T124" s="3"/>
      <c r="U124" s="3"/>
      <c r="V124" s="3"/>
      <c r="W124" s="3"/>
      <c r="X124" s="3"/>
      <c r="Y124" s="3"/>
      <c r="Z124" s="3" t="s">
        <v>631</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469</v>
      </c>
      <c r="CV124" s="14"/>
      <c r="CW124" s="14"/>
      <c r="CX124" s="14"/>
      <c r="CY124" s="14"/>
      <c r="CZ124" s="14"/>
      <c r="DA124" s="14"/>
      <c r="DB124" s="14"/>
      <c r="DE124" s="32"/>
      <c r="DF124" s="32"/>
      <c r="DG124" s="32"/>
      <c r="DH124" s="32"/>
      <c r="DI124" s="32"/>
      <c r="DJ124" s="14"/>
      <c r="DK124" s="14"/>
      <c r="DL124" s="14"/>
      <c r="DM124" s="14"/>
    </row>
    <row r="125" spans="1:117" ht="12.95"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468</v>
      </c>
      <c r="CV125" s="4"/>
      <c r="CW125" s="14"/>
      <c r="CX125" s="14"/>
      <c r="CY125" s="14"/>
      <c r="CZ125" s="14"/>
      <c r="DA125" s="14"/>
      <c r="DB125" s="14"/>
      <c r="DE125" s="4"/>
      <c r="DF125" s="4"/>
      <c r="DG125" s="4"/>
      <c r="DH125" s="4"/>
      <c r="DI125" s="4"/>
      <c r="DJ125" s="4"/>
      <c r="DK125" s="4"/>
      <c r="DL125" s="4"/>
      <c r="DM125" s="4"/>
    </row>
    <row r="126" spans="1:117" ht="12.95"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2.95"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469</v>
      </c>
      <c r="DD127" s="4"/>
      <c r="DE127" s="4"/>
      <c r="DF127" s="4"/>
      <c r="DG127" s="4"/>
      <c r="DH127" s="4"/>
      <c r="DI127" s="4"/>
      <c r="DJ127" s="4"/>
      <c r="DK127" s="4"/>
      <c r="DL127" s="4"/>
      <c r="DM127" s="4"/>
    </row>
    <row r="128" spans="1:117" ht="12.95" customHeight="1">
      <c r="A128" s="355"/>
      <c r="AL128" s="355"/>
      <c r="AM128" s="355"/>
      <c r="AN128" s="355"/>
      <c r="AO128" s="355"/>
      <c r="AP128" s="355"/>
      <c r="AQ128" s="355"/>
      <c r="AR128" s="355"/>
      <c r="AS128" s="355"/>
      <c r="AT128" s="355"/>
      <c r="AU128" s="355"/>
      <c r="AV128" s="355"/>
      <c r="AW128" s="355"/>
      <c r="AX128" s="355"/>
      <c r="AY128" s="355"/>
    </row>
    <row r="129" spans="1:51" ht="12.95" customHeight="1">
      <c r="A129" s="355"/>
      <c r="B129" s="4"/>
      <c r="R129" s="6"/>
      <c r="S129" s="6"/>
      <c r="T129" s="6"/>
      <c r="U129" s="6"/>
      <c r="V129" s="6"/>
      <c r="W129" s="6"/>
      <c r="AL129" s="355"/>
      <c r="AM129" s="355"/>
      <c r="AN129" s="355"/>
      <c r="AO129" s="355"/>
      <c r="AP129" s="355"/>
      <c r="AQ129" s="355"/>
      <c r="AR129" s="355"/>
      <c r="AS129" s="355"/>
      <c r="AT129" s="355"/>
      <c r="AU129" s="355"/>
      <c r="AV129" s="355"/>
      <c r="AW129" s="355"/>
      <c r="AX129" s="355"/>
      <c r="AY129" s="355"/>
    </row>
    <row r="130" spans="1:51" ht="12.95"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5" customHeight="1">
      <c r="A131" s="3"/>
      <c r="AL131" s="3"/>
      <c r="AM131" s="3"/>
      <c r="AN131" s="3"/>
      <c r="AO131" s="3"/>
      <c r="AP131" s="3"/>
      <c r="AQ131" s="3"/>
      <c r="AR131" s="3"/>
      <c r="AS131" s="3"/>
      <c r="AT131" s="3"/>
      <c r="AU131" s="3"/>
      <c r="AV131" s="3"/>
      <c r="AW131" s="3"/>
      <c r="AX131" s="3"/>
      <c r="AY131" s="3"/>
    </row>
    <row r="132" spans="1:51" ht="12.95" customHeight="1">
      <c r="A132" s="3"/>
      <c r="B132" s="3"/>
      <c r="C132" s="3"/>
      <c r="D132" s="3"/>
      <c r="F132" s="203"/>
      <c r="G132" s="203"/>
      <c r="H132" s="203"/>
      <c r="I132" s="203"/>
      <c r="J132" s="203"/>
      <c r="K132" s="203"/>
      <c r="L132" s="203"/>
      <c r="M132" s="203"/>
      <c r="N132" s="3"/>
      <c r="P132" s="3"/>
      <c r="Q132" s="3"/>
      <c r="U132" s="3"/>
      <c r="V132" s="3"/>
      <c r="W132" s="3"/>
      <c r="AL132" s="3"/>
      <c r="AM132" s="3"/>
      <c r="AN132" s="3"/>
      <c r="AO132" s="3"/>
      <c r="AP132" s="3"/>
      <c r="AQ132" s="3"/>
      <c r="AR132" s="3"/>
      <c r="AS132" s="3"/>
      <c r="AT132" s="3"/>
      <c r="AU132" s="3"/>
      <c r="AV132" s="3"/>
      <c r="AW132" s="3"/>
      <c r="AX132" s="3"/>
      <c r="AY132" s="3"/>
    </row>
    <row r="133" spans="1:51" ht="12.95" customHeight="1">
      <c r="A133" s="3"/>
      <c r="W133" s="3"/>
      <c r="AL133" s="3"/>
      <c r="AM133" s="3"/>
      <c r="AN133" s="3"/>
      <c r="AO133" s="3"/>
      <c r="AP133" s="3"/>
      <c r="AQ133" s="3"/>
      <c r="AR133" s="3"/>
      <c r="AS133" s="3"/>
      <c r="AT133" s="3"/>
      <c r="AU133" s="3"/>
      <c r="AV133" s="3"/>
      <c r="AW133" s="3"/>
      <c r="AX133" s="3"/>
      <c r="AY133" s="3"/>
    </row>
    <row r="134" spans="1:51" ht="12.9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customHeight="1">
      <c r="A135" s="3"/>
      <c r="M135" s="3"/>
      <c r="N135" s="3"/>
      <c r="O135" s="3"/>
      <c r="AK135" s="3"/>
      <c r="AL135" s="3"/>
      <c r="AM135" s="3"/>
      <c r="AN135" s="3"/>
      <c r="AO135" s="3"/>
      <c r="AP135" s="3"/>
      <c r="AQ135" s="3"/>
      <c r="AR135" s="3"/>
      <c r="AS135" s="3"/>
      <c r="AT135" s="3"/>
      <c r="AU135" s="3"/>
      <c r="AV135" s="3"/>
      <c r="AW135" s="3"/>
      <c r="AX135" s="3"/>
      <c r="AY135" s="3"/>
    </row>
    <row r="136" spans="1:51" ht="12.9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customHeight="1">
      <c r="A139" s="3"/>
      <c r="B139" s="3"/>
      <c r="C139" s="3"/>
      <c r="D139" s="3"/>
      <c r="E139" s="3"/>
      <c r="F139" s="3"/>
      <c r="G139" s="3"/>
      <c r="H139" s="3"/>
      <c r="I139" s="3"/>
      <c r="J139" s="3"/>
      <c r="K139" s="3"/>
      <c r="L139" s="3"/>
      <c r="M139" s="3"/>
      <c r="N139" s="3"/>
      <c r="O139" s="3"/>
      <c r="P139" s="3"/>
      <c r="Q139" s="3"/>
      <c r="R139" s="3"/>
      <c r="S139" s="118"/>
      <c r="T139" s="456"/>
      <c r="U139" s="456"/>
      <c r="V139" s="456"/>
      <c r="W139" s="456"/>
      <c r="X139" s="456"/>
      <c r="Y139" s="456"/>
      <c r="Z139" s="456"/>
      <c r="AA139" s="456"/>
      <c r="AB139" s="456"/>
      <c r="AC139" s="456"/>
      <c r="AD139" s="456"/>
      <c r="AE139" s="456"/>
      <c r="AF139" s="456"/>
      <c r="AG139" s="456"/>
      <c r="AH139" s="456"/>
      <c r="AI139" s="456"/>
      <c r="AJ139" s="456"/>
      <c r="AK139" s="3"/>
      <c r="AL139" s="3"/>
      <c r="AM139" s="3"/>
      <c r="AN139" s="3"/>
      <c r="AO139" s="3"/>
      <c r="AP139" s="3"/>
      <c r="AQ139" s="3"/>
      <c r="AR139" s="3"/>
      <c r="AS139" s="3"/>
      <c r="AT139" s="3"/>
      <c r="AU139" s="3"/>
      <c r="AV139" s="3"/>
      <c r="AW139" s="3"/>
      <c r="AX139" s="3"/>
      <c r="AY139" s="3"/>
    </row>
    <row r="140" spans="1:51" ht="12.95" customHeight="1">
      <c r="A140" s="3"/>
      <c r="B140" s="119"/>
      <c r="C140" s="456"/>
      <c r="D140" s="456"/>
      <c r="E140" s="456"/>
      <c r="F140" s="456"/>
      <c r="G140" s="456"/>
      <c r="H140" s="456"/>
      <c r="I140" s="456"/>
      <c r="J140" s="456"/>
      <c r="K140" s="456"/>
      <c r="L140" s="456"/>
      <c r="M140" s="456"/>
      <c r="N140" s="456"/>
      <c r="O140" s="456"/>
      <c r="P140" s="456"/>
      <c r="Q140" s="456"/>
      <c r="R140" s="456"/>
      <c r="S140" s="456"/>
      <c r="T140" s="456"/>
      <c r="U140" s="456"/>
      <c r="V140" s="456"/>
      <c r="W140" s="456"/>
      <c r="X140" s="456"/>
      <c r="Y140" s="456"/>
      <c r="Z140" s="456"/>
      <c r="AA140" s="456"/>
      <c r="AB140" s="456"/>
      <c r="AC140" s="456"/>
      <c r="AD140" s="456"/>
      <c r="AE140" s="456"/>
      <c r="AF140" s="456"/>
      <c r="AG140" s="456"/>
      <c r="AH140" s="456"/>
      <c r="AI140" s="456"/>
      <c r="AJ140" s="456"/>
      <c r="AK140" s="3"/>
      <c r="AL140" s="3"/>
      <c r="AM140" s="3"/>
      <c r="AN140" s="3"/>
      <c r="AO140" s="3"/>
      <c r="AP140" s="3"/>
      <c r="AQ140" s="3"/>
      <c r="AR140" s="3"/>
      <c r="AS140" s="3"/>
      <c r="AT140" s="3"/>
      <c r="AU140" s="3"/>
      <c r="AV140" s="3"/>
      <c r="AW140" s="3"/>
      <c r="AX140" s="3"/>
      <c r="AY140" s="3"/>
    </row>
    <row r="141" spans="1:51" ht="12.95" customHeight="1">
      <c r="A141" s="3"/>
      <c r="B141" s="119"/>
      <c r="C141" s="456"/>
      <c r="D141" s="456"/>
      <c r="E141" s="456"/>
      <c r="F141" s="456"/>
      <c r="G141" s="456"/>
      <c r="H141" s="456"/>
      <c r="I141" s="456"/>
      <c r="J141" s="456"/>
      <c r="K141" s="456"/>
      <c r="L141" s="456"/>
      <c r="M141" s="456"/>
      <c r="N141" s="456"/>
      <c r="O141" s="456"/>
      <c r="P141" s="456"/>
      <c r="Q141" s="456"/>
      <c r="R141" s="456"/>
      <c r="S141" s="456"/>
      <c r="T141" s="456"/>
      <c r="U141" s="456"/>
      <c r="V141" s="456"/>
      <c r="W141" s="456"/>
      <c r="X141" s="456"/>
      <c r="Y141" s="456"/>
      <c r="Z141" s="456"/>
      <c r="AA141" s="456"/>
      <c r="AB141" s="456"/>
      <c r="AC141" s="456"/>
      <c r="AD141" s="456"/>
      <c r="AE141" s="456"/>
      <c r="AF141" s="456"/>
      <c r="AG141" s="456"/>
      <c r="AH141" s="456"/>
      <c r="AI141" s="456"/>
      <c r="AJ141" s="456"/>
      <c r="AK141" s="3"/>
      <c r="AL141" s="3"/>
      <c r="AM141" s="3"/>
      <c r="AN141" s="3"/>
      <c r="AO141" s="3"/>
      <c r="AP141" s="3"/>
      <c r="AQ141" s="3"/>
      <c r="AR141" s="3"/>
      <c r="AS141" s="3"/>
      <c r="AT141" s="3"/>
      <c r="AU141" s="3"/>
      <c r="AV141" s="3"/>
      <c r="AW141" s="3"/>
      <c r="AX141" s="3"/>
      <c r="AY141" s="3"/>
    </row>
    <row r="142" spans="1:51" ht="12.95" customHeight="1">
      <c r="A142" s="3"/>
      <c r="B142" s="119"/>
      <c r="C142" s="442"/>
      <c r="D142" s="442"/>
      <c r="E142" s="442"/>
      <c r="F142" s="442"/>
      <c r="G142" s="442"/>
      <c r="H142" s="442"/>
      <c r="I142" s="442"/>
      <c r="J142" s="442"/>
      <c r="K142" s="442"/>
      <c r="L142" s="442"/>
      <c r="M142" s="442"/>
      <c r="N142" s="442"/>
      <c r="O142" s="442"/>
      <c r="P142" s="442"/>
      <c r="Q142" s="442"/>
      <c r="R142" s="442"/>
      <c r="S142" s="442"/>
      <c r="T142" s="442"/>
      <c r="U142" s="442"/>
      <c r="V142" s="442"/>
      <c r="W142" s="442"/>
      <c r="X142" s="442"/>
      <c r="Y142" s="442"/>
      <c r="Z142" s="442"/>
      <c r="AA142" s="442"/>
      <c r="AB142" s="442"/>
      <c r="AC142" s="442"/>
      <c r="AD142" s="442"/>
      <c r="AE142" s="442"/>
      <c r="AF142" s="442"/>
      <c r="AG142" s="442"/>
      <c r="AH142" s="442"/>
      <c r="AI142" s="442"/>
      <c r="AJ142" s="442"/>
      <c r="AK142" s="3"/>
      <c r="AL142" s="3"/>
      <c r="AM142" s="3"/>
      <c r="AN142" s="3"/>
      <c r="AO142" s="3"/>
      <c r="AP142" s="3"/>
      <c r="AQ142" s="3"/>
      <c r="AR142" s="3"/>
      <c r="AS142" s="3"/>
      <c r="AT142" s="3"/>
      <c r="AU142" s="3"/>
      <c r="AV142" s="3"/>
      <c r="AW142" s="3"/>
      <c r="AX142" s="3"/>
      <c r="AY142" s="3"/>
    </row>
    <row r="143" spans="1:51" ht="12.95" customHeight="1">
      <c r="A143" s="3"/>
      <c r="D143" s="442"/>
      <c r="E143" s="442"/>
      <c r="F143" s="442"/>
      <c r="G143" s="442"/>
      <c r="H143" s="442"/>
      <c r="I143" s="442"/>
      <c r="J143" s="442"/>
      <c r="K143" s="442"/>
      <c r="L143" s="442"/>
      <c r="M143" s="442"/>
      <c r="N143" s="442"/>
      <c r="O143" s="442"/>
      <c r="P143" s="442"/>
      <c r="Q143" s="442"/>
      <c r="R143" s="442"/>
      <c r="S143" s="442"/>
      <c r="T143" s="442"/>
      <c r="U143" s="442"/>
      <c r="V143" s="442"/>
      <c r="W143" s="442"/>
      <c r="X143" s="442"/>
      <c r="Y143" s="442"/>
      <c r="Z143" s="442"/>
      <c r="AA143" s="442"/>
      <c r="AB143" s="442"/>
      <c r="AC143" s="442"/>
      <c r="AD143" s="442"/>
      <c r="AE143" s="442"/>
      <c r="AF143" s="442"/>
      <c r="AG143" s="442"/>
      <c r="AH143" s="442"/>
      <c r="AI143" s="442"/>
      <c r="AJ143" s="442"/>
      <c r="AK143" s="3"/>
      <c r="AL143" s="3"/>
      <c r="AM143" s="3"/>
      <c r="AN143" s="3"/>
      <c r="AO143" s="3"/>
      <c r="AP143" s="3"/>
      <c r="AQ143" s="3"/>
      <c r="AR143" s="3"/>
      <c r="AS143" s="3"/>
      <c r="AT143" s="3"/>
      <c r="AU143" s="3"/>
      <c r="AV143" s="3"/>
      <c r="AW143" s="3"/>
      <c r="AX143" s="3"/>
      <c r="AY143" s="3"/>
    </row>
    <row r="144" spans="1:51" ht="12.95" customHeight="1">
      <c r="A144" s="3"/>
      <c r="B144" s="520"/>
      <c r="C144" s="442"/>
      <c r="D144" s="442"/>
      <c r="E144" s="442"/>
      <c r="F144" s="442"/>
      <c r="G144" s="442"/>
      <c r="H144" s="442"/>
      <c r="I144" s="442"/>
      <c r="J144" s="442"/>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2"/>
      <c r="AJ144" s="442"/>
      <c r="AK144" s="3"/>
      <c r="AL144" s="3"/>
      <c r="AM144" s="3"/>
      <c r="AN144" s="3"/>
      <c r="AO144" s="3"/>
      <c r="AP144" s="3"/>
      <c r="AQ144" s="3"/>
      <c r="AR144" s="3"/>
      <c r="AS144" s="3"/>
      <c r="AT144" s="3"/>
      <c r="AU144" s="3"/>
      <c r="AV144" s="3"/>
      <c r="AW144" s="3"/>
      <c r="AX144" s="3"/>
      <c r="AY144" s="3"/>
    </row>
    <row r="145" spans="1:108" ht="12.95" customHeight="1">
      <c r="A145" s="3"/>
      <c r="B145" s="3"/>
      <c r="C145" s="442"/>
      <c r="D145" s="442"/>
      <c r="E145" s="442"/>
      <c r="F145" s="442"/>
      <c r="G145" s="442"/>
      <c r="H145" s="442"/>
      <c r="I145" s="442"/>
      <c r="J145" s="442"/>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2"/>
      <c r="AJ145" s="442"/>
      <c r="AK145" s="3"/>
      <c r="AL145" s="3"/>
      <c r="AM145" s="3"/>
      <c r="AN145" s="3"/>
      <c r="AO145" s="3"/>
      <c r="AP145" s="3"/>
      <c r="AQ145" s="3"/>
      <c r="AR145" s="3"/>
      <c r="AS145" s="3"/>
      <c r="AT145" s="3"/>
      <c r="AU145" s="3"/>
      <c r="AV145" s="3"/>
      <c r="AW145" s="3"/>
      <c r="AX145" s="3"/>
      <c r="AY145" s="3"/>
    </row>
    <row r="146" spans="1:108" ht="12.95" customHeight="1">
      <c r="A146" s="3"/>
      <c r="D146" s="442"/>
      <c r="E146" s="442"/>
      <c r="F146" s="442"/>
      <c r="G146" s="442"/>
      <c r="H146" s="442"/>
      <c r="I146" s="442"/>
      <c r="J146" s="442"/>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2"/>
      <c r="AJ146" s="442"/>
      <c r="AK146" s="3"/>
      <c r="AL146" s="3"/>
      <c r="AM146" s="3"/>
      <c r="AN146" s="3"/>
      <c r="AO146" s="3"/>
      <c r="AP146" s="3"/>
      <c r="AQ146" s="3"/>
      <c r="AR146" s="3"/>
      <c r="AS146" s="3"/>
      <c r="AT146" s="3"/>
      <c r="AU146" s="3"/>
      <c r="AV146" s="3"/>
      <c r="AW146" s="3"/>
      <c r="AX146" s="3"/>
      <c r="AY146" s="3"/>
    </row>
    <row r="147" spans="1:108" ht="12.95" customHeight="1">
      <c r="A147" s="3"/>
      <c r="B147" s="520"/>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c r="BN147" s="3" t="s">
        <v>306</v>
      </c>
    </row>
    <row r="148" spans="1:108" ht="12.9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t="s">
        <v>591</v>
      </c>
    </row>
    <row r="149" spans="1:108"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875</v>
      </c>
    </row>
    <row r="150" spans="1:108" ht="12.95" customHeight="1">
      <c r="A150" s="3"/>
      <c r="B150" s="3"/>
      <c r="D150" s="3"/>
      <c r="E150" s="3"/>
      <c r="F150" s="1333"/>
      <c r="G150" s="1333"/>
      <c r="H150" s="1333"/>
      <c r="I150" s="1333"/>
      <c r="J150" s="1333"/>
      <c r="K150" s="1333"/>
      <c r="L150" s="1333"/>
      <c r="M150" s="1333"/>
      <c r="N150" s="1333"/>
      <c r="O150" s="1333"/>
      <c r="P150" s="1333"/>
      <c r="Q150" s="1333"/>
      <c r="R150" s="1333"/>
      <c r="S150" s="1333"/>
      <c r="T150" s="133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City of Los Angeles</v>
      </c>
    </row>
    <row r="151" spans="1:108"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2468</v>
      </c>
    </row>
    <row r="152" spans="1:108" ht="12.95" customHeight="1">
      <c r="BM152">
        <v>4</v>
      </c>
      <c r="BN152" s="3" t="s">
        <v>2467</v>
      </c>
    </row>
    <row r="153" spans="1:108" ht="12.95" customHeight="1">
      <c r="D153" t="s">
        <v>645</v>
      </c>
      <c r="O153" s="1799" t="s">
        <v>875</v>
      </c>
      <c r="P153" s="1799"/>
      <c r="Q153" s="1799"/>
      <c r="R153" s="1799"/>
      <c r="S153" s="1799"/>
      <c r="T153" s="1799"/>
      <c r="U153" s="1799"/>
      <c r="V153" s="1799"/>
      <c r="W153" s="1799"/>
      <c r="X153" s="1799"/>
      <c r="Y153" s="1799"/>
      <c r="Z153" s="1799"/>
      <c r="AA153" s="1799"/>
      <c r="AB153" s="1799"/>
      <c r="AC153" s="1799"/>
      <c r="AD153" s="1799"/>
      <c r="AE153" s="1799"/>
      <c r="AF153" s="1799"/>
      <c r="AG153" s="1799"/>
      <c r="AH153" s="1799"/>
      <c r="BM153">
        <v>5</v>
      </c>
      <c r="BN153" s="3" t="s">
        <v>2469</v>
      </c>
      <c r="CR153" s="31" t="s">
        <v>2603</v>
      </c>
      <c r="CS153" s="32"/>
      <c r="CT153" s="32"/>
      <c r="CU153" s="32"/>
      <c r="CV153" s="32"/>
      <c r="CW153" s="32"/>
      <c r="CX153" s="14"/>
      <c r="CY153" s="31" t="s">
        <v>2604</v>
      </c>
      <c r="CZ153" s="14"/>
      <c r="DA153" s="14"/>
      <c r="DB153" s="14"/>
      <c r="DC153" s="14"/>
      <c r="DD153" s="14"/>
    </row>
    <row r="154" spans="1:108" ht="12.95" customHeight="1">
      <c r="D154" s="304" t="s">
        <v>439</v>
      </c>
      <c r="O154" s="1800" t="s">
        <v>2611</v>
      </c>
      <c r="P154" s="1800"/>
      <c r="Q154" s="1800"/>
      <c r="R154" s="1800"/>
      <c r="S154" s="1800"/>
      <c r="T154" s="1800"/>
      <c r="U154" s="1800"/>
      <c r="V154" s="1800"/>
      <c r="W154" s="1800"/>
      <c r="X154" s="1800"/>
      <c r="Y154" s="1800"/>
      <c r="Z154" s="1800"/>
      <c r="AA154" s="1800"/>
      <c r="AB154" s="1800"/>
      <c r="AC154" s="1800"/>
      <c r="AD154" s="1800"/>
      <c r="AE154" s="1800"/>
      <c r="AF154" s="1800"/>
      <c r="AG154" s="1800"/>
      <c r="AH154" s="1800"/>
      <c r="BM154">
        <v>6</v>
      </c>
      <c r="BN154" s="3" t="s">
        <v>2470</v>
      </c>
      <c r="CR154" s="31"/>
      <c r="CS154" s="32"/>
      <c r="CT154" s="32"/>
      <c r="CU154" s="32"/>
      <c r="CV154" s="32"/>
      <c r="CW154" s="32"/>
      <c r="CX154" s="14"/>
      <c r="CY154" s="31"/>
      <c r="CZ154" s="14"/>
      <c r="DA154" s="14"/>
      <c r="DB154" s="14"/>
      <c r="DC154" s="14"/>
      <c r="DD154" s="14"/>
    </row>
    <row r="155" spans="1:108" ht="12.95" customHeight="1">
      <c r="D155" s="8" t="s">
        <v>441</v>
      </c>
      <c r="F155" s="8"/>
      <c r="G155" s="8"/>
      <c r="H155" s="8"/>
      <c r="I155" s="8"/>
      <c r="J155" s="8"/>
      <c r="K155" s="8"/>
      <c r="L155" s="8"/>
      <c r="M155" s="8"/>
      <c r="N155" s="8"/>
      <c r="O155" s="1817" t="s">
        <v>440</v>
      </c>
      <c r="P155" s="1817"/>
      <c r="Q155" s="1817"/>
      <c r="R155" s="1817"/>
      <c r="S155" s="1817"/>
      <c r="T155" s="1817"/>
      <c r="U155" s="1817"/>
      <c r="V155" s="1817"/>
      <c r="W155" s="1817"/>
      <c r="X155" s="1817"/>
      <c r="Y155" s="1817"/>
      <c r="Z155" s="1817"/>
      <c r="AA155" s="1817"/>
      <c r="AB155" s="1817"/>
      <c r="AC155" s="1817"/>
      <c r="AD155" s="1817"/>
      <c r="AE155" s="1817"/>
      <c r="AF155" s="1817"/>
      <c r="AG155" s="1817"/>
      <c r="AH155" s="1817"/>
      <c r="BM155">
        <v>7</v>
      </c>
      <c r="CR155" s="31"/>
      <c r="CS155" s="32"/>
      <c r="CT155" s="32"/>
      <c r="CU155" s="32"/>
      <c r="CV155" s="32"/>
      <c r="CW155" s="32"/>
      <c r="CX155" s="14"/>
      <c r="CY155" s="31"/>
      <c r="CZ155" s="14"/>
      <c r="DA155" s="14"/>
      <c r="DB155" s="14"/>
      <c r="DC155" s="14"/>
      <c r="DD155" s="14"/>
    </row>
    <row r="156" spans="1:108" ht="12.95" customHeight="1">
      <c r="D156" t="s">
        <v>312</v>
      </c>
      <c r="O156" s="1799" t="s">
        <v>2612</v>
      </c>
      <c r="P156" s="1799"/>
      <c r="Q156" s="1799"/>
      <c r="R156" s="1799"/>
      <c r="S156" s="1799"/>
      <c r="T156" s="1799"/>
      <c r="U156" s="1799"/>
      <c r="V156" s="1799"/>
      <c r="W156" s="1799"/>
      <c r="X156" s="1799"/>
      <c r="Y156" s="1799"/>
      <c r="Z156" s="1799"/>
      <c r="AA156" s="1799"/>
      <c r="AB156" s="1799"/>
      <c r="AC156" s="1799"/>
      <c r="AD156" s="1799"/>
      <c r="AE156" s="1799"/>
      <c r="AF156" s="1799"/>
      <c r="AG156" s="1799"/>
      <c r="AH156" s="1799"/>
      <c r="BT156" t="s">
        <v>306</v>
      </c>
      <c r="CB156" s="195" t="s">
        <v>2225</v>
      </c>
      <c r="CC156" s="196"/>
      <c r="CD156" s="196"/>
      <c r="CE156" s="196"/>
      <c r="CF156" s="196"/>
      <c r="CG156" s="196"/>
      <c r="CH156" s="196"/>
      <c r="CI156" s="3"/>
      <c r="CJ156" s="195" t="s">
        <v>2226</v>
      </c>
      <c r="CK156" s="3"/>
      <c r="CL156" s="3"/>
      <c r="CM156" s="3"/>
      <c r="CN156" s="3"/>
      <c r="CR156" s="31"/>
      <c r="CS156" s="32"/>
      <c r="CT156" s="32"/>
      <c r="CU156" s="32"/>
      <c r="CV156" s="32"/>
      <c r="CW156" s="32"/>
      <c r="CX156" s="14"/>
      <c r="CY156" s="31"/>
      <c r="CZ156" s="14"/>
      <c r="DA156" s="14"/>
      <c r="DB156" s="14"/>
      <c r="DC156" s="14"/>
      <c r="DD156" s="14"/>
    </row>
    <row r="157" spans="1:108" ht="12.95" customHeight="1">
      <c r="D157" t="s">
        <v>313</v>
      </c>
      <c r="O157" s="1799" t="s">
        <v>494</v>
      </c>
      <c r="P157" s="1799"/>
      <c r="Q157" s="1799"/>
      <c r="R157" s="1799"/>
      <c r="S157" s="1799"/>
      <c r="T157" s="1799"/>
      <c r="U157" s="1799"/>
      <c r="V157" s="1799"/>
      <c r="W157" s="1799"/>
      <c r="X157" s="1799"/>
      <c r="Y157" s="8"/>
      <c r="Z157" s="8"/>
      <c r="AA157" s="8"/>
      <c r="AB157" s="8"/>
      <c r="AC157" s="8"/>
      <c r="AD157" s="8"/>
      <c r="AE157" s="8"/>
      <c r="AF157" s="8"/>
      <c r="BN157" s="23" t="s">
        <v>636</v>
      </c>
      <c r="BS157">
        <v>2</v>
      </c>
      <c r="BT157" t="s">
        <v>476</v>
      </c>
      <c r="CB157" s="287" t="s">
        <v>647</v>
      </c>
      <c r="CC157" s="196"/>
      <c r="CD157" s="196"/>
      <c r="CE157" s="196"/>
      <c r="CF157" s="196"/>
      <c r="CG157" s="196"/>
      <c r="CH157" s="196"/>
      <c r="CI157" s="3"/>
      <c r="CJ157" s="287" t="s">
        <v>1932</v>
      </c>
      <c r="CK157" s="3"/>
      <c r="CL157" s="3"/>
      <c r="CM157" s="3"/>
      <c r="CN157" s="3"/>
      <c r="CR157" s="14"/>
      <c r="CS157" s="32"/>
      <c r="CT157" s="32"/>
      <c r="CU157" s="32"/>
      <c r="CV157" s="32"/>
      <c r="CW157" s="32"/>
      <c r="CX157" s="14"/>
      <c r="CY157" s="14"/>
      <c r="CZ157" s="14"/>
      <c r="DA157" s="14"/>
      <c r="DB157" s="14"/>
      <c r="DC157" s="14"/>
      <c r="DD157" s="14"/>
    </row>
    <row r="158" spans="1:108" ht="12.95" customHeight="1">
      <c r="D158" t="s">
        <v>314</v>
      </c>
      <c r="O158" s="1821">
        <v>90017</v>
      </c>
      <c r="P158" s="1821"/>
      <c r="Q158" s="1821"/>
      <c r="R158" s="1821"/>
      <c r="S158" s="9"/>
      <c r="T158" s="9"/>
      <c r="U158" s="9"/>
      <c r="V158" s="9"/>
      <c r="W158" s="9"/>
      <c r="X158" s="9"/>
      <c r="Y158" s="9"/>
      <c r="Z158" s="9"/>
      <c r="AA158" s="9"/>
      <c r="AB158" s="9"/>
      <c r="AC158" s="9"/>
      <c r="AD158" s="9"/>
      <c r="AE158" s="9"/>
      <c r="AF158" s="9"/>
      <c r="BN158" s="23" t="s">
        <v>637</v>
      </c>
      <c r="BS158">
        <v>7</v>
      </c>
      <c r="BT158" t="s">
        <v>477</v>
      </c>
      <c r="CB158" s="285"/>
      <c r="CC158" s="197"/>
      <c r="CD158" s="286"/>
      <c r="CE158" s="286"/>
      <c r="CF158" s="286"/>
      <c r="CG158" s="286"/>
      <c r="CH158" s="286"/>
      <c r="CI158" s="3"/>
      <c r="CJ158" s="3"/>
      <c r="CK158" s="3"/>
      <c r="CL158" s="3"/>
      <c r="CM158" s="3"/>
      <c r="CN158" s="3"/>
      <c r="CR158" s="14"/>
      <c r="CS158" s="32"/>
      <c r="CT158" s="32"/>
      <c r="CU158" s="32"/>
      <c r="CV158" s="32"/>
      <c r="CW158" s="32"/>
      <c r="CX158" s="14"/>
      <c r="CY158" s="14"/>
      <c r="CZ158" s="14"/>
      <c r="DA158" s="14"/>
      <c r="DB158" s="14"/>
      <c r="DC158" s="14"/>
      <c r="DD158" s="14"/>
    </row>
    <row r="159" spans="1:108" ht="12.95" customHeight="1" thickBot="1">
      <c r="D159" t="s">
        <v>315</v>
      </c>
      <c r="O159" s="1811" t="s">
        <v>2613</v>
      </c>
      <c r="P159" s="1811"/>
      <c r="Q159" s="1811"/>
      <c r="R159" s="1811"/>
      <c r="S159" s="1811"/>
      <c r="T159" s="1811"/>
      <c r="V159" s="97" t="s">
        <v>270</v>
      </c>
      <c r="W159" s="1797"/>
      <c r="X159" s="1797"/>
      <c r="Y159" s="10"/>
      <c r="Z159" s="10"/>
      <c r="AA159" s="10"/>
      <c r="AB159" s="10"/>
      <c r="AC159" s="10"/>
      <c r="AD159" s="10"/>
      <c r="AE159" s="10"/>
      <c r="AF159" s="10"/>
      <c r="BN159" s="23" t="s">
        <v>338</v>
      </c>
      <c r="BS159">
        <v>7</v>
      </c>
      <c r="BT159" t="s">
        <v>478</v>
      </c>
      <c r="CB159" s="348" t="s">
        <v>648</v>
      </c>
      <c r="CC159" s="349" t="s">
        <v>323</v>
      </c>
      <c r="CD159" s="349" t="s">
        <v>324</v>
      </c>
      <c r="CE159" s="349" t="s">
        <v>163</v>
      </c>
      <c r="CF159" s="349" t="s">
        <v>164</v>
      </c>
      <c r="CG159" s="349" t="s">
        <v>165</v>
      </c>
      <c r="CH159" s="349" t="s">
        <v>30</v>
      </c>
      <c r="CI159" s="3"/>
      <c r="CJ159" s="349" t="s">
        <v>323</v>
      </c>
      <c r="CK159" s="349" t="s">
        <v>324</v>
      </c>
      <c r="CL159" s="349" t="s">
        <v>163</v>
      </c>
      <c r="CM159" s="349" t="s">
        <v>164</v>
      </c>
      <c r="CN159" s="349" t="s">
        <v>165</v>
      </c>
      <c r="CR159" s="14"/>
      <c r="CS159" s="71" t="s">
        <v>633</v>
      </c>
      <c r="CT159" s="72" t="s">
        <v>324</v>
      </c>
      <c r="CU159" s="72" t="s">
        <v>163</v>
      </c>
      <c r="CV159" s="72" t="s">
        <v>164</v>
      </c>
      <c r="CW159" s="72" t="s">
        <v>460</v>
      </c>
      <c r="CX159" s="14"/>
      <c r="CY159" s="14"/>
      <c r="CZ159" s="71" t="s">
        <v>633</v>
      </c>
      <c r="DA159" s="72" t="s">
        <v>324</v>
      </c>
      <c r="DB159" s="72" t="s">
        <v>163</v>
      </c>
      <c r="DC159" s="72" t="s">
        <v>164</v>
      </c>
      <c r="DD159" s="72" t="s">
        <v>460</v>
      </c>
    </row>
    <row r="160" spans="1:108" ht="12.95" customHeight="1">
      <c r="D160" t="s">
        <v>316</v>
      </c>
      <c r="O160" s="1813"/>
      <c r="P160" s="1813"/>
      <c r="Q160" s="1813"/>
      <c r="R160" s="1813"/>
      <c r="S160" s="1813"/>
      <c r="T160" s="1813"/>
      <c r="U160" s="10"/>
      <c r="V160" s="10"/>
      <c r="W160" s="10"/>
      <c r="X160" s="10"/>
      <c r="Y160" s="10"/>
      <c r="Z160" s="10"/>
      <c r="AA160" s="10"/>
      <c r="AB160" s="10"/>
      <c r="AC160" s="10"/>
      <c r="AD160" s="10"/>
      <c r="AE160" s="10"/>
      <c r="AF160" s="10"/>
      <c r="BN160" s="23" t="s">
        <v>660</v>
      </c>
      <c r="BS160">
        <v>6</v>
      </c>
      <c r="BT160" t="s">
        <v>479</v>
      </c>
      <c r="CB160" s="350" t="s">
        <v>476</v>
      </c>
      <c r="CC160" s="458">
        <v>2724</v>
      </c>
      <c r="CD160" s="459">
        <v>2920</v>
      </c>
      <c r="CE160" s="460">
        <v>3504</v>
      </c>
      <c r="CF160" s="459">
        <v>4048</v>
      </c>
      <c r="CG160" s="460">
        <v>4516</v>
      </c>
      <c r="CH160" s="461">
        <v>4982</v>
      </c>
      <c r="CI160" s="3"/>
      <c r="CJ160" s="862">
        <v>1825</v>
      </c>
      <c r="CK160" s="862">
        <v>2131</v>
      </c>
      <c r="CL160" s="862">
        <v>2590</v>
      </c>
      <c r="CM160" s="862">
        <v>3342</v>
      </c>
      <c r="CN160" s="862">
        <v>3954</v>
      </c>
      <c r="CR160" s="23" t="s">
        <v>636</v>
      </c>
      <c r="CS160" s="324">
        <v>473390</v>
      </c>
      <c r="CT160" s="324">
        <v>545814</v>
      </c>
      <c r="CU160" s="324">
        <v>658400</v>
      </c>
      <c r="CV160" s="324">
        <v>842752</v>
      </c>
      <c r="CW160" s="324">
        <v>938878</v>
      </c>
      <c r="CX160" s="14"/>
      <c r="CY160" s="23" t="s">
        <v>636</v>
      </c>
      <c r="CZ160" s="324">
        <v>473390</v>
      </c>
      <c r="DA160" s="324">
        <v>545814</v>
      </c>
      <c r="DB160" s="324">
        <v>658400</v>
      </c>
      <c r="DC160" s="324">
        <v>842752</v>
      </c>
      <c r="DD160" s="324">
        <v>938878</v>
      </c>
    </row>
    <row r="161" spans="1:108" ht="12.95" customHeight="1">
      <c r="D161" t="s">
        <v>317</v>
      </c>
      <c r="O161" s="1788" t="s">
        <v>2614</v>
      </c>
      <c r="P161" s="1788"/>
      <c r="Q161" s="1788"/>
      <c r="R161" s="1788"/>
      <c r="S161" s="1788"/>
      <c r="T161" s="1788"/>
      <c r="U161" s="1788"/>
      <c r="V161" s="1788"/>
      <c r="W161" s="1788"/>
      <c r="X161" s="1788"/>
      <c r="Y161" s="1788"/>
      <c r="Z161" s="1788"/>
      <c r="AA161" s="1788"/>
      <c r="AB161" s="1788"/>
      <c r="AC161" s="1788"/>
      <c r="AD161" s="1788"/>
      <c r="AE161" s="1788"/>
      <c r="AF161" s="1788"/>
      <c r="AG161" s="1788"/>
      <c r="AH161" s="1788"/>
      <c r="BJ161" t="s">
        <v>669</v>
      </c>
      <c r="BN161" s="23" t="s">
        <v>661</v>
      </c>
      <c r="BS161">
        <v>7</v>
      </c>
      <c r="BT161" t="s">
        <v>480</v>
      </c>
      <c r="CB161" s="351" t="s">
        <v>477</v>
      </c>
      <c r="CC161" s="462">
        <v>1850</v>
      </c>
      <c r="CD161" s="463">
        <v>1980</v>
      </c>
      <c r="CE161" s="462">
        <v>2376</v>
      </c>
      <c r="CF161" s="463">
        <v>2746</v>
      </c>
      <c r="CG161" s="463">
        <v>3064</v>
      </c>
      <c r="CH161" s="464">
        <v>3382</v>
      </c>
      <c r="CI161" s="3"/>
      <c r="CJ161" s="862">
        <v>911</v>
      </c>
      <c r="CK161" s="862">
        <v>1005</v>
      </c>
      <c r="CL161" s="862">
        <v>1321</v>
      </c>
      <c r="CM161" s="862">
        <v>1862</v>
      </c>
      <c r="CN161" s="862">
        <v>2168</v>
      </c>
      <c r="CR161" s="23" t="s">
        <v>637</v>
      </c>
      <c r="CS161" s="322">
        <v>352022</v>
      </c>
      <c r="CT161" s="322">
        <v>405878</v>
      </c>
      <c r="CU161" s="322">
        <v>489600</v>
      </c>
      <c r="CV161" s="322">
        <v>626688</v>
      </c>
      <c r="CW161" s="322">
        <v>698170</v>
      </c>
      <c r="CX161" s="14"/>
      <c r="CY161" s="23" t="s">
        <v>637</v>
      </c>
      <c r="CZ161" s="322">
        <v>352022</v>
      </c>
      <c r="DA161" s="322">
        <v>405878</v>
      </c>
      <c r="DB161" s="322">
        <v>489600</v>
      </c>
      <c r="DC161" s="322">
        <v>626688</v>
      </c>
      <c r="DD161" s="322">
        <v>698170</v>
      </c>
    </row>
    <row r="162" spans="1:108"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545</v>
      </c>
      <c r="BN162" s="23" t="s">
        <v>662</v>
      </c>
      <c r="BS162">
        <v>7</v>
      </c>
      <c r="BT162" t="s">
        <v>481</v>
      </c>
      <c r="CB162" s="351" t="s">
        <v>478</v>
      </c>
      <c r="CC162" s="465">
        <v>1764</v>
      </c>
      <c r="CD162" s="466">
        <v>1890</v>
      </c>
      <c r="CE162" s="465">
        <v>2270</v>
      </c>
      <c r="CF162" s="466">
        <v>2620</v>
      </c>
      <c r="CG162" s="466">
        <v>2924</v>
      </c>
      <c r="CH162" s="467">
        <v>3226</v>
      </c>
      <c r="CI162" s="3"/>
      <c r="CJ162" s="862">
        <v>1128</v>
      </c>
      <c r="CK162" s="862">
        <v>1135</v>
      </c>
      <c r="CL162" s="862">
        <v>1347</v>
      </c>
      <c r="CM162" s="862">
        <v>1898</v>
      </c>
      <c r="CN162" s="862">
        <v>2286</v>
      </c>
      <c r="CR162" s="23" t="s">
        <v>338</v>
      </c>
      <c r="CS162" s="324">
        <v>352022</v>
      </c>
      <c r="CT162" s="324">
        <v>405878</v>
      </c>
      <c r="CU162" s="324">
        <v>489600</v>
      </c>
      <c r="CV162" s="324">
        <v>626688</v>
      </c>
      <c r="CW162" s="324">
        <v>698170</v>
      </c>
      <c r="CX162" s="14"/>
      <c r="CY162" s="23" t="s">
        <v>338</v>
      </c>
      <c r="CZ162" s="324">
        <v>352022</v>
      </c>
      <c r="DA162" s="324">
        <v>405878</v>
      </c>
      <c r="DB162" s="324">
        <v>489600</v>
      </c>
      <c r="DC162" s="324">
        <v>626688</v>
      </c>
      <c r="DD162" s="324">
        <v>698170</v>
      </c>
    </row>
    <row r="163" spans="1:108" ht="12.95" customHeight="1">
      <c r="C163" s="27" t="s">
        <v>82</v>
      </c>
      <c r="D163" s="3" t="s">
        <v>2097</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663</v>
      </c>
      <c r="BS163">
        <v>2</v>
      </c>
      <c r="BT163" t="s">
        <v>482</v>
      </c>
      <c r="CB163" s="351" t="s">
        <v>479</v>
      </c>
      <c r="CC163" s="465">
        <v>1586</v>
      </c>
      <c r="CD163" s="466">
        <v>1700</v>
      </c>
      <c r="CE163" s="465">
        <v>2042</v>
      </c>
      <c r="CF163" s="466">
        <v>2358</v>
      </c>
      <c r="CG163" s="466">
        <v>2630</v>
      </c>
      <c r="CH163" s="467">
        <v>2902</v>
      </c>
      <c r="CI163" s="3"/>
      <c r="CJ163" s="862">
        <v>1049</v>
      </c>
      <c r="CK163" s="862">
        <v>1091</v>
      </c>
      <c r="CL163" s="862">
        <v>1428</v>
      </c>
      <c r="CM163" s="862">
        <v>2012</v>
      </c>
      <c r="CN163" s="862">
        <v>2423</v>
      </c>
      <c r="CR163" s="23" t="s">
        <v>660</v>
      </c>
      <c r="CS163" s="322">
        <v>319236</v>
      </c>
      <c r="CT163" s="322">
        <v>368076</v>
      </c>
      <c r="CU163" s="322">
        <v>444000</v>
      </c>
      <c r="CV163" s="322">
        <v>568320</v>
      </c>
      <c r="CW163" s="322">
        <v>633144</v>
      </c>
      <c r="CX163" s="14"/>
      <c r="CY163" s="23" t="s">
        <v>660</v>
      </c>
      <c r="CZ163" s="322">
        <v>319236</v>
      </c>
      <c r="DA163" s="322">
        <v>368076</v>
      </c>
      <c r="DB163" s="322">
        <v>444000</v>
      </c>
      <c r="DC163" s="322">
        <v>568320</v>
      </c>
      <c r="DD163" s="322">
        <v>633144</v>
      </c>
    </row>
    <row r="164" spans="1:108" ht="12.95" customHeight="1">
      <c r="C164" s="27"/>
      <c r="D164" s="1807" t="s">
        <v>2217</v>
      </c>
      <c r="E164" s="1807"/>
      <c r="F164" s="1807"/>
      <c r="G164" s="1807"/>
      <c r="H164" s="1807"/>
      <c r="I164" s="1807"/>
      <c r="J164" s="1807"/>
      <c r="K164" s="1807"/>
      <c r="L164" s="1807"/>
      <c r="M164" s="1807"/>
      <c r="N164" s="1807"/>
      <c r="O164" s="1807"/>
      <c r="P164" s="1807"/>
      <c r="Q164" s="1807"/>
      <c r="R164" s="1807"/>
      <c r="S164" s="1807"/>
      <c r="T164" s="1807"/>
      <c r="U164" s="1807"/>
      <c r="V164" s="1807"/>
      <c r="W164" s="1807"/>
      <c r="X164" s="1807"/>
      <c r="Y164" s="1807"/>
      <c r="Z164" s="1807"/>
      <c r="AA164" s="1807"/>
      <c r="AB164" s="1807"/>
      <c r="AC164" s="1807"/>
      <c r="AD164" s="1807"/>
      <c r="AE164" s="1807"/>
      <c r="AF164" s="1807"/>
      <c r="AG164" s="1807"/>
      <c r="AH164" s="1807"/>
      <c r="BN164" s="23" t="s">
        <v>664</v>
      </c>
      <c r="BS164">
        <v>7</v>
      </c>
      <c r="BT164" t="s">
        <v>483</v>
      </c>
      <c r="CB164" s="351" t="s">
        <v>480</v>
      </c>
      <c r="CC164" s="465">
        <v>1656</v>
      </c>
      <c r="CD164" s="466">
        <v>1774</v>
      </c>
      <c r="CE164" s="465">
        <v>2130</v>
      </c>
      <c r="CF164" s="466">
        <v>2460</v>
      </c>
      <c r="CG164" s="466">
        <v>2744</v>
      </c>
      <c r="CH164" s="467">
        <v>3028</v>
      </c>
      <c r="CI164" s="3"/>
      <c r="CJ164" s="862">
        <v>1049</v>
      </c>
      <c r="CK164" s="862">
        <v>1055</v>
      </c>
      <c r="CL164" s="862">
        <v>1309</v>
      </c>
      <c r="CM164" s="862">
        <v>1845</v>
      </c>
      <c r="CN164" s="862">
        <v>2135</v>
      </c>
      <c r="CR164" s="23" t="s">
        <v>661</v>
      </c>
      <c r="CS164" s="324">
        <v>352022</v>
      </c>
      <c r="CT164" s="324">
        <v>405878</v>
      </c>
      <c r="CU164" s="324">
        <v>489600</v>
      </c>
      <c r="CV164" s="324">
        <v>626688</v>
      </c>
      <c r="CW164" s="324">
        <v>698170</v>
      </c>
      <c r="CX164" s="14"/>
      <c r="CY164" s="23" t="s">
        <v>661</v>
      </c>
      <c r="CZ164" s="324">
        <v>352022</v>
      </c>
      <c r="DA164" s="324">
        <v>405878</v>
      </c>
      <c r="DB164" s="324">
        <v>489600</v>
      </c>
      <c r="DC164" s="324">
        <v>626688</v>
      </c>
      <c r="DD164" s="324">
        <v>698170</v>
      </c>
    </row>
    <row r="165" spans="1:108"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665</v>
      </c>
      <c r="BS165">
        <v>6</v>
      </c>
      <c r="BT165" t="s">
        <v>484</v>
      </c>
      <c r="CB165" s="351" t="s">
        <v>481</v>
      </c>
      <c r="CC165" s="465">
        <v>1540</v>
      </c>
      <c r="CD165" s="466">
        <v>1650</v>
      </c>
      <c r="CE165" s="465">
        <v>1980</v>
      </c>
      <c r="CF165" s="466">
        <v>2286</v>
      </c>
      <c r="CG165" s="466">
        <v>2550</v>
      </c>
      <c r="CH165" s="467">
        <v>2812</v>
      </c>
      <c r="CI165" s="3"/>
      <c r="CJ165" s="862">
        <v>823</v>
      </c>
      <c r="CK165" s="862">
        <v>829</v>
      </c>
      <c r="CL165" s="862">
        <v>1089</v>
      </c>
      <c r="CM165" s="862">
        <v>1519</v>
      </c>
      <c r="CN165" s="862">
        <v>1525</v>
      </c>
      <c r="CR165" s="23" t="s">
        <v>662</v>
      </c>
      <c r="CS165" s="322">
        <v>352022</v>
      </c>
      <c r="CT165" s="322">
        <v>405878</v>
      </c>
      <c r="CU165" s="322">
        <v>489600</v>
      </c>
      <c r="CV165" s="322">
        <v>626688</v>
      </c>
      <c r="CW165" s="322">
        <v>698170</v>
      </c>
      <c r="CX165" s="14"/>
      <c r="CY165" s="23" t="s">
        <v>662</v>
      </c>
      <c r="CZ165" s="322">
        <v>352022</v>
      </c>
      <c r="DA165" s="322">
        <v>405878</v>
      </c>
      <c r="DB165" s="322">
        <v>489600</v>
      </c>
      <c r="DC165" s="322">
        <v>626688</v>
      </c>
      <c r="DD165" s="322">
        <v>698170</v>
      </c>
    </row>
    <row r="166" spans="1:108"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667</v>
      </c>
      <c r="BS166">
        <v>5</v>
      </c>
      <c r="BT166" t="s">
        <v>485</v>
      </c>
      <c r="CB166" s="351" t="s">
        <v>482</v>
      </c>
      <c r="CC166" s="465">
        <v>2724</v>
      </c>
      <c r="CD166" s="466">
        <v>2920</v>
      </c>
      <c r="CE166" s="465">
        <v>3504</v>
      </c>
      <c r="CF166" s="466">
        <v>4048</v>
      </c>
      <c r="CG166" s="466">
        <v>4516</v>
      </c>
      <c r="CH166" s="467">
        <v>4982</v>
      </c>
      <c r="CI166" s="3"/>
      <c r="CJ166" s="862">
        <v>1825</v>
      </c>
      <c r="CK166" s="862">
        <v>2131</v>
      </c>
      <c r="CL166" s="862">
        <v>2590</v>
      </c>
      <c r="CM166" s="862">
        <v>3342</v>
      </c>
      <c r="CN166" s="862">
        <v>3954</v>
      </c>
      <c r="CR166" s="23" t="s">
        <v>663</v>
      </c>
      <c r="CS166" s="324">
        <v>473390</v>
      </c>
      <c r="CT166" s="324">
        <v>545814</v>
      </c>
      <c r="CU166" s="324">
        <v>658400</v>
      </c>
      <c r="CV166" s="324">
        <v>842752</v>
      </c>
      <c r="CW166" s="324">
        <v>938878</v>
      </c>
      <c r="CX166" s="14"/>
      <c r="CY166" s="23" t="s">
        <v>663</v>
      </c>
      <c r="CZ166" s="324">
        <v>473390</v>
      </c>
      <c r="DA166" s="324">
        <v>545814</v>
      </c>
      <c r="DB166" s="324">
        <v>658400</v>
      </c>
      <c r="DC166" s="324">
        <v>842752</v>
      </c>
      <c r="DD166" s="324">
        <v>938878</v>
      </c>
    </row>
    <row r="167" spans="1:108"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670</v>
      </c>
      <c r="BS167">
        <v>7</v>
      </c>
      <c r="BT167" t="s">
        <v>486</v>
      </c>
      <c r="CB167" s="351" t="s">
        <v>483</v>
      </c>
      <c r="CC167" s="465">
        <v>1540</v>
      </c>
      <c r="CD167" s="466">
        <v>1650</v>
      </c>
      <c r="CE167" s="465">
        <v>1980</v>
      </c>
      <c r="CF167" s="466">
        <v>2286</v>
      </c>
      <c r="CG167" s="466">
        <v>2550</v>
      </c>
      <c r="CH167" s="467">
        <v>2812</v>
      </c>
      <c r="CI167" s="3"/>
      <c r="CJ167" s="862">
        <v>791</v>
      </c>
      <c r="CK167" s="862">
        <v>970</v>
      </c>
      <c r="CL167" s="862">
        <v>1147</v>
      </c>
      <c r="CM167" s="862">
        <v>1616</v>
      </c>
      <c r="CN167" s="862">
        <v>1946</v>
      </c>
      <c r="CR167" s="23" t="s">
        <v>664</v>
      </c>
      <c r="CS167" s="322">
        <v>352022</v>
      </c>
      <c r="CT167" s="322">
        <v>405878</v>
      </c>
      <c r="CU167" s="322">
        <v>489600</v>
      </c>
      <c r="CV167" s="322">
        <v>626688</v>
      </c>
      <c r="CW167" s="322">
        <v>698170</v>
      </c>
      <c r="CX167" s="14"/>
      <c r="CY167" s="23" t="s">
        <v>664</v>
      </c>
      <c r="CZ167" s="322">
        <v>352022</v>
      </c>
      <c r="DA167" s="322">
        <v>405878</v>
      </c>
      <c r="DB167" s="322">
        <v>489600</v>
      </c>
      <c r="DC167" s="322">
        <v>626688</v>
      </c>
      <c r="DD167" s="322">
        <v>698170</v>
      </c>
    </row>
    <row r="168" spans="1:108"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671</v>
      </c>
      <c r="BS168">
        <v>7</v>
      </c>
      <c r="BT168" t="s">
        <v>487</v>
      </c>
      <c r="CB168" s="351" t="s">
        <v>484</v>
      </c>
      <c r="CC168" s="465">
        <v>2064</v>
      </c>
      <c r="CD168" s="466">
        <v>2210</v>
      </c>
      <c r="CE168" s="465">
        <v>2652</v>
      </c>
      <c r="CF168" s="466">
        <v>3064</v>
      </c>
      <c r="CG168" s="466">
        <v>3420</v>
      </c>
      <c r="CH168" s="467">
        <v>3772</v>
      </c>
      <c r="CI168" s="3"/>
      <c r="CJ168" s="862">
        <v>1543</v>
      </c>
      <c r="CK168" s="862">
        <v>1666</v>
      </c>
      <c r="CL168" s="862">
        <v>2072</v>
      </c>
      <c r="CM168" s="862">
        <v>2884</v>
      </c>
      <c r="CN168" s="862">
        <v>3321</v>
      </c>
      <c r="CR168" s="23" t="s">
        <v>665</v>
      </c>
      <c r="CS168" s="324">
        <v>331890</v>
      </c>
      <c r="CT168" s="324">
        <v>382666</v>
      </c>
      <c r="CU168" s="324">
        <v>461600</v>
      </c>
      <c r="CV168" s="324">
        <v>590848</v>
      </c>
      <c r="CW168" s="324">
        <v>658242</v>
      </c>
      <c r="CX168" s="14"/>
      <c r="CY168" s="23" t="s">
        <v>665</v>
      </c>
      <c r="CZ168" s="324">
        <v>331890</v>
      </c>
      <c r="DA168" s="324">
        <v>382666</v>
      </c>
      <c r="DB168" s="324">
        <v>461600</v>
      </c>
      <c r="DC168" s="324">
        <v>590848</v>
      </c>
      <c r="DD168" s="324">
        <v>658242</v>
      </c>
    </row>
    <row r="169" spans="1:108" ht="12.95" customHeight="1">
      <c r="A169" s="1423" t="s">
        <v>539</v>
      </c>
      <c r="B169" s="1423"/>
      <c r="C169" s="1423"/>
      <c r="D169" s="1423"/>
      <c r="E169" s="1423"/>
      <c r="F169" s="1423"/>
      <c r="G169" s="1423"/>
      <c r="H169" s="1423"/>
      <c r="I169" s="1423"/>
      <c r="J169" s="1423"/>
      <c r="K169" s="1423"/>
      <c r="L169" s="1423"/>
      <c r="M169" s="1423"/>
      <c r="N169" s="1423"/>
      <c r="O169" s="1423"/>
      <c r="P169" s="1423"/>
      <c r="Q169" s="1423"/>
      <c r="R169" s="1423"/>
      <c r="S169" s="1423"/>
      <c r="T169" s="1423"/>
      <c r="U169" s="1423"/>
      <c r="V169" s="1423"/>
      <c r="W169" s="1423"/>
      <c r="X169" s="1423"/>
      <c r="Y169" s="1423"/>
      <c r="Z169" s="1423"/>
      <c r="AA169" s="1423"/>
      <c r="AB169" s="1423"/>
      <c r="AC169" s="1423"/>
      <c r="AD169" s="1423"/>
      <c r="AE169" s="1423"/>
      <c r="AF169" s="1423"/>
      <c r="AG169" s="1423"/>
      <c r="AH169" s="1423"/>
      <c r="AI169" s="1423"/>
      <c r="AJ169" s="1423"/>
      <c r="AK169" s="1423"/>
      <c r="AL169" s="1423"/>
      <c r="AM169" s="1423"/>
      <c r="AN169" s="1423"/>
      <c r="AO169" s="1423"/>
      <c r="AP169" s="1423"/>
      <c r="AQ169" s="1423"/>
      <c r="AR169" s="1423"/>
      <c r="AS169" s="1423"/>
      <c r="AT169" s="1423"/>
      <c r="AU169" s="95"/>
      <c r="AV169" s="95"/>
      <c r="AW169" s="95"/>
      <c r="AX169" s="95"/>
      <c r="AY169" s="95"/>
      <c r="BN169" s="23" t="s">
        <v>673</v>
      </c>
      <c r="BS169">
        <v>5</v>
      </c>
      <c r="BT169" t="s">
        <v>488</v>
      </c>
      <c r="CB169" s="351" t="s">
        <v>485</v>
      </c>
      <c r="CC169" s="465">
        <v>1540</v>
      </c>
      <c r="CD169" s="466">
        <v>1650</v>
      </c>
      <c r="CE169" s="465">
        <v>1980</v>
      </c>
      <c r="CF169" s="466">
        <v>2286</v>
      </c>
      <c r="CG169" s="466">
        <v>2550</v>
      </c>
      <c r="CH169" s="467">
        <v>2812</v>
      </c>
      <c r="CI169" s="3"/>
      <c r="CJ169" s="862">
        <v>1149</v>
      </c>
      <c r="CK169" s="862">
        <v>1157</v>
      </c>
      <c r="CL169" s="862">
        <v>1443</v>
      </c>
      <c r="CM169" s="862">
        <v>2033</v>
      </c>
      <c r="CN169" s="862">
        <v>2330</v>
      </c>
      <c r="CR169" s="23" t="s">
        <v>667</v>
      </c>
      <c r="CS169" s="322">
        <v>307732</v>
      </c>
      <c r="CT169" s="322">
        <v>354812</v>
      </c>
      <c r="CU169" s="322">
        <v>428000</v>
      </c>
      <c r="CV169" s="322">
        <v>547840</v>
      </c>
      <c r="CW169" s="322">
        <v>610328</v>
      </c>
      <c r="CX169" s="14"/>
      <c r="CY169" s="23" t="s">
        <v>667</v>
      </c>
      <c r="CZ169" s="322">
        <v>307732</v>
      </c>
      <c r="DA169" s="322">
        <v>354812</v>
      </c>
      <c r="DB169" s="322">
        <v>428000</v>
      </c>
      <c r="DC169" s="322">
        <v>547840</v>
      </c>
      <c r="DD169" s="322">
        <v>610328</v>
      </c>
    </row>
    <row r="170" spans="1:108" ht="12.95" customHeight="1">
      <c r="A170" s="1423"/>
      <c r="B170" s="1423"/>
      <c r="C170" s="1423"/>
      <c r="D170" s="1423"/>
      <c r="E170" s="1423"/>
      <c r="F170" s="1423"/>
      <c r="G170" s="1423"/>
      <c r="H170" s="1423"/>
      <c r="I170" s="1423"/>
      <c r="J170" s="1423"/>
      <c r="K170" s="1423"/>
      <c r="L170" s="1423"/>
      <c r="M170" s="1423"/>
      <c r="N170" s="1423"/>
      <c r="O170" s="1423"/>
      <c r="P170" s="1423"/>
      <c r="Q170" s="1423"/>
      <c r="R170" s="1423"/>
      <c r="S170" s="1423"/>
      <c r="T170" s="1423"/>
      <c r="U170" s="1423"/>
      <c r="V170" s="1423"/>
      <c r="W170" s="1423"/>
      <c r="X170" s="1423"/>
      <c r="Y170" s="1423"/>
      <c r="Z170" s="1423"/>
      <c r="AA170" s="1423"/>
      <c r="AB170" s="1423"/>
      <c r="AC170" s="1423"/>
      <c r="AD170" s="1423"/>
      <c r="AE170" s="1423"/>
      <c r="AF170" s="1423"/>
      <c r="AG170" s="1423"/>
      <c r="AH170" s="1423"/>
      <c r="AI170" s="1423"/>
      <c r="AJ170" s="1423"/>
      <c r="AK170" s="1423"/>
      <c r="AL170" s="1423"/>
      <c r="AM170" s="1423"/>
      <c r="AN170" s="1423"/>
      <c r="AO170" s="1423"/>
      <c r="AP170" s="1423"/>
      <c r="AQ170" s="1423"/>
      <c r="AR170" s="1423"/>
      <c r="AS170" s="1423"/>
      <c r="AT170" s="1423"/>
      <c r="AU170" s="95"/>
      <c r="AV170" s="95"/>
      <c r="AW170" s="95"/>
      <c r="AX170" s="95"/>
      <c r="AY170" s="95"/>
      <c r="BN170" s="23" t="s">
        <v>674</v>
      </c>
      <c r="BS170">
        <v>7</v>
      </c>
      <c r="BT170" t="s">
        <v>489</v>
      </c>
      <c r="CB170" s="351" t="s">
        <v>486</v>
      </c>
      <c r="CC170" s="465">
        <v>1540</v>
      </c>
      <c r="CD170" s="466">
        <v>1650</v>
      </c>
      <c r="CE170" s="465">
        <v>1980</v>
      </c>
      <c r="CF170" s="466">
        <v>2286</v>
      </c>
      <c r="CG170" s="466">
        <v>2550</v>
      </c>
      <c r="CH170" s="467">
        <v>2812</v>
      </c>
      <c r="CI170" s="3"/>
      <c r="CJ170" s="862">
        <v>771</v>
      </c>
      <c r="CK170" s="862">
        <v>866</v>
      </c>
      <c r="CL170" s="862">
        <v>1138</v>
      </c>
      <c r="CM170" s="862">
        <v>1484</v>
      </c>
      <c r="CN170" s="862">
        <v>1846</v>
      </c>
      <c r="CR170" s="23" t="s">
        <v>670</v>
      </c>
      <c r="CS170" s="324">
        <v>352022</v>
      </c>
      <c r="CT170" s="324">
        <v>405878</v>
      </c>
      <c r="CU170" s="324">
        <v>489600</v>
      </c>
      <c r="CV170" s="324">
        <v>626688</v>
      </c>
      <c r="CW170" s="324">
        <v>698170</v>
      </c>
      <c r="CX170" s="14"/>
      <c r="CY170" s="23" t="s">
        <v>670</v>
      </c>
      <c r="CZ170" s="324">
        <v>352022</v>
      </c>
      <c r="DA170" s="324">
        <v>405878</v>
      </c>
      <c r="DB170" s="324">
        <v>489600</v>
      </c>
      <c r="DC170" s="324">
        <v>626688</v>
      </c>
      <c r="DD170" s="324">
        <v>698170</v>
      </c>
    </row>
    <row r="171" spans="1:108" ht="12.95" customHeight="1">
      <c r="BN171" s="23" t="s">
        <v>210</v>
      </c>
      <c r="BS171">
        <v>5</v>
      </c>
      <c r="BT171" t="s">
        <v>490</v>
      </c>
      <c r="CB171" s="351" t="s">
        <v>487</v>
      </c>
      <c r="CC171" s="465">
        <v>1546</v>
      </c>
      <c r="CD171" s="466">
        <v>1656</v>
      </c>
      <c r="CE171" s="465">
        <v>1986</v>
      </c>
      <c r="CF171" s="466">
        <v>2296</v>
      </c>
      <c r="CG171" s="466">
        <v>2562</v>
      </c>
      <c r="CH171" s="467">
        <v>2826</v>
      </c>
      <c r="CI171" s="3"/>
      <c r="CJ171" s="862">
        <v>950</v>
      </c>
      <c r="CK171" s="862">
        <v>1032</v>
      </c>
      <c r="CL171" s="862">
        <v>1352</v>
      </c>
      <c r="CM171" s="862">
        <v>1905</v>
      </c>
      <c r="CN171" s="862">
        <v>2294</v>
      </c>
      <c r="CR171" s="23" t="s">
        <v>671</v>
      </c>
      <c r="CS171" s="322">
        <v>352022</v>
      </c>
      <c r="CT171" s="322">
        <v>405878</v>
      </c>
      <c r="CU171" s="322">
        <v>489600</v>
      </c>
      <c r="CV171" s="322">
        <v>626688</v>
      </c>
      <c r="CW171" s="322">
        <v>698170</v>
      </c>
      <c r="CX171" s="14"/>
      <c r="CY171" s="23" t="s">
        <v>671</v>
      </c>
      <c r="CZ171" s="322">
        <v>352022</v>
      </c>
      <c r="DA171" s="322">
        <v>405878</v>
      </c>
      <c r="DB171" s="322">
        <v>489600</v>
      </c>
      <c r="DC171" s="322">
        <v>626688</v>
      </c>
      <c r="DD171" s="322">
        <v>698170</v>
      </c>
    </row>
    <row r="172" spans="1:108" ht="12.95" customHeight="1">
      <c r="A172" s="2" t="s">
        <v>318</v>
      </c>
      <c r="C172" s="2" t="s">
        <v>319</v>
      </c>
      <c r="BN172" s="23" t="s">
        <v>212</v>
      </c>
      <c r="BS172">
        <v>5</v>
      </c>
      <c r="BT172" t="s">
        <v>491</v>
      </c>
      <c r="CB172" s="351" t="s">
        <v>488</v>
      </c>
      <c r="CC172" s="465">
        <v>1540</v>
      </c>
      <c r="CD172" s="466">
        <v>1650</v>
      </c>
      <c r="CE172" s="465">
        <v>1980</v>
      </c>
      <c r="CF172" s="466">
        <v>2286</v>
      </c>
      <c r="CG172" s="466">
        <v>2550</v>
      </c>
      <c r="CH172" s="467">
        <v>2812</v>
      </c>
      <c r="CI172" s="3"/>
      <c r="CJ172" s="862">
        <v>872</v>
      </c>
      <c r="CK172" s="862">
        <v>1001</v>
      </c>
      <c r="CL172" s="862">
        <v>1286</v>
      </c>
      <c r="CM172" s="862">
        <v>1771</v>
      </c>
      <c r="CN172" s="862">
        <v>2138</v>
      </c>
      <c r="CR172" s="23" t="s">
        <v>673</v>
      </c>
      <c r="CS172" s="324">
        <v>324988</v>
      </c>
      <c r="CT172" s="324">
        <v>374708</v>
      </c>
      <c r="CU172" s="324">
        <v>452000</v>
      </c>
      <c r="CV172" s="324">
        <v>578560</v>
      </c>
      <c r="CW172" s="324">
        <v>644552</v>
      </c>
      <c r="CX172" s="14"/>
      <c r="CY172" s="23" t="s">
        <v>673</v>
      </c>
      <c r="CZ172" s="324">
        <v>324988</v>
      </c>
      <c r="DA172" s="324">
        <v>374708</v>
      </c>
      <c r="DB172" s="324">
        <v>452000</v>
      </c>
      <c r="DC172" s="324">
        <v>578560</v>
      </c>
      <c r="DD172" s="324">
        <v>644552</v>
      </c>
    </row>
    <row r="173" spans="1:108" ht="12.95" customHeight="1">
      <c r="C173" s="24"/>
      <c r="D173" t="s">
        <v>320</v>
      </c>
      <c r="J173" s="1816" t="s">
        <v>370</v>
      </c>
      <c r="K173" s="1816"/>
      <c r="L173" s="1816"/>
      <c r="M173" s="1816"/>
      <c r="N173" s="1816"/>
      <c r="O173" s="1816"/>
      <c r="P173" s="1816"/>
      <c r="Q173" s="1816"/>
      <c r="R173" s="1816"/>
      <c r="S173" s="1816"/>
      <c r="U173" s="25"/>
      <c r="X173" s="25"/>
      <c r="BB173" s="3" t="s">
        <v>306</v>
      </c>
      <c r="BN173" s="23" t="s">
        <v>213</v>
      </c>
      <c r="BS173">
        <v>7</v>
      </c>
      <c r="BT173" t="s">
        <v>492</v>
      </c>
      <c r="CB173" s="351" t="s">
        <v>489</v>
      </c>
      <c r="CC173" s="465">
        <v>1540</v>
      </c>
      <c r="CD173" s="466">
        <v>1650</v>
      </c>
      <c r="CE173" s="465">
        <v>1980</v>
      </c>
      <c r="CF173" s="466">
        <v>2286</v>
      </c>
      <c r="CG173" s="466">
        <v>2550</v>
      </c>
      <c r="CH173" s="467">
        <v>2812</v>
      </c>
      <c r="CI173" s="3"/>
      <c r="CJ173" s="862">
        <v>924</v>
      </c>
      <c r="CK173" s="862">
        <v>1079</v>
      </c>
      <c r="CL173" s="862">
        <v>1363</v>
      </c>
      <c r="CM173" s="862">
        <v>1648</v>
      </c>
      <c r="CN173" s="862">
        <v>2237</v>
      </c>
      <c r="CR173" s="23" t="s">
        <v>674</v>
      </c>
      <c r="CS173" s="322">
        <v>352022</v>
      </c>
      <c r="CT173" s="322">
        <v>405878</v>
      </c>
      <c r="CU173" s="322">
        <v>489600</v>
      </c>
      <c r="CV173" s="322">
        <v>626688</v>
      </c>
      <c r="CW173" s="322">
        <v>698170</v>
      </c>
      <c r="CX173" s="14"/>
      <c r="CY173" s="23" t="s">
        <v>674</v>
      </c>
      <c r="CZ173" s="322">
        <v>352022</v>
      </c>
      <c r="DA173" s="322">
        <v>405878</v>
      </c>
      <c r="DB173" s="322">
        <v>489600</v>
      </c>
      <c r="DC173" s="322">
        <v>626688</v>
      </c>
      <c r="DD173" s="322">
        <v>698170</v>
      </c>
    </row>
    <row r="174" spans="1:108" ht="12.95" customHeight="1">
      <c r="C174" s="24"/>
      <c r="D174" s="3" t="s">
        <v>1201</v>
      </c>
      <c r="J174" s="1425" t="s">
        <v>2102</v>
      </c>
      <c r="K174" s="1425"/>
      <c r="L174" s="1425"/>
      <c r="M174" s="1425"/>
      <c r="N174" s="1425"/>
      <c r="O174" s="1425"/>
      <c r="P174" s="1425"/>
      <c r="Q174" s="1425"/>
      <c r="R174" s="1425"/>
      <c r="S174" s="1425"/>
      <c r="T174" s="1425"/>
      <c r="U174" s="1425"/>
      <c r="V174" s="1425"/>
      <c r="W174" s="1425"/>
      <c r="X174" s="1425"/>
      <c r="Y174" s="1425"/>
      <c r="Z174" s="1425"/>
      <c r="AA174" s="1425"/>
      <c r="AB174" s="1425"/>
      <c r="BB174" t="s">
        <v>1969</v>
      </c>
      <c r="BN174" s="23" t="s">
        <v>215</v>
      </c>
      <c r="BS174">
        <v>7</v>
      </c>
      <c r="BT174" t="s">
        <v>493</v>
      </c>
      <c r="CB174" s="351" t="s">
        <v>490</v>
      </c>
      <c r="CC174" s="465">
        <v>1540</v>
      </c>
      <c r="CD174" s="466">
        <v>1650</v>
      </c>
      <c r="CE174" s="465">
        <v>1980</v>
      </c>
      <c r="CF174" s="466">
        <v>2286</v>
      </c>
      <c r="CG174" s="466">
        <v>2550</v>
      </c>
      <c r="CH174" s="467">
        <v>2812</v>
      </c>
      <c r="CI174" s="3"/>
      <c r="CJ174" s="862">
        <v>960</v>
      </c>
      <c r="CK174" s="862">
        <v>967</v>
      </c>
      <c r="CL174" s="862">
        <v>1258</v>
      </c>
      <c r="CM174" s="862">
        <v>1773</v>
      </c>
      <c r="CN174" s="862">
        <v>2135</v>
      </c>
      <c r="CR174" s="23" t="s">
        <v>210</v>
      </c>
      <c r="CS174" s="324">
        <v>307732</v>
      </c>
      <c r="CT174" s="324">
        <v>354812</v>
      </c>
      <c r="CU174" s="324">
        <v>428000</v>
      </c>
      <c r="CV174" s="324">
        <v>547840</v>
      </c>
      <c r="CW174" s="324">
        <v>610328</v>
      </c>
      <c r="CX174" s="14"/>
      <c r="CY174" s="23" t="s">
        <v>210</v>
      </c>
      <c r="CZ174" s="324">
        <v>307732</v>
      </c>
      <c r="DA174" s="324">
        <v>354812</v>
      </c>
      <c r="DB174" s="324">
        <v>428000</v>
      </c>
      <c r="DC174" s="324">
        <v>547840</v>
      </c>
      <c r="DD174" s="324">
        <v>610328</v>
      </c>
    </row>
    <row r="175" spans="1:108" ht="12.95" customHeight="1">
      <c r="C175" s="8"/>
      <c r="D175" s="3" t="s">
        <v>321</v>
      </c>
      <c r="O175" s="27"/>
      <c r="U175" s="1330" t="s">
        <v>669</v>
      </c>
      <c r="V175" s="1330"/>
      <c r="BB175" t="s">
        <v>1937</v>
      </c>
      <c r="BN175" s="23" t="s">
        <v>216</v>
      </c>
      <c r="BS175">
        <v>1</v>
      </c>
      <c r="BT175" t="s">
        <v>494</v>
      </c>
      <c r="CB175" s="351" t="s">
        <v>491</v>
      </c>
      <c r="CC175" s="465">
        <v>1540</v>
      </c>
      <c r="CD175" s="466">
        <v>1650</v>
      </c>
      <c r="CE175" s="465">
        <v>1980</v>
      </c>
      <c r="CF175" s="466">
        <v>2286</v>
      </c>
      <c r="CG175" s="466">
        <v>2550</v>
      </c>
      <c r="CH175" s="467">
        <v>2812</v>
      </c>
      <c r="CI175" s="3"/>
      <c r="CJ175" s="862">
        <v>1080</v>
      </c>
      <c r="CK175" s="862">
        <v>1087</v>
      </c>
      <c r="CL175" s="862">
        <v>1371</v>
      </c>
      <c r="CM175" s="862">
        <v>1932</v>
      </c>
      <c r="CN175" s="862">
        <v>2310</v>
      </c>
      <c r="CR175" s="23" t="s">
        <v>212</v>
      </c>
      <c r="CS175" s="322">
        <v>307732</v>
      </c>
      <c r="CT175" s="322">
        <v>354812</v>
      </c>
      <c r="CU175" s="322">
        <v>428000</v>
      </c>
      <c r="CV175" s="322">
        <v>547840</v>
      </c>
      <c r="CW175" s="322">
        <v>610328</v>
      </c>
      <c r="CX175" s="14"/>
      <c r="CY175" s="23" t="s">
        <v>212</v>
      </c>
      <c r="CZ175" s="322">
        <v>307732</v>
      </c>
      <c r="DA175" s="322">
        <v>354812</v>
      </c>
      <c r="DB175" s="322">
        <v>428000</v>
      </c>
      <c r="DC175" s="322">
        <v>547840</v>
      </c>
      <c r="DD175" s="322">
        <v>610328</v>
      </c>
    </row>
    <row r="176" spans="1:108" ht="12.95" customHeight="1">
      <c r="C176" s="8"/>
      <c r="D176" s="26"/>
      <c r="E176" t="s">
        <v>303</v>
      </c>
      <c r="O176" s="27"/>
      <c r="P176" t="s">
        <v>2080</v>
      </c>
      <c r="T176" s="27" t="s">
        <v>304</v>
      </c>
      <c r="U176" s="1427"/>
      <c r="V176" s="1427"/>
      <c r="W176" s="1" t="s">
        <v>305</v>
      </c>
      <c r="X176" s="1802"/>
      <c r="Y176" s="1802"/>
      <c r="BB176" t="s">
        <v>1970</v>
      </c>
      <c r="BN176" s="23" t="s">
        <v>218</v>
      </c>
      <c r="BS176">
        <v>5</v>
      </c>
      <c r="BT176" t="s">
        <v>495</v>
      </c>
      <c r="CB176" s="351" t="s">
        <v>492</v>
      </c>
      <c r="CC176" s="465">
        <v>1540</v>
      </c>
      <c r="CD176" s="466">
        <v>1650</v>
      </c>
      <c r="CE176" s="465">
        <v>1980</v>
      </c>
      <c r="CF176" s="466">
        <v>2286</v>
      </c>
      <c r="CG176" s="466">
        <v>2550</v>
      </c>
      <c r="CH176" s="467">
        <v>2812</v>
      </c>
      <c r="CI176" s="3"/>
      <c r="CJ176" s="862">
        <v>928</v>
      </c>
      <c r="CK176" s="862">
        <v>964</v>
      </c>
      <c r="CL176" s="862">
        <v>1267</v>
      </c>
      <c r="CM176" s="862">
        <v>1785</v>
      </c>
      <c r="CN176" s="862">
        <v>2150</v>
      </c>
      <c r="CR176" s="23" t="s">
        <v>213</v>
      </c>
      <c r="CS176" s="324">
        <v>352022</v>
      </c>
      <c r="CT176" s="324">
        <v>405878</v>
      </c>
      <c r="CU176" s="324">
        <v>489600</v>
      </c>
      <c r="CV176" s="324">
        <v>626688</v>
      </c>
      <c r="CW176" s="324">
        <v>698170</v>
      </c>
      <c r="CX176" s="14"/>
      <c r="CY176" s="23" t="s">
        <v>213</v>
      </c>
      <c r="CZ176" s="324">
        <v>352022</v>
      </c>
      <c r="DA176" s="324">
        <v>405878</v>
      </c>
      <c r="DB176" s="324">
        <v>489600</v>
      </c>
      <c r="DC176" s="324">
        <v>626688</v>
      </c>
      <c r="DD176" s="324">
        <v>698170</v>
      </c>
    </row>
    <row r="177" spans="1:108" ht="12.95" customHeight="1">
      <c r="C177" s="24"/>
      <c r="D177" t="s">
        <v>248</v>
      </c>
      <c r="R177" s="1330" t="s">
        <v>669</v>
      </c>
      <c r="S177" s="1330"/>
      <c r="BB177" t="s">
        <v>2214</v>
      </c>
      <c r="BN177" s="23" t="s">
        <v>219</v>
      </c>
      <c r="BS177">
        <v>2</v>
      </c>
      <c r="BT177" t="s">
        <v>496</v>
      </c>
      <c r="CB177" s="351" t="s">
        <v>493</v>
      </c>
      <c r="CC177" s="465">
        <v>1540</v>
      </c>
      <c r="CD177" s="466">
        <v>1650</v>
      </c>
      <c r="CE177" s="465">
        <v>1980</v>
      </c>
      <c r="CF177" s="466">
        <v>2286</v>
      </c>
      <c r="CG177" s="466">
        <v>2550</v>
      </c>
      <c r="CH177" s="467">
        <v>2812</v>
      </c>
      <c r="CI177" s="3"/>
      <c r="CJ177" s="862">
        <v>760</v>
      </c>
      <c r="CK177" s="862">
        <v>853</v>
      </c>
      <c r="CL177" s="862">
        <v>1121</v>
      </c>
      <c r="CM177" s="862">
        <v>1580</v>
      </c>
      <c r="CN177" s="862">
        <v>1789</v>
      </c>
      <c r="CR177" s="23" t="s">
        <v>215</v>
      </c>
      <c r="CS177" s="322">
        <v>352022</v>
      </c>
      <c r="CT177" s="322">
        <v>405878</v>
      </c>
      <c r="CU177" s="322">
        <v>489600</v>
      </c>
      <c r="CV177" s="322">
        <v>626688</v>
      </c>
      <c r="CW177" s="322">
        <v>698170</v>
      </c>
      <c r="CX177" s="14"/>
      <c r="CY177" s="23" t="s">
        <v>215</v>
      </c>
      <c r="CZ177" s="322">
        <v>352022</v>
      </c>
      <c r="DA177" s="322">
        <v>405878</v>
      </c>
      <c r="DB177" s="322">
        <v>489600</v>
      </c>
      <c r="DC177" s="322">
        <v>626688</v>
      </c>
      <c r="DD177" s="322">
        <v>698170</v>
      </c>
    </row>
    <row r="178" spans="1:108" ht="12.95" customHeight="1">
      <c r="C178" s="24"/>
      <c r="D178" s="3" t="s">
        <v>1202</v>
      </c>
      <c r="AA178" t="s">
        <v>2080</v>
      </c>
      <c r="AE178" s="27" t="s">
        <v>304</v>
      </c>
      <c r="AF178" s="1791"/>
      <c r="AG178" s="1791"/>
      <c r="AH178" s="1" t="s">
        <v>305</v>
      </c>
      <c r="AI178" s="1679"/>
      <c r="AJ178" s="1679"/>
      <c r="AK178" s="1679"/>
      <c r="BB178" t="s">
        <v>2215</v>
      </c>
      <c r="BN178" s="23" t="s">
        <v>220</v>
      </c>
      <c r="BS178">
        <v>7</v>
      </c>
      <c r="BT178" t="s">
        <v>53</v>
      </c>
      <c r="CB178" s="351" t="s">
        <v>494</v>
      </c>
      <c r="CC178" s="465">
        <v>2426</v>
      </c>
      <c r="CD178" s="466">
        <v>2600</v>
      </c>
      <c r="CE178" s="465">
        <v>3120</v>
      </c>
      <c r="CF178" s="466">
        <v>3606</v>
      </c>
      <c r="CG178" s="466">
        <v>4022</v>
      </c>
      <c r="CH178" s="467">
        <v>4438</v>
      </c>
      <c r="CI178" s="3"/>
      <c r="CJ178" s="862">
        <v>1777</v>
      </c>
      <c r="CK178" s="862">
        <v>2006</v>
      </c>
      <c r="CL178" s="862">
        <v>2544</v>
      </c>
      <c r="CM178" s="862">
        <v>3263</v>
      </c>
      <c r="CN178" s="862">
        <v>3600</v>
      </c>
      <c r="CR178" s="23" t="s">
        <v>216</v>
      </c>
      <c r="CS178" s="324">
        <v>437727</v>
      </c>
      <c r="CT178" s="324">
        <v>504695</v>
      </c>
      <c r="CU178" s="324">
        <v>608800</v>
      </c>
      <c r="CV178" s="324">
        <v>779264</v>
      </c>
      <c r="CW178" s="324">
        <v>868149</v>
      </c>
      <c r="CX178" s="14"/>
      <c r="CY178" s="23" t="s">
        <v>216</v>
      </c>
      <c r="CZ178" s="324">
        <v>437727</v>
      </c>
      <c r="DA178" s="324">
        <v>504695</v>
      </c>
      <c r="DB178" s="324">
        <v>608800</v>
      </c>
      <c r="DC178" s="324">
        <v>779264</v>
      </c>
      <c r="DD178" s="324">
        <v>868149</v>
      </c>
    </row>
    <row r="179" spans="1:108" ht="12.95" customHeight="1">
      <c r="C179" s="24"/>
      <c r="BN179" s="23" t="s">
        <v>221</v>
      </c>
      <c r="BS179">
        <v>7</v>
      </c>
      <c r="BT179" t="s">
        <v>54</v>
      </c>
      <c r="CB179" s="351" t="s">
        <v>495</v>
      </c>
      <c r="CC179" s="465">
        <v>1540</v>
      </c>
      <c r="CD179" s="466">
        <v>1650</v>
      </c>
      <c r="CE179" s="465">
        <v>1980</v>
      </c>
      <c r="CF179" s="466">
        <v>2286</v>
      </c>
      <c r="CG179" s="466">
        <v>2550</v>
      </c>
      <c r="CH179" s="467">
        <v>2812</v>
      </c>
      <c r="CI179" s="3"/>
      <c r="CJ179" s="862">
        <v>1083</v>
      </c>
      <c r="CK179" s="862">
        <v>1090</v>
      </c>
      <c r="CL179" s="862">
        <v>1432</v>
      </c>
      <c r="CM179" s="862">
        <v>1998</v>
      </c>
      <c r="CN179" s="862">
        <v>2208</v>
      </c>
      <c r="CR179" s="23" t="s">
        <v>218</v>
      </c>
      <c r="CS179" s="322">
        <v>307732</v>
      </c>
      <c r="CT179" s="322">
        <v>354812</v>
      </c>
      <c r="CU179" s="322">
        <v>428000</v>
      </c>
      <c r="CV179" s="322">
        <v>547840</v>
      </c>
      <c r="CW179" s="322">
        <v>610328</v>
      </c>
      <c r="CX179" s="14"/>
      <c r="CY179" s="23" t="s">
        <v>218</v>
      </c>
      <c r="CZ179" s="322">
        <v>307732</v>
      </c>
      <c r="DA179" s="322">
        <v>354812</v>
      </c>
      <c r="DB179" s="322">
        <v>428000</v>
      </c>
      <c r="DC179" s="322">
        <v>547840</v>
      </c>
      <c r="DD179" s="322">
        <v>610328</v>
      </c>
    </row>
    <row r="180" spans="1:108" ht="12.95" customHeight="1">
      <c r="C180" s="24"/>
      <c r="D180" t="s">
        <v>2081</v>
      </c>
      <c r="X180" s="1330" t="s">
        <v>669</v>
      </c>
      <c r="Y180" s="1330"/>
      <c r="BN180" s="23" t="s">
        <v>223</v>
      </c>
      <c r="BS180">
        <v>5</v>
      </c>
      <c r="BT180" t="s">
        <v>55</v>
      </c>
      <c r="CB180" s="351" t="s">
        <v>496</v>
      </c>
      <c r="CC180" s="465">
        <v>3426</v>
      </c>
      <c r="CD180" s="466">
        <v>3672</v>
      </c>
      <c r="CE180" s="465">
        <v>4406</v>
      </c>
      <c r="CF180" s="466">
        <v>5090</v>
      </c>
      <c r="CG180" s="466">
        <v>5680</v>
      </c>
      <c r="CH180" s="467">
        <v>6266</v>
      </c>
      <c r="CI180" s="3"/>
      <c r="CJ180" s="862">
        <v>2292</v>
      </c>
      <c r="CK180" s="862">
        <v>2818</v>
      </c>
      <c r="CL180" s="862">
        <v>3359</v>
      </c>
      <c r="CM180" s="862">
        <v>4112</v>
      </c>
      <c r="CN180" s="862">
        <v>4473</v>
      </c>
      <c r="CR180" s="23" t="s">
        <v>219</v>
      </c>
      <c r="CS180" s="324">
        <v>384234</v>
      </c>
      <c r="CT180" s="324">
        <v>443018</v>
      </c>
      <c r="CU180" s="324">
        <v>534400</v>
      </c>
      <c r="CV180" s="324">
        <v>684032</v>
      </c>
      <c r="CW180" s="324">
        <v>762054</v>
      </c>
      <c r="CX180" s="14"/>
      <c r="CY180" s="23" t="s">
        <v>219</v>
      </c>
      <c r="CZ180" s="324">
        <v>384234</v>
      </c>
      <c r="DA180" s="324">
        <v>443018</v>
      </c>
      <c r="DB180" s="324">
        <v>534400</v>
      </c>
      <c r="DC180" s="324">
        <v>684032</v>
      </c>
      <c r="DD180" s="324">
        <v>762054</v>
      </c>
    </row>
    <row r="181" spans="1:108" ht="12.95" customHeight="1">
      <c r="C181" s="8"/>
      <c r="E181" s="4" t="s">
        <v>975</v>
      </c>
      <c r="BN181" s="23" t="s">
        <v>224</v>
      </c>
      <c r="BS181">
        <v>7</v>
      </c>
      <c r="BT181" t="s">
        <v>56</v>
      </c>
      <c r="CB181" s="351" t="s">
        <v>53</v>
      </c>
      <c r="CC181" s="465">
        <v>1540</v>
      </c>
      <c r="CD181" s="466">
        <v>1650</v>
      </c>
      <c r="CE181" s="465">
        <v>1980</v>
      </c>
      <c r="CF181" s="466">
        <v>2286</v>
      </c>
      <c r="CG181" s="466">
        <v>2550</v>
      </c>
      <c r="CH181" s="467">
        <v>2812</v>
      </c>
      <c r="CI181" s="3"/>
      <c r="CJ181" s="862">
        <v>891</v>
      </c>
      <c r="CK181" s="862">
        <v>1010</v>
      </c>
      <c r="CL181" s="862">
        <v>1218</v>
      </c>
      <c r="CM181" s="862">
        <v>1716</v>
      </c>
      <c r="CN181" s="862">
        <v>2067</v>
      </c>
      <c r="CR181" s="23" t="s">
        <v>220</v>
      </c>
      <c r="CS181" s="322">
        <v>352022</v>
      </c>
      <c r="CT181" s="322">
        <v>405878</v>
      </c>
      <c r="CU181" s="322">
        <v>489600</v>
      </c>
      <c r="CV181" s="322">
        <v>626688</v>
      </c>
      <c r="CW181" s="322">
        <v>698170</v>
      </c>
      <c r="CX181" s="14"/>
      <c r="CY181" s="23" t="s">
        <v>220</v>
      </c>
      <c r="CZ181" s="322">
        <v>352022</v>
      </c>
      <c r="DA181" s="322">
        <v>405878</v>
      </c>
      <c r="DB181" s="322">
        <v>489600</v>
      </c>
      <c r="DC181" s="322">
        <v>626688</v>
      </c>
      <c r="DD181" s="322">
        <v>698170</v>
      </c>
    </row>
    <row r="182" spans="1:108" ht="12.95" customHeight="1">
      <c r="C182" s="531"/>
      <c r="BN182" s="23" t="s">
        <v>225</v>
      </c>
      <c r="BS182">
        <v>7</v>
      </c>
      <c r="BT182" t="s">
        <v>60</v>
      </c>
      <c r="CB182" s="351" t="s">
        <v>54</v>
      </c>
      <c r="CC182" s="465">
        <v>1582</v>
      </c>
      <c r="CD182" s="466">
        <v>1696</v>
      </c>
      <c r="CE182" s="465">
        <v>2034</v>
      </c>
      <c r="CF182" s="466">
        <v>2350</v>
      </c>
      <c r="CG182" s="466">
        <v>2622</v>
      </c>
      <c r="CH182" s="467">
        <v>2892</v>
      </c>
      <c r="CI182" s="3"/>
      <c r="CJ182" s="862">
        <v>1119</v>
      </c>
      <c r="CK182" s="862">
        <v>1132</v>
      </c>
      <c r="CL182" s="862">
        <v>1488</v>
      </c>
      <c r="CM182" s="862">
        <v>2097</v>
      </c>
      <c r="CN182" s="862">
        <v>2525</v>
      </c>
      <c r="CR182" s="23" t="s">
        <v>221</v>
      </c>
      <c r="CS182" s="324">
        <v>352022</v>
      </c>
      <c r="CT182" s="324">
        <v>405878</v>
      </c>
      <c r="CU182" s="324">
        <v>489600</v>
      </c>
      <c r="CV182" s="324">
        <v>626688</v>
      </c>
      <c r="CW182" s="324">
        <v>698170</v>
      </c>
      <c r="CX182" s="14"/>
      <c r="CY182" s="23" t="s">
        <v>221</v>
      </c>
      <c r="CZ182" s="324">
        <v>352022</v>
      </c>
      <c r="DA182" s="324">
        <v>405878</v>
      </c>
      <c r="DB182" s="324">
        <v>489600</v>
      </c>
      <c r="DC182" s="324">
        <v>626688</v>
      </c>
      <c r="DD182" s="324">
        <v>698170</v>
      </c>
    </row>
    <row r="183" spans="1:108" ht="12.95" customHeight="1">
      <c r="A183" s="2" t="s">
        <v>576</v>
      </c>
      <c r="C183" s="2" t="s">
        <v>577</v>
      </c>
      <c r="BN183" s="23" t="s">
        <v>227</v>
      </c>
      <c r="BS183">
        <v>4</v>
      </c>
      <c r="BT183" t="s">
        <v>61</v>
      </c>
      <c r="CB183" s="351" t="s">
        <v>55</v>
      </c>
      <c r="CC183" s="465">
        <v>1540</v>
      </c>
      <c r="CD183" s="466">
        <v>1650</v>
      </c>
      <c r="CE183" s="465">
        <v>1980</v>
      </c>
      <c r="CF183" s="466">
        <v>2286</v>
      </c>
      <c r="CG183" s="466">
        <v>2550</v>
      </c>
      <c r="CH183" s="467">
        <v>2812</v>
      </c>
      <c r="CI183" s="3"/>
      <c r="CJ183" s="862">
        <v>994</v>
      </c>
      <c r="CK183" s="862">
        <v>1159</v>
      </c>
      <c r="CL183" s="862">
        <v>1420</v>
      </c>
      <c r="CM183" s="862">
        <v>1995</v>
      </c>
      <c r="CN183" s="862">
        <v>2410</v>
      </c>
      <c r="CR183" s="23" t="s">
        <v>223</v>
      </c>
      <c r="CS183" s="322">
        <v>307732</v>
      </c>
      <c r="CT183" s="322">
        <v>354812</v>
      </c>
      <c r="CU183" s="322">
        <v>428000</v>
      </c>
      <c r="CV183" s="322">
        <v>547840</v>
      </c>
      <c r="CW183" s="322">
        <v>610328</v>
      </c>
      <c r="CX183" s="14"/>
      <c r="CY183" s="23" t="s">
        <v>223</v>
      </c>
      <c r="CZ183" s="322">
        <v>307732</v>
      </c>
      <c r="DA183" s="322">
        <v>354812</v>
      </c>
      <c r="DB183" s="322">
        <v>428000</v>
      </c>
      <c r="DC183" s="322">
        <v>547840</v>
      </c>
      <c r="DD183" s="322">
        <v>610328</v>
      </c>
    </row>
    <row r="184" spans="1:108" ht="12.95" customHeight="1">
      <c r="C184" s="21"/>
      <c r="D184" t="s">
        <v>578</v>
      </c>
      <c r="I184" s="1380" t="str">
        <f>H18</f>
        <v>Francis Avenue Apartments</v>
      </c>
      <c r="J184" s="1380"/>
      <c r="K184" s="1380"/>
      <c r="L184" s="1380"/>
      <c r="M184" s="1380"/>
      <c r="N184" s="1380"/>
      <c r="O184" s="1380"/>
      <c r="P184" s="1380"/>
      <c r="Q184" s="1380"/>
      <c r="R184" s="1380"/>
      <c r="S184" s="1380"/>
      <c r="T184" s="1380"/>
      <c r="U184" s="1380"/>
      <c r="V184" s="1380"/>
      <c r="W184" s="1380"/>
      <c r="X184" s="1380"/>
      <c r="Y184" s="1380"/>
      <c r="Z184" s="1380"/>
      <c r="AA184" s="1380"/>
      <c r="AB184" s="1380"/>
      <c r="AC184" s="1380"/>
      <c r="AD184" s="1380"/>
      <c r="AE184" s="1380"/>
      <c r="BC184" t="s">
        <v>587</v>
      </c>
      <c r="BN184" s="23" t="s">
        <v>229</v>
      </c>
      <c r="BS184">
        <v>4</v>
      </c>
      <c r="BT184" t="s">
        <v>62</v>
      </c>
      <c r="CB184" s="351" t="s">
        <v>56</v>
      </c>
      <c r="CC184" s="465">
        <v>1540</v>
      </c>
      <c r="CD184" s="466">
        <v>1650</v>
      </c>
      <c r="CE184" s="465">
        <v>1980</v>
      </c>
      <c r="CF184" s="466">
        <v>2286</v>
      </c>
      <c r="CG184" s="466">
        <v>2550</v>
      </c>
      <c r="CH184" s="467">
        <v>2812</v>
      </c>
      <c r="CI184" s="3"/>
      <c r="CJ184" s="862">
        <v>660</v>
      </c>
      <c r="CK184" s="862">
        <v>802</v>
      </c>
      <c r="CL184" s="862">
        <v>958</v>
      </c>
      <c r="CM184" s="862">
        <v>1158</v>
      </c>
      <c r="CN184" s="862">
        <v>1572</v>
      </c>
      <c r="CR184" s="23" t="s">
        <v>224</v>
      </c>
      <c r="CS184" s="324">
        <v>352022</v>
      </c>
      <c r="CT184" s="324">
        <v>405878</v>
      </c>
      <c r="CU184" s="324">
        <v>489600</v>
      </c>
      <c r="CV184" s="324">
        <v>626688</v>
      </c>
      <c r="CW184" s="324">
        <v>698170</v>
      </c>
      <c r="CX184" s="14"/>
      <c r="CY184" s="23" t="s">
        <v>224</v>
      </c>
      <c r="CZ184" s="324">
        <v>352022</v>
      </c>
      <c r="DA184" s="324">
        <v>405878</v>
      </c>
      <c r="DB184" s="324">
        <v>489600</v>
      </c>
      <c r="DC184" s="324">
        <v>626688</v>
      </c>
      <c r="DD184" s="324">
        <v>698170</v>
      </c>
    </row>
    <row r="185" spans="1:108" ht="12.95" customHeight="1">
      <c r="C185" s="21"/>
      <c r="D185" t="s">
        <v>579</v>
      </c>
      <c r="I185" s="1557" t="s">
        <v>2615</v>
      </c>
      <c r="J185" s="1458"/>
      <c r="K185" s="1458"/>
      <c r="L185" s="1458"/>
      <c r="M185" s="1458"/>
      <c r="N185" s="1458"/>
      <c r="O185" s="1458"/>
      <c r="P185" s="1458"/>
      <c r="Q185" s="1458"/>
      <c r="R185" s="1458"/>
      <c r="S185" s="1458"/>
      <c r="T185" s="1458"/>
      <c r="U185" s="1458"/>
      <c r="V185" s="1458"/>
      <c r="W185" s="1458"/>
      <c r="X185" s="1458"/>
      <c r="Y185" s="1458"/>
      <c r="Z185" s="1458"/>
      <c r="AA185" s="1458"/>
      <c r="AB185" s="1458"/>
      <c r="AC185" s="1458"/>
      <c r="AD185" s="1458"/>
      <c r="AE185" s="1458"/>
      <c r="BC185" t="s">
        <v>588</v>
      </c>
      <c r="BN185" s="23" t="s">
        <v>230</v>
      </c>
      <c r="BS185">
        <v>7</v>
      </c>
      <c r="BT185" t="s">
        <v>63</v>
      </c>
      <c r="CB185" s="351" t="s">
        <v>60</v>
      </c>
      <c r="CC185" s="465">
        <v>1634</v>
      </c>
      <c r="CD185" s="466">
        <v>1752</v>
      </c>
      <c r="CE185" s="465">
        <v>2102</v>
      </c>
      <c r="CF185" s="466">
        <v>2430</v>
      </c>
      <c r="CG185" s="466">
        <v>2710</v>
      </c>
      <c r="CH185" s="467">
        <v>2990</v>
      </c>
      <c r="CI185" s="3"/>
      <c r="CJ185" s="862">
        <v>1000</v>
      </c>
      <c r="CK185" s="862">
        <v>1292</v>
      </c>
      <c r="CL185" s="862">
        <v>1450</v>
      </c>
      <c r="CM185" s="862">
        <v>2043</v>
      </c>
      <c r="CN185" s="862">
        <v>2380</v>
      </c>
      <c r="CR185" s="23" t="s">
        <v>225</v>
      </c>
      <c r="CS185" s="322">
        <v>352022</v>
      </c>
      <c r="CT185" s="322">
        <v>405878</v>
      </c>
      <c r="CU185" s="322">
        <v>489600</v>
      </c>
      <c r="CV185" s="322">
        <v>626688</v>
      </c>
      <c r="CW185" s="322">
        <v>698170</v>
      </c>
      <c r="CX185" s="14"/>
      <c r="CY185" s="23" t="s">
        <v>225</v>
      </c>
      <c r="CZ185" s="322">
        <v>352022</v>
      </c>
      <c r="DA185" s="322">
        <v>405878</v>
      </c>
      <c r="DB185" s="322">
        <v>489600</v>
      </c>
      <c r="DC185" s="322">
        <v>626688</v>
      </c>
      <c r="DD185" s="322">
        <v>698170</v>
      </c>
    </row>
    <row r="186" spans="1:108" ht="12.95" customHeight="1">
      <c r="C186" s="21"/>
      <c r="E186" t="s">
        <v>167</v>
      </c>
      <c r="BN186" s="23" t="s">
        <v>231</v>
      </c>
      <c r="BS186">
        <v>4</v>
      </c>
      <c r="BT186" t="s">
        <v>64</v>
      </c>
      <c r="CB186" s="351" t="s">
        <v>61</v>
      </c>
      <c r="CC186" s="465">
        <v>2316</v>
      </c>
      <c r="CD186" s="466">
        <v>2482</v>
      </c>
      <c r="CE186" s="465">
        <v>2980</v>
      </c>
      <c r="CF186" s="466">
        <v>3442</v>
      </c>
      <c r="CG186" s="466">
        <v>3840</v>
      </c>
      <c r="CH186" s="467">
        <v>4236</v>
      </c>
      <c r="CI186" s="3"/>
      <c r="CJ186" s="862">
        <v>2340</v>
      </c>
      <c r="CK186" s="862">
        <v>2367</v>
      </c>
      <c r="CL186" s="862">
        <v>2879</v>
      </c>
      <c r="CM186" s="862">
        <v>3990</v>
      </c>
      <c r="CN186" s="862">
        <v>4400</v>
      </c>
      <c r="CR186" s="23" t="s">
        <v>227</v>
      </c>
      <c r="CS186" s="324">
        <v>404366</v>
      </c>
      <c r="CT186" s="324">
        <v>466230</v>
      </c>
      <c r="CU186" s="324">
        <v>562400</v>
      </c>
      <c r="CV186" s="324">
        <v>719872</v>
      </c>
      <c r="CW186" s="324">
        <v>801982</v>
      </c>
      <c r="CX186" s="14"/>
      <c r="CY186" s="23" t="s">
        <v>227</v>
      </c>
      <c r="CZ186" s="324">
        <v>404366</v>
      </c>
      <c r="DA186" s="324">
        <v>466230</v>
      </c>
      <c r="DB186" s="324">
        <v>562400</v>
      </c>
      <c r="DC186" s="324">
        <v>719872</v>
      </c>
      <c r="DD186" s="324">
        <v>801982</v>
      </c>
    </row>
    <row r="187" spans="1:108" ht="12.95" customHeight="1">
      <c r="C187" s="21"/>
      <c r="E187" s="1810"/>
      <c r="F187" s="1810"/>
      <c r="G187" s="1810"/>
      <c r="H187" s="1810"/>
      <c r="I187" s="1810"/>
      <c r="J187" s="1810"/>
      <c r="K187" s="1810"/>
      <c r="L187" s="1810"/>
      <c r="M187" s="1810"/>
      <c r="N187" s="1810"/>
      <c r="O187" s="1810"/>
      <c r="P187" s="1810"/>
      <c r="Q187" s="1810"/>
      <c r="R187" s="1810"/>
      <c r="S187" s="1810"/>
      <c r="T187" s="1810"/>
      <c r="U187" s="1810"/>
      <c r="V187" s="1810"/>
      <c r="W187" s="1810"/>
      <c r="X187" s="1810"/>
      <c r="Y187" s="1810"/>
      <c r="Z187" s="1810"/>
      <c r="AA187" s="1810"/>
      <c r="AB187" s="1810"/>
      <c r="AC187" s="1810"/>
      <c r="AD187" s="1810"/>
      <c r="AE187" s="1810"/>
      <c r="BN187" s="23" t="s">
        <v>232</v>
      </c>
      <c r="BS187">
        <v>6</v>
      </c>
      <c r="BT187" t="s">
        <v>65</v>
      </c>
      <c r="CB187" s="351" t="s">
        <v>62</v>
      </c>
      <c r="CC187" s="465">
        <v>2570</v>
      </c>
      <c r="CD187" s="466">
        <v>2752</v>
      </c>
      <c r="CE187" s="465">
        <v>3304</v>
      </c>
      <c r="CF187" s="466">
        <v>3816</v>
      </c>
      <c r="CG187" s="466">
        <v>4256</v>
      </c>
      <c r="CH187" s="467">
        <v>4698</v>
      </c>
      <c r="CI187" s="3"/>
      <c r="CJ187" s="862">
        <v>1819</v>
      </c>
      <c r="CK187" s="862">
        <v>2043</v>
      </c>
      <c r="CL187" s="862">
        <v>2684</v>
      </c>
      <c r="CM187" s="862">
        <v>3634</v>
      </c>
      <c r="CN187" s="862">
        <v>3915</v>
      </c>
      <c r="CR187" s="23" t="s">
        <v>229</v>
      </c>
      <c r="CS187" s="322">
        <v>384234</v>
      </c>
      <c r="CT187" s="322">
        <v>443018</v>
      </c>
      <c r="CU187" s="322">
        <v>534400</v>
      </c>
      <c r="CV187" s="322">
        <v>684032</v>
      </c>
      <c r="CW187" s="322">
        <v>762054</v>
      </c>
      <c r="CX187" s="14"/>
      <c r="CY187" s="23" t="s">
        <v>229</v>
      </c>
      <c r="CZ187" s="322">
        <v>384234</v>
      </c>
      <c r="DA187" s="322">
        <v>443018</v>
      </c>
      <c r="DB187" s="322">
        <v>534400</v>
      </c>
      <c r="DC187" s="322">
        <v>684032</v>
      </c>
      <c r="DD187" s="322">
        <v>762054</v>
      </c>
    </row>
    <row r="188" spans="1:108" ht="12.95" customHeight="1">
      <c r="C188" s="21"/>
      <c r="E188" s="1769"/>
      <c r="F188" s="1769"/>
      <c r="G188" s="1769"/>
      <c r="H188" s="1769"/>
      <c r="I188" s="1769"/>
      <c r="J188" s="1769"/>
      <c r="K188" s="1769"/>
      <c r="L188" s="1769"/>
      <c r="M188" s="1769"/>
      <c r="N188" s="1769"/>
      <c r="O188" s="1769"/>
      <c r="P188" s="1769"/>
      <c r="Q188" s="1769"/>
      <c r="R188" s="1769"/>
      <c r="S188" s="1769"/>
      <c r="T188" s="1769"/>
      <c r="U188" s="1769"/>
      <c r="V188" s="1769"/>
      <c r="W188" s="1769"/>
      <c r="X188" s="1769"/>
      <c r="Y188" s="1769"/>
      <c r="Z188" s="1769"/>
      <c r="AA188" s="1769"/>
      <c r="AB188" s="1769"/>
      <c r="AC188" s="1769"/>
      <c r="AD188" s="1769"/>
      <c r="AE188" s="1769"/>
      <c r="BN188" s="23" t="s">
        <v>234</v>
      </c>
      <c r="BS188">
        <v>7</v>
      </c>
      <c r="BT188" t="s">
        <v>66</v>
      </c>
      <c r="CB188" s="351" t="s">
        <v>63</v>
      </c>
      <c r="CC188" s="465">
        <v>1824</v>
      </c>
      <c r="CD188" s="466">
        <v>1954</v>
      </c>
      <c r="CE188" s="465">
        <v>2344</v>
      </c>
      <c r="CF188" s="466">
        <v>2710</v>
      </c>
      <c r="CG188" s="466">
        <v>3022</v>
      </c>
      <c r="CH188" s="467">
        <v>3336</v>
      </c>
      <c r="CI188" s="3"/>
      <c r="CJ188" s="862">
        <v>1209</v>
      </c>
      <c r="CK188" s="862">
        <v>1217</v>
      </c>
      <c r="CL188" s="862">
        <v>1596</v>
      </c>
      <c r="CM188" s="862">
        <v>2249</v>
      </c>
      <c r="CN188" s="862">
        <v>2708</v>
      </c>
      <c r="CR188" s="23" t="s">
        <v>230</v>
      </c>
      <c r="CS188" s="324">
        <v>352022</v>
      </c>
      <c r="CT188" s="324">
        <v>405878</v>
      </c>
      <c r="CU188" s="324">
        <v>489600</v>
      </c>
      <c r="CV188" s="324">
        <v>626688</v>
      </c>
      <c r="CW188" s="324">
        <v>698170</v>
      </c>
      <c r="CX188" s="14"/>
      <c r="CY188" s="23" t="s">
        <v>230</v>
      </c>
      <c r="CZ188" s="324">
        <v>352022</v>
      </c>
      <c r="DA188" s="324">
        <v>405878</v>
      </c>
      <c r="DB188" s="324">
        <v>489600</v>
      </c>
      <c r="DC188" s="324">
        <v>626688</v>
      </c>
      <c r="DD188" s="324">
        <v>698170</v>
      </c>
    </row>
    <row r="189" spans="1:108" ht="12.95" customHeight="1">
      <c r="C189" s="21"/>
      <c r="D189" t="s">
        <v>580</v>
      </c>
      <c r="I189" s="1416" t="s">
        <v>494</v>
      </c>
      <c r="J189" s="1425"/>
      <c r="K189" s="1425"/>
      <c r="L189" s="1425"/>
      <c r="M189" s="1425"/>
      <c r="N189" s="1425"/>
      <c r="O189" s="1425"/>
      <c r="P189" s="1425"/>
      <c r="Q189" t="s">
        <v>582</v>
      </c>
      <c r="T189" s="1425" t="s">
        <v>494</v>
      </c>
      <c r="U189" s="1425"/>
      <c r="V189" s="1425"/>
      <c r="W189" s="1425"/>
      <c r="X189" s="1425"/>
      <c r="Y189" s="1425"/>
      <c r="Z189" s="1425"/>
      <c r="AA189" s="1425"/>
      <c r="AB189" s="1425"/>
      <c r="AC189" s="1425"/>
      <c r="AD189" s="1425"/>
      <c r="AE189" s="1425"/>
      <c r="BC189" t="s">
        <v>306</v>
      </c>
      <c r="BH189" s="3" t="s">
        <v>591</v>
      </c>
      <c r="BN189" s="23" t="s">
        <v>235</v>
      </c>
      <c r="BS189">
        <v>5</v>
      </c>
      <c r="BT189" t="s">
        <v>67</v>
      </c>
      <c r="CB189" s="351" t="s">
        <v>64</v>
      </c>
      <c r="CC189" s="465">
        <v>2762</v>
      </c>
      <c r="CD189" s="466">
        <v>2958</v>
      </c>
      <c r="CE189" s="465">
        <v>3552</v>
      </c>
      <c r="CF189" s="466">
        <v>4102</v>
      </c>
      <c r="CG189" s="466">
        <v>4576</v>
      </c>
      <c r="CH189" s="467">
        <v>5050</v>
      </c>
      <c r="CI189" s="34"/>
      <c r="CJ189" s="1042">
        <v>2200</v>
      </c>
      <c r="CK189" s="1042">
        <v>2344</v>
      </c>
      <c r="CL189" s="1042">
        <v>2783</v>
      </c>
      <c r="CM189" s="1042">
        <v>3769</v>
      </c>
      <c r="CN189" s="1042">
        <v>4467</v>
      </c>
      <c r="CR189" s="23" t="s">
        <v>231</v>
      </c>
      <c r="CS189" s="322">
        <v>396888</v>
      </c>
      <c r="CT189" s="322">
        <v>457608</v>
      </c>
      <c r="CU189" s="322">
        <v>552000</v>
      </c>
      <c r="CV189" s="322">
        <v>706560</v>
      </c>
      <c r="CW189" s="322">
        <v>787152</v>
      </c>
      <c r="CX189" s="14"/>
      <c r="CY189" s="23" t="s">
        <v>231</v>
      </c>
      <c r="CZ189" s="322">
        <v>396888</v>
      </c>
      <c r="DA189" s="322">
        <v>457608</v>
      </c>
      <c r="DB189" s="322">
        <v>552000</v>
      </c>
      <c r="DC189" s="322">
        <v>706560</v>
      </c>
      <c r="DD189" s="322">
        <v>787152</v>
      </c>
    </row>
    <row r="190" spans="1:108" ht="12.95" customHeight="1">
      <c r="C190" s="21"/>
      <c r="D190" t="s">
        <v>583</v>
      </c>
      <c r="I190" s="1458">
        <v>90005</v>
      </c>
      <c r="J190" s="1458"/>
      <c r="K190" s="1458"/>
      <c r="L190" s="1458"/>
      <c r="M190" s="1458"/>
      <c r="N190" s="1458"/>
      <c r="O190" t="s">
        <v>585</v>
      </c>
      <c r="T190" s="1794">
        <v>2122.02</v>
      </c>
      <c r="U190" s="1794"/>
      <c r="V190" s="1794"/>
      <c r="W190" s="1794"/>
      <c r="X190" s="1794"/>
      <c r="Y190" s="1794"/>
      <c r="Z190" s="1794"/>
      <c r="AA190" s="1794"/>
      <c r="AB190" s="1794"/>
      <c r="AC190" s="1794"/>
      <c r="AD190" s="1794"/>
      <c r="AE190" s="1794"/>
      <c r="BC190" t="s">
        <v>1040</v>
      </c>
      <c r="BH190" t="s">
        <v>1040</v>
      </c>
      <c r="BN190" s="23" t="s">
        <v>635</v>
      </c>
      <c r="BS190">
        <v>6</v>
      </c>
      <c r="BT190" t="s">
        <v>68</v>
      </c>
      <c r="CB190" s="351" t="s">
        <v>65</v>
      </c>
      <c r="CC190" s="465">
        <v>2064</v>
      </c>
      <c r="CD190" s="466">
        <v>2210</v>
      </c>
      <c r="CE190" s="465">
        <v>2652</v>
      </c>
      <c r="CF190" s="466">
        <v>3064</v>
      </c>
      <c r="CG190" s="466">
        <v>3420</v>
      </c>
      <c r="CH190" s="467">
        <v>3772</v>
      </c>
      <c r="CI190" s="34"/>
      <c r="CJ190" s="1042">
        <v>1543</v>
      </c>
      <c r="CK190" s="1042">
        <v>1666</v>
      </c>
      <c r="CL190" s="1042">
        <v>2072</v>
      </c>
      <c r="CM190" s="1042">
        <v>2884</v>
      </c>
      <c r="CN190" s="1042">
        <v>3321</v>
      </c>
      <c r="CR190" s="23" t="s">
        <v>232</v>
      </c>
      <c r="CS190" s="324">
        <v>331890</v>
      </c>
      <c r="CT190" s="324">
        <v>382666</v>
      </c>
      <c r="CU190" s="324">
        <v>461600</v>
      </c>
      <c r="CV190" s="324">
        <v>590848</v>
      </c>
      <c r="CW190" s="324">
        <v>658242</v>
      </c>
      <c r="CX190" s="14"/>
      <c r="CY190" s="23" t="s">
        <v>232</v>
      </c>
      <c r="CZ190" s="324">
        <v>331890</v>
      </c>
      <c r="DA190" s="324">
        <v>382666</v>
      </c>
      <c r="DB190" s="324">
        <v>461600</v>
      </c>
      <c r="DC190" s="324">
        <v>590848</v>
      </c>
      <c r="DD190" s="324">
        <v>658242</v>
      </c>
    </row>
    <row r="191" spans="1:108" ht="12.95" customHeight="1">
      <c r="C191" s="21"/>
      <c r="D191" t="s">
        <v>462</v>
      </c>
      <c r="N191" s="1809" t="s">
        <v>2618</v>
      </c>
      <c r="O191" s="1810"/>
      <c r="P191" s="1810"/>
      <c r="Q191" s="1810"/>
      <c r="R191" s="1810"/>
      <c r="S191" s="1810"/>
      <c r="T191" s="1810"/>
      <c r="U191" s="1810"/>
      <c r="V191" s="1810"/>
      <c r="W191" s="1810"/>
      <c r="X191" s="1810"/>
      <c r="Y191" s="1810"/>
      <c r="Z191" s="1810"/>
      <c r="AA191" s="1810"/>
      <c r="AB191" s="1810"/>
      <c r="AC191" s="1810"/>
      <c r="AD191" s="1810"/>
      <c r="AE191" s="1810"/>
      <c r="BC191" t="s">
        <v>1039</v>
      </c>
      <c r="BH191" t="s">
        <v>1039</v>
      </c>
      <c r="BN191" s="23" t="s">
        <v>688</v>
      </c>
      <c r="BS191">
        <v>4</v>
      </c>
      <c r="BT191" t="s">
        <v>727</v>
      </c>
      <c r="CB191" s="351" t="s">
        <v>66</v>
      </c>
      <c r="CC191" s="465">
        <v>1612</v>
      </c>
      <c r="CD191" s="466">
        <v>1726</v>
      </c>
      <c r="CE191" s="465">
        <v>2072</v>
      </c>
      <c r="CF191" s="466">
        <v>2394</v>
      </c>
      <c r="CG191" s="466">
        <v>2672</v>
      </c>
      <c r="CH191" s="467">
        <v>2948</v>
      </c>
      <c r="CI191" s="34"/>
      <c r="CJ191" s="1042">
        <v>803</v>
      </c>
      <c r="CK191" s="1042">
        <v>887</v>
      </c>
      <c r="CL191" s="1042">
        <v>1165</v>
      </c>
      <c r="CM191" s="1042">
        <v>1642</v>
      </c>
      <c r="CN191" s="1042">
        <v>1867</v>
      </c>
      <c r="CR191" s="23" t="s">
        <v>234</v>
      </c>
      <c r="CS191" s="322">
        <v>352022</v>
      </c>
      <c r="CT191" s="322">
        <v>405878</v>
      </c>
      <c r="CU191" s="322">
        <v>489600</v>
      </c>
      <c r="CV191" s="322">
        <v>626688</v>
      </c>
      <c r="CW191" s="322">
        <v>698170</v>
      </c>
      <c r="CX191" s="14"/>
      <c r="CY191" s="23" t="s">
        <v>234</v>
      </c>
      <c r="CZ191" s="322">
        <v>352022</v>
      </c>
      <c r="DA191" s="322">
        <v>405878</v>
      </c>
      <c r="DB191" s="322">
        <v>489600</v>
      </c>
      <c r="DC191" s="322">
        <v>626688</v>
      </c>
      <c r="DD191" s="322">
        <v>698170</v>
      </c>
    </row>
    <row r="192" spans="1:108" ht="12.95" customHeight="1">
      <c r="C192" s="21"/>
      <c r="M192" s="40"/>
      <c r="N192" s="1769"/>
      <c r="O192" s="1769"/>
      <c r="P192" s="1769"/>
      <c r="Q192" s="1769"/>
      <c r="R192" s="1769"/>
      <c r="S192" s="1769"/>
      <c r="T192" s="1769"/>
      <c r="U192" s="1769"/>
      <c r="V192" s="1769"/>
      <c r="W192" s="1769"/>
      <c r="X192" s="1769"/>
      <c r="Y192" s="1769"/>
      <c r="Z192" s="1769"/>
      <c r="AA192" s="1769"/>
      <c r="AB192" s="1769"/>
      <c r="AC192" s="1769"/>
      <c r="AD192" s="1769"/>
      <c r="AE192" s="1769"/>
      <c r="BC192" t="s">
        <v>1042</v>
      </c>
      <c r="BH192" s="3" t="s">
        <v>1363</v>
      </c>
      <c r="BN192" s="23" t="s">
        <v>689</v>
      </c>
      <c r="BS192">
        <v>5</v>
      </c>
      <c r="BT192" t="s">
        <v>728</v>
      </c>
      <c r="CB192" s="351" t="s">
        <v>67</v>
      </c>
      <c r="CC192" s="465">
        <v>1794</v>
      </c>
      <c r="CD192" s="466">
        <v>1922</v>
      </c>
      <c r="CE192" s="465">
        <v>2304</v>
      </c>
      <c r="CF192" s="466">
        <v>2664</v>
      </c>
      <c r="CG192" s="466">
        <v>2972</v>
      </c>
      <c r="CH192" s="467">
        <v>3280</v>
      </c>
      <c r="CI192" s="34"/>
      <c r="CJ192" s="1042">
        <v>1517</v>
      </c>
      <c r="CK192" s="1042">
        <v>1611</v>
      </c>
      <c r="CL192" s="1042">
        <v>2010</v>
      </c>
      <c r="CM192" s="1042">
        <v>2707</v>
      </c>
      <c r="CN192" s="1042">
        <v>3304</v>
      </c>
      <c r="CR192" s="23" t="s">
        <v>235</v>
      </c>
      <c r="CS192" s="324">
        <v>324988</v>
      </c>
      <c r="CT192" s="324">
        <v>374708</v>
      </c>
      <c r="CU192" s="324">
        <v>452000</v>
      </c>
      <c r="CV192" s="324">
        <v>578560</v>
      </c>
      <c r="CW192" s="324">
        <v>644552</v>
      </c>
      <c r="CX192" s="14"/>
      <c r="CY192" s="23" t="s">
        <v>235</v>
      </c>
      <c r="CZ192" s="324">
        <v>324988</v>
      </c>
      <c r="DA192" s="324">
        <v>374708</v>
      </c>
      <c r="DB192" s="324">
        <v>452000</v>
      </c>
      <c r="DC192" s="324">
        <v>578560</v>
      </c>
      <c r="DD192" s="324">
        <v>644552</v>
      </c>
    </row>
    <row r="193" spans="1:108" ht="12.95" customHeight="1">
      <c r="C193" s="21"/>
      <c r="D193" t="s">
        <v>2082</v>
      </c>
      <c r="M193" s="40"/>
      <c r="N193" s="895"/>
      <c r="O193" s="895"/>
      <c r="P193" s="895"/>
      <c r="Q193" s="895"/>
      <c r="R193" s="895"/>
      <c r="S193" s="895"/>
      <c r="T193" s="1798" t="s">
        <v>2214</v>
      </c>
      <c r="U193" s="1798"/>
      <c r="V193" s="1798"/>
      <c r="W193" s="1798"/>
      <c r="X193" s="1798"/>
      <c r="Y193" s="1798"/>
      <c r="Z193" s="1798"/>
      <c r="AA193" s="1798"/>
      <c r="AB193" s="1798"/>
      <c r="AC193" s="1798"/>
      <c r="AD193" s="1798"/>
      <c r="AE193" s="1798"/>
      <c r="AF193" s="1798"/>
      <c r="AG193" s="1798"/>
      <c r="AH193" s="1798"/>
      <c r="AI193" s="1798"/>
      <c r="BC193" t="s">
        <v>1041</v>
      </c>
      <c r="BH193" s="3" t="s">
        <v>1628</v>
      </c>
      <c r="BN193" s="23" t="s">
        <v>690</v>
      </c>
      <c r="BS193">
        <v>4</v>
      </c>
      <c r="BT193" t="s">
        <v>729</v>
      </c>
      <c r="CB193" s="351" t="s">
        <v>68</v>
      </c>
      <c r="CC193" s="465">
        <v>2064</v>
      </c>
      <c r="CD193" s="466">
        <v>2210</v>
      </c>
      <c r="CE193" s="465">
        <v>2652</v>
      </c>
      <c r="CF193" s="466">
        <v>3064</v>
      </c>
      <c r="CG193" s="466">
        <v>3420</v>
      </c>
      <c r="CH193" s="467">
        <v>3772</v>
      </c>
      <c r="CI193" s="34"/>
      <c r="CJ193" s="1042">
        <v>1543</v>
      </c>
      <c r="CK193" s="1042">
        <v>1666</v>
      </c>
      <c r="CL193" s="1042">
        <v>2072</v>
      </c>
      <c r="CM193" s="1042">
        <v>2884</v>
      </c>
      <c r="CN193" s="1042">
        <v>3321</v>
      </c>
      <c r="CR193" s="23" t="s">
        <v>635</v>
      </c>
      <c r="CS193" s="322">
        <v>331890</v>
      </c>
      <c r="CT193" s="322">
        <v>382666</v>
      </c>
      <c r="CU193" s="322">
        <v>461600</v>
      </c>
      <c r="CV193" s="322">
        <v>590848</v>
      </c>
      <c r="CW193" s="322">
        <v>658242</v>
      </c>
      <c r="CX193" s="14"/>
      <c r="CY193" s="23" t="s">
        <v>635</v>
      </c>
      <c r="CZ193" s="322">
        <v>331890</v>
      </c>
      <c r="DA193" s="322">
        <v>382666</v>
      </c>
      <c r="DB193" s="322">
        <v>461600</v>
      </c>
      <c r="DC193" s="322">
        <v>590848</v>
      </c>
      <c r="DD193" s="322">
        <v>658242</v>
      </c>
    </row>
    <row r="194" spans="1:108" ht="12.95" customHeight="1">
      <c r="C194" s="21"/>
      <c r="D194" s="3" t="s">
        <v>2216</v>
      </c>
      <c r="M194" s="40"/>
      <c r="N194" s="895"/>
      <c r="O194" s="895"/>
      <c r="P194" s="895"/>
      <c r="Q194" s="895"/>
      <c r="R194" s="895"/>
      <c r="S194" s="895"/>
      <c r="AH194" s="1330" t="s">
        <v>669</v>
      </c>
      <c r="AI194" s="1330"/>
      <c r="BC194" t="s">
        <v>1363</v>
      </c>
      <c r="BN194" s="23" t="s">
        <v>691</v>
      </c>
      <c r="BS194">
        <v>2</v>
      </c>
      <c r="BT194" t="s">
        <v>730</v>
      </c>
      <c r="CB194" s="351" t="s">
        <v>727</v>
      </c>
      <c r="CC194" s="465">
        <v>2142</v>
      </c>
      <c r="CD194" s="466">
        <v>2296</v>
      </c>
      <c r="CE194" s="465">
        <v>2754</v>
      </c>
      <c r="CF194" s="466">
        <v>3182</v>
      </c>
      <c r="CG194" s="466">
        <v>3550</v>
      </c>
      <c r="CH194" s="467">
        <v>3916</v>
      </c>
      <c r="CI194" s="34"/>
      <c r="CJ194" s="1042">
        <v>1707</v>
      </c>
      <c r="CK194" s="1042">
        <v>1917</v>
      </c>
      <c r="CL194" s="1042">
        <v>2519</v>
      </c>
      <c r="CM194" s="1042">
        <v>3550</v>
      </c>
      <c r="CN194" s="1042">
        <v>4121</v>
      </c>
      <c r="CR194" s="23" t="s">
        <v>688</v>
      </c>
      <c r="CS194" s="324">
        <v>352022</v>
      </c>
      <c r="CT194" s="324">
        <v>405878</v>
      </c>
      <c r="CU194" s="324">
        <v>489600</v>
      </c>
      <c r="CV194" s="324">
        <v>626688</v>
      </c>
      <c r="CW194" s="324">
        <v>698170</v>
      </c>
      <c r="CX194" s="14"/>
      <c r="CY194" s="23" t="s">
        <v>688</v>
      </c>
      <c r="CZ194" s="324">
        <v>352022</v>
      </c>
      <c r="DA194" s="324">
        <v>405878</v>
      </c>
      <c r="DB194" s="324">
        <v>489600</v>
      </c>
      <c r="DC194" s="324">
        <v>626688</v>
      </c>
      <c r="DD194" s="324">
        <v>698170</v>
      </c>
    </row>
    <row r="195" spans="1:108" ht="12.95" customHeight="1">
      <c r="C195" s="21"/>
      <c r="D195" t="s">
        <v>330</v>
      </c>
      <c r="T195" s="1330" t="s">
        <v>669</v>
      </c>
      <c r="U195" s="1330"/>
      <c r="W195" t="s">
        <v>684</v>
      </c>
      <c r="AH195" s="1330">
        <v>34</v>
      </c>
      <c r="AI195" s="1330"/>
      <c r="BC195" t="s">
        <v>1856</v>
      </c>
      <c r="BN195" s="23" t="s">
        <v>241</v>
      </c>
      <c r="BS195">
        <v>6</v>
      </c>
      <c r="BT195" t="s">
        <v>731</v>
      </c>
      <c r="CB195" s="351" t="s">
        <v>728</v>
      </c>
      <c r="CC195" s="465">
        <v>1794</v>
      </c>
      <c r="CD195" s="466">
        <v>1922</v>
      </c>
      <c r="CE195" s="465">
        <v>2304</v>
      </c>
      <c r="CF195" s="466">
        <v>2664</v>
      </c>
      <c r="CG195" s="466">
        <v>2972</v>
      </c>
      <c r="CH195" s="467">
        <v>3280</v>
      </c>
      <c r="CI195" s="34"/>
      <c r="CJ195" s="1042">
        <v>1517</v>
      </c>
      <c r="CK195" s="1042">
        <v>1611</v>
      </c>
      <c r="CL195" s="1042">
        <v>2010</v>
      </c>
      <c r="CM195" s="1042">
        <v>2707</v>
      </c>
      <c r="CN195" s="1042">
        <v>3304</v>
      </c>
      <c r="CR195" s="23" t="s">
        <v>689</v>
      </c>
      <c r="CS195" s="322">
        <v>324988</v>
      </c>
      <c r="CT195" s="322">
        <v>374708</v>
      </c>
      <c r="CU195" s="322">
        <v>452000</v>
      </c>
      <c r="CV195" s="322">
        <v>578560</v>
      </c>
      <c r="CW195" s="322">
        <v>644552</v>
      </c>
      <c r="CX195" s="14"/>
      <c r="CY195" s="23" t="s">
        <v>689</v>
      </c>
      <c r="CZ195" s="322">
        <v>324988</v>
      </c>
      <c r="DA195" s="322">
        <v>374708</v>
      </c>
      <c r="DB195" s="322">
        <v>452000</v>
      </c>
      <c r="DC195" s="322">
        <v>578560</v>
      </c>
      <c r="DD195" s="322">
        <v>644552</v>
      </c>
    </row>
    <row r="196" spans="1:108" ht="12.95" customHeight="1">
      <c r="C196" s="21"/>
      <c r="D196" t="s">
        <v>385</v>
      </c>
      <c r="T196" s="1368" t="s">
        <v>545</v>
      </c>
      <c r="U196" s="1368"/>
      <c r="W196" t="s">
        <v>685</v>
      </c>
      <c r="AH196" s="1330">
        <v>54</v>
      </c>
      <c r="AI196" s="1330"/>
      <c r="BN196" s="23" t="s">
        <v>242</v>
      </c>
      <c r="BS196">
        <v>4</v>
      </c>
      <c r="BT196" t="s">
        <v>69</v>
      </c>
      <c r="CB196" s="351" t="s">
        <v>729</v>
      </c>
      <c r="CC196" s="465">
        <v>2652</v>
      </c>
      <c r="CD196" s="466">
        <v>2840</v>
      </c>
      <c r="CE196" s="465">
        <v>3410</v>
      </c>
      <c r="CF196" s="466">
        <v>3940</v>
      </c>
      <c r="CG196" s="466">
        <v>4394</v>
      </c>
      <c r="CH196" s="467">
        <v>4848</v>
      </c>
      <c r="CI196" s="34"/>
      <c r="CJ196" s="1042">
        <v>2062</v>
      </c>
      <c r="CK196" s="1042">
        <v>2248</v>
      </c>
      <c r="CL196" s="1042">
        <v>2833</v>
      </c>
      <c r="CM196" s="1042">
        <v>3819</v>
      </c>
      <c r="CN196" s="1042">
        <v>4638</v>
      </c>
      <c r="CR196" s="23" t="s">
        <v>690</v>
      </c>
      <c r="CS196" s="324">
        <v>353173</v>
      </c>
      <c r="CT196" s="324">
        <v>407205</v>
      </c>
      <c r="CU196" s="324">
        <v>491200</v>
      </c>
      <c r="CV196" s="324">
        <v>628736</v>
      </c>
      <c r="CW196" s="324">
        <v>700451</v>
      </c>
      <c r="CX196" s="14"/>
      <c r="CY196" s="23" t="s">
        <v>690</v>
      </c>
      <c r="CZ196" s="324">
        <v>353173</v>
      </c>
      <c r="DA196" s="324">
        <v>407205</v>
      </c>
      <c r="DB196" s="324">
        <v>491200</v>
      </c>
      <c r="DC196" s="324">
        <v>628736</v>
      </c>
      <c r="DD196" s="324">
        <v>700451</v>
      </c>
    </row>
    <row r="197" spans="1:108" ht="12.95" customHeight="1">
      <c r="C197" s="21"/>
      <c r="D197" s="3" t="s">
        <v>168</v>
      </c>
      <c r="T197" s="1368" t="s">
        <v>669</v>
      </c>
      <c r="U197" s="1368"/>
      <c r="W197" t="s">
        <v>686</v>
      </c>
      <c r="AH197" s="1330">
        <v>26</v>
      </c>
      <c r="AI197" s="1330"/>
      <c r="BC197" t="s">
        <v>306</v>
      </c>
      <c r="BN197" s="23" t="s">
        <v>243</v>
      </c>
      <c r="BS197">
        <v>2</v>
      </c>
      <c r="BT197" t="s">
        <v>70</v>
      </c>
      <c r="CB197" s="351" t="s">
        <v>730</v>
      </c>
      <c r="CC197" s="465">
        <v>3426</v>
      </c>
      <c r="CD197" s="466">
        <v>3672</v>
      </c>
      <c r="CE197" s="465">
        <v>4406</v>
      </c>
      <c r="CF197" s="466">
        <v>5090</v>
      </c>
      <c r="CG197" s="466">
        <v>5680</v>
      </c>
      <c r="CH197" s="467">
        <v>6266</v>
      </c>
      <c r="CI197" s="34"/>
      <c r="CJ197" s="1042">
        <v>2292</v>
      </c>
      <c r="CK197" s="1042">
        <v>2818</v>
      </c>
      <c r="CL197" s="1042">
        <v>3359</v>
      </c>
      <c r="CM197" s="1042">
        <v>4112</v>
      </c>
      <c r="CN197" s="1042">
        <v>4473</v>
      </c>
      <c r="CR197" s="23" t="s">
        <v>691</v>
      </c>
      <c r="CS197" s="322">
        <v>689665</v>
      </c>
      <c r="CT197" s="322">
        <v>795177</v>
      </c>
      <c r="CU197" s="322">
        <v>959200</v>
      </c>
      <c r="CV197" s="322">
        <v>1227776</v>
      </c>
      <c r="CW197" s="322">
        <v>1367819</v>
      </c>
      <c r="CX197" s="14"/>
      <c r="CY197" s="23" t="s">
        <v>691</v>
      </c>
      <c r="CZ197" s="322">
        <v>689665</v>
      </c>
      <c r="DA197" s="322">
        <v>795177</v>
      </c>
      <c r="DB197" s="322">
        <v>959200</v>
      </c>
      <c r="DC197" s="322">
        <v>1227776</v>
      </c>
      <c r="DD197" s="322">
        <v>1367819</v>
      </c>
    </row>
    <row r="198" spans="1:108" s="14" customFormat="1" ht="12.95" customHeight="1">
      <c r="A198"/>
      <c r="B198"/>
      <c r="C198" s="21"/>
      <c r="D198" s="3" t="s">
        <v>1651</v>
      </c>
      <c r="E198"/>
      <c r="F198"/>
      <c r="G198"/>
      <c r="H198"/>
      <c r="I198"/>
      <c r="J198"/>
      <c r="K198"/>
      <c r="L198"/>
      <c r="M198"/>
      <c r="N198"/>
      <c r="O198"/>
      <c r="P198"/>
      <c r="Q198"/>
      <c r="R198"/>
      <c r="S198"/>
      <c r="T198" s="1368">
        <v>0</v>
      </c>
      <c r="U198" s="1368"/>
      <c r="V198"/>
      <c r="X198" s="1413" t="s">
        <v>2516</v>
      </c>
      <c r="Y198" s="1413"/>
      <c r="Z198" s="1413"/>
      <c r="AA198" s="1413"/>
      <c r="AB198" s="1413"/>
      <c r="AC198" s="1413"/>
      <c r="AD198" s="1413"/>
      <c r="AE198" s="1413"/>
      <c r="AF198" s="1413"/>
      <c r="AG198" s="1413"/>
      <c r="AH198" s="1413"/>
      <c r="AI198" s="1413"/>
      <c r="AJ198" s="1413"/>
      <c r="AK198" s="1413"/>
      <c r="AL198" s="1413"/>
      <c r="AM198" s="1413"/>
      <c r="AN198" s="1413"/>
      <c r="AO198" s="1413"/>
      <c r="AP198" s="1413"/>
      <c r="AQ198" s="1413"/>
      <c r="AR198" s="1413"/>
      <c r="AS198" s="1413"/>
      <c r="AT198" s="1413"/>
      <c r="AU198"/>
      <c r="AV198"/>
      <c r="AW198"/>
      <c r="AX198"/>
      <c r="AY198"/>
      <c r="AZ198" s="30"/>
      <c r="BA198" s="30"/>
      <c r="BC198" s="14" t="s">
        <v>591</v>
      </c>
      <c r="BD198"/>
      <c r="BN198" s="23" t="s">
        <v>697</v>
      </c>
      <c r="BO198"/>
      <c r="BP198"/>
      <c r="BQ198"/>
      <c r="BR198"/>
      <c r="BS198">
        <v>4</v>
      </c>
      <c r="BT198" t="s">
        <v>190</v>
      </c>
      <c r="BU198"/>
      <c r="BV198" s="31"/>
      <c r="CB198" s="351" t="s">
        <v>731</v>
      </c>
      <c r="CC198" s="465">
        <v>1686</v>
      </c>
      <c r="CD198" s="466">
        <v>1808</v>
      </c>
      <c r="CE198" s="465">
        <v>2170</v>
      </c>
      <c r="CF198" s="466">
        <v>2506</v>
      </c>
      <c r="CG198" s="466">
        <v>2796</v>
      </c>
      <c r="CH198" s="467">
        <v>3086</v>
      </c>
      <c r="CI198" s="3"/>
      <c r="CJ198" s="862">
        <v>1122</v>
      </c>
      <c r="CK198" s="862">
        <v>1245</v>
      </c>
      <c r="CL198" s="862">
        <v>1607</v>
      </c>
      <c r="CM198" s="862">
        <v>2265</v>
      </c>
      <c r="CN198" s="862">
        <v>2727</v>
      </c>
      <c r="CR198" s="23" t="s">
        <v>241</v>
      </c>
      <c r="CS198" s="324">
        <v>307732</v>
      </c>
      <c r="CT198" s="324">
        <v>354812</v>
      </c>
      <c r="CU198" s="324">
        <v>428000</v>
      </c>
      <c r="CV198" s="324">
        <v>547840</v>
      </c>
      <c r="CW198" s="324">
        <v>610328</v>
      </c>
      <c r="CY198" s="23" t="s">
        <v>241</v>
      </c>
      <c r="CZ198" s="324">
        <v>307732</v>
      </c>
      <c r="DA198" s="324">
        <v>354812</v>
      </c>
      <c r="DB198" s="324">
        <v>428000</v>
      </c>
      <c r="DC198" s="324">
        <v>547840</v>
      </c>
      <c r="DD198" s="324">
        <v>610328</v>
      </c>
    </row>
    <row r="199" spans="1:108" s="14" customFormat="1" ht="12.95" customHeight="1">
      <c r="A199"/>
      <c r="B199"/>
      <c r="C199" s="21"/>
      <c r="D199" s="118" t="s">
        <v>2519</v>
      </c>
      <c r="E199"/>
      <c r="F199"/>
      <c r="G199"/>
      <c r="H199"/>
      <c r="I199"/>
      <c r="J199"/>
      <c r="K199"/>
      <c r="L199"/>
      <c r="M199"/>
      <c r="N199"/>
      <c r="O199"/>
      <c r="P199"/>
      <c r="Q199"/>
      <c r="R199"/>
      <c r="S199"/>
      <c r="T199" s="1330" t="s">
        <v>669</v>
      </c>
      <c r="U199" s="1330"/>
      <c r="V199"/>
      <c r="W199"/>
      <c r="X199" s="1413"/>
      <c r="Y199" s="1413"/>
      <c r="Z199" s="1413"/>
      <c r="AA199" s="1413"/>
      <c r="AB199" s="1413"/>
      <c r="AC199" s="1413"/>
      <c r="AD199" s="1413"/>
      <c r="AE199" s="1413"/>
      <c r="AF199" s="1413"/>
      <c r="AG199" s="1413"/>
      <c r="AH199" s="1413"/>
      <c r="AI199" s="1413"/>
      <c r="AJ199" s="1413"/>
      <c r="AK199" s="1413"/>
      <c r="AL199" s="1413"/>
      <c r="AM199" s="1413"/>
      <c r="AN199" s="1413"/>
      <c r="AO199" s="1413"/>
      <c r="AP199" s="1413"/>
      <c r="AQ199" s="1413"/>
      <c r="AR199" s="1413"/>
      <c r="AS199" s="1413"/>
      <c r="AT199" s="1413"/>
      <c r="AU199"/>
      <c r="AV199"/>
      <c r="AW199"/>
      <c r="AX199"/>
      <c r="AY199"/>
      <c r="AZ199" s="30"/>
      <c r="BA199" s="30"/>
      <c r="BC199" t="s">
        <v>875</v>
      </c>
      <c r="BD199"/>
      <c r="BN199" s="23" t="s">
        <v>698</v>
      </c>
      <c r="BO199"/>
      <c r="BP199"/>
      <c r="BQ199"/>
      <c r="BR199"/>
      <c r="BS199">
        <v>2</v>
      </c>
      <c r="BT199" s="32" t="s">
        <v>191</v>
      </c>
      <c r="BU199"/>
      <c r="BV199" s="31"/>
      <c r="CB199" s="351" t="s">
        <v>69</v>
      </c>
      <c r="CC199" s="465">
        <v>2230</v>
      </c>
      <c r="CD199" s="466">
        <v>2388</v>
      </c>
      <c r="CE199" s="465">
        <v>2864</v>
      </c>
      <c r="CF199" s="466">
        <v>3310</v>
      </c>
      <c r="CG199" s="466">
        <v>3692</v>
      </c>
      <c r="CH199" s="467">
        <v>4074</v>
      </c>
      <c r="CI199" s="3"/>
      <c r="CJ199" s="862">
        <v>1541</v>
      </c>
      <c r="CK199" s="862">
        <v>1731</v>
      </c>
      <c r="CL199" s="862">
        <v>2274</v>
      </c>
      <c r="CM199" s="862">
        <v>3045</v>
      </c>
      <c r="CN199" s="862">
        <v>3465</v>
      </c>
      <c r="CR199" s="23" t="s">
        <v>242</v>
      </c>
      <c r="CS199" s="322">
        <v>404366</v>
      </c>
      <c r="CT199" s="322">
        <v>466230</v>
      </c>
      <c r="CU199" s="322">
        <v>562400</v>
      </c>
      <c r="CV199" s="322">
        <v>719872</v>
      </c>
      <c r="CW199" s="322">
        <v>801982</v>
      </c>
      <c r="CY199" s="23" t="s">
        <v>242</v>
      </c>
      <c r="CZ199" s="322">
        <v>404366</v>
      </c>
      <c r="DA199" s="322">
        <v>466230</v>
      </c>
      <c r="DB199" s="322">
        <v>562400</v>
      </c>
      <c r="DC199" s="322">
        <v>719872</v>
      </c>
      <c r="DD199" s="322">
        <v>801982</v>
      </c>
    </row>
    <row r="200" spans="1:108" s="14" customFormat="1" ht="12.95" customHeight="1">
      <c r="A200"/>
      <c r="B200"/>
      <c r="C200" s="21"/>
      <c r="D200" s="14" t="s">
        <v>2517</v>
      </c>
      <c r="T200" s="1330" t="s">
        <v>669</v>
      </c>
      <c r="U200" s="1330"/>
      <c r="V200"/>
      <c r="W200"/>
      <c r="X200"/>
      <c r="Y200"/>
      <c r="AA200"/>
      <c r="AB200" s="1253" t="s">
        <v>918</v>
      </c>
      <c r="AC200"/>
      <c r="AF200"/>
      <c r="AG200"/>
      <c r="AH200" s="1"/>
      <c r="AJ200"/>
      <c r="AK200"/>
      <c r="AL200"/>
      <c r="AM200"/>
      <c r="AN200"/>
      <c r="AO200"/>
      <c r="AP200"/>
      <c r="AQ200"/>
      <c r="AR200"/>
      <c r="AS200"/>
      <c r="AU200"/>
      <c r="AV200"/>
      <c r="AW200"/>
      <c r="AX200"/>
      <c r="AY200"/>
      <c r="AZ200" s="30"/>
      <c r="BA200" s="30"/>
      <c r="BC200" s="3" t="s">
        <v>874</v>
      </c>
      <c r="BD200" s="437"/>
      <c r="BN200" s="23" t="s">
        <v>699</v>
      </c>
      <c r="BO200"/>
      <c r="BP200"/>
      <c r="BQ200"/>
      <c r="BR200"/>
      <c r="BS200">
        <v>2</v>
      </c>
      <c r="BT200" s="32" t="s">
        <v>192</v>
      </c>
      <c r="BU200"/>
      <c r="CB200" s="351" t="s">
        <v>70</v>
      </c>
      <c r="CC200" s="465">
        <v>3426</v>
      </c>
      <c r="CD200" s="466">
        <v>3672</v>
      </c>
      <c r="CE200" s="465">
        <v>4406</v>
      </c>
      <c r="CF200" s="466">
        <v>5090</v>
      </c>
      <c r="CG200" s="466">
        <v>5680</v>
      </c>
      <c r="CH200" s="467">
        <v>6266</v>
      </c>
      <c r="CI200" s="3"/>
      <c r="CJ200" s="862">
        <v>2292</v>
      </c>
      <c r="CK200" s="862">
        <v>2818</v>
      </c>
      <c r="CL200" s="862">
        <v>3359</v>
      </c>
      <c r="CM200" s="862">
        <v>4112</v>
      </c>
      <c r="CN200" s="862">
        <v>4473</v>
      </c>
      <c r="CR200" s="23" t="s">
        <v>243</v>
      </c>
      <c r="CS200" s="323">
        <v>532060</v>
      </c>
      <c r="CT200" s="323">
        <v>613460</v>
      </c>
      <c r="CU200" s="324">
        <v>740000</v>
      </c>
      <c r="CV200" s="323">
        <v>947200</v>
      </c>
      <c r="CW200" s="323">
        <v>1055240</v>
      </c>
      <c r="CY200" s="23" t="s">
        <v>243</v>
      </c>
      <c r="CZ200" s="323">
        <v>532060</v>
      </c>
      <c r="DA200" s="323">
        <v>613460</v>
      </c>
      <c r="DB200" s="323">
        <v>740000</v>
      </c>
      <c r="DC200" s="323">
        <v>947200</v>
      </c>
      <c r="DD200" s="323">
        <v>1055240</v>
      </c>
    </row>
    <row r="201" spans="1:108" s="14" customFormat="1" ht="12.95" customHeight="1">
      <c r="A201"/>
      <c r="B201"/>
      <c r="C201" s="21"/>
      <c r="E201" s="3" t="s">
        <v>2518</v>
      </c>
      <c r="V201"/>
      <c r="X201"/>
      <c r="Y201"/>
      <c r="Z201"/>
      <c r="AB201" s="1253" t="s">
        <v>919</v>
      </c>
      <c r="AC201"/>
      <c r="AH201" s="1"/>
      <c r="AJ201"/>
      <c r="AK201"/>
      <c r="AL201"/>
      <c r="AM201"/>
      <c r="AN201"/>
      <c r="AO201"/>
      <c r="AP201"/>
      <c r="AQ201"/>
      <c r="AR201"/>
      <c r="AS201"/>
      <c r="AU201"/>
      <c r="AV201"/>
      <c r="AW201"/>
      <c r="AX201"/>
      <c r="AY201"/>
      <c r="AZ201" s="30"/>
      <c r="BA201" s="30"/>
      <c r="BC201" s="3" t="s">
        <v>1060</v>
      </c>
      <c r="BD201" s="437"/>
      <c r="BN201" s="23" t="s">
        <v>700</v>
      </c>
      <c r="BO201" s="31"/>
      <c r="BP201" s="32"/>
      <c r="BQ201" s="32"/>
      <c r="BR201" s="32"/>
      <c r="BS201">
        <v>6</v>
      </c>
      <c r="BT201" s="32" t="s">
        <v>193</v>
      </c>
      <c r="BU201"/>
      <c r="CB201" s="351" t="s">
        <v>190</v>
      </c>
      <c r="CC201" s="465">
        <v>2846</v>
      </c>
      <c r="CD201" s="466">
        <v>3050</v>
      </c>
      <c r="CE201" s="465">
        <v>3660</v>
      </c>
      <c r="CF201" s="466">
        <v>4228</v>
      </c>
      <c r="CG201" s="466">
        <v>4716</v>
      </c>
      <c r="CH201" s="467">
        <v>5204</v>
      </c>
      <c r="CI201" s="3"/>
      <c r="CJ201" s="862">
        <v>2330</v>
      </c>
      <c r="CK201" s="862">
        <v>2651</v>
      </c>
      <c r="CL201" s="862">
        <v>2994</v>
      </c>
      <c r="CM201" s="862">
        <v>3996</v>
      </c>
      <c r="CN201" s="862">
        <v>4528</v>
      </c>
      <c r="CR201" s="23" t="s">
        <v>697</v>
      </c>
      <c r="CS201" s="322">
        <v>404366</v>
      </c>
      <c r="CT201" s="322">
        <v>466230</v>
      </c>
      <c r="CU201" s="322">
        <v>562400</v>
      </c>
      <c r="CV201" s="322">
        <v>719872</v>
      </c>
      <c r="CW201" s="322">
        <v>801982</v>
      </c>
      <c r="CY201" s="23" t="s">
        <v>697</v>
      </c>
      <c r="CZ201" s="322">
        <v>404366</v>
      </c>
      <c r="DA201" s="322">
        <v>466230</v>
      </c>
      <c r="DB201" s="322">
        <v>562400</v>
      </c>
      <c r="DC201" s="322">
        <v>719872</v>
      </c>
      <c r="DD201" s="322">
        <v>801982</v>
      </c>
    </row>
    <row r="202" spans="1:108" ht="12.95" customHeight="1">
      <c r="C202" s="21"/>
      <c r="AE202" s="8"/>
      <c r="BC202" t="s">
        <v>611</v>
      </c>
      <c r="BD202" s="437"/>
      <c r="BN202" s="23" t="s">
        <v>701</v>
      </c>
      <c r="BO202" s="14"/>
      <c r="BP202" s="32"/>
      <c r="BQ202" s="32"/>
      <c r="BR202" s="32"/>
      <c r="BS202">
        <v>7</v>
      </c>
      <c r="BT202" s="32" t="s">
        <v>194</v>
      </c>
      <c r="CB202" s="351" t="s">
        <v>191</v>
      </c>
      <c r="CC202" s="465">
        <v>3226</v>
      </c>
      <c r="CD202" s="466">
        <v>3456</v>
      </c>
      <c r="CE202" s="465">
        <v>4146</v>
      </c>
      <c r="CF202" s="466">
        <v>4792</v>
      </c>
      <c r="CG202" s="466">
        <v>5344</v>
      </c>
      <c r="CH202" s="467">
        <v>5898</v>
      </c>
      <c r="CI202" s="3"/>
      <c r="CJ202" s="862">
        <v>2383</v>
      </c>
      <c r="CK202" s="862">
        <v>2694</v>
      </c>
      <c r="CL202" s="862">
        <v>3132</v>
      </c>
      <c r="CM202" s="862">
        <v>4011</v>
      </c>
      <c r="CN202" s="862">
        <v>4425</v>
      </c>
      <c r="CR202" s="23" t="s">
        <v>698</v>
      </c>
      <c r="CS202" s="323">
        <v>532060</v>
      </c>
      <c r="CT202" s="323">
        <v>613460</v>
      </c>
      <c r="CU202" s="323">
        <v>740000</v>
      </c>
      <c r="CV202" s="323">
        <v>947200</v>
      </c>
      <c r="CW202" s="323">
        <v>1055240</v>
      </c>
      <c r="CX202" s="14"/>
      <c r="CY202" s="23" t="s">
        <v>698</v>
      </c>
      <c r="CZ202" s="323">
        <v>532060</v>
      </c>
      <c r="DA202" s="323">
        <v>613460</v>
      </c>
      <c r="DB202" s="323">
        <v>740000</v>
      </c>
      <c r="DC202" s="323">
        <v>947200</v>
      </c>
      <c r="DD202" s="323">
        <v>1055240</v>
      </c>
    </row>
    <row r="203" spans="1:108" ht="12.95" customHeight="1">
      <c r="A203" s="2" t="s">
        <v>586</v>
      </c>
      <c r="C203" s="2" t="s">
        <v>136</v>
      </c>
      <c r="BC203" t="s">
        <v>1061</v>
      </c>
      <c r="BN203" s="23" t="s">
        <v>702</v>
      </c>
      <c r="BO203" s="14"/>
      <c r="BP203" s="32"/>
      <c r="BQ203" s="32"/>
      <c r="BR203" s="32"/>
      <c r="BS203">
        <v>7</v>
      </c>
      <c r="BT203" s="32" t="s">
        <v>195</v>
      </c>
      <c r="CB203" s="351" t="s">
        <v>192</v>
      </c>
      <c r="CC203" s="465">
        <v>3170</v>
      </c>
      <c r="CD203" s="466">
        <v>3396</v>
      </c>
      <c r="CE203" s="465">
        <v>4074</v>
      </c>
      <c r="CF203" s="466">
        <v>4708</v>
      </c>
      <c r="CG203" s="466">
        <v>5252</v>
      </c>
      <c r="CH203" s="467">
        <v>5796</v>
      </c>
      <c r="CI203" s="3"/>
      <c r="CJ203" s="862">
        <v>2849</v>
      </c>
      <c r="CK203" s="862">
        <v>3085</v>
      </c>
      <c r="CL203" s="862">
        <v>4054</v>
      </c>
      <c r="CM203" s="862">
        <v>5000</v>
      </c>
      <c r="CN203" s="862">
        <v>5504</v>
      </c>
      <c r="CR203" s="23" t="s">
        <v>699</v>
      </c>
      <c r="CS203" s="322">
        <v>404366</v>
      </c>
      <c r="CT203" s="322">
        <v>466230</v>
      </c>
      <c r="CU203" s="322">
        <v>562400</v>
      </c>
      <c r="CV203" s="322">
        <v>719872</v>
      </c>
      <c r="CW203" s="322">
        <v>801982</v>
      </c>
      <c r="CX203" s="14"/>
      <c r="CY203" s="23" t="s">
        <v>699</v>
      </c>
      <c r="CZ203" s="322">
        <v>404366</v>
      </c>
      <c r="DA203" s="322">
        <v>466230</v>
      </c>
      <c r="DB203" s="322">
        <v>562400</v>
      </c>
      <c r="DC203" s="322">
        <v>719872</v>
      </c>
      <c r="DD203" s="322">
        <v>801982</v>
      </c>
    </row>
    <row r="204" spans="1:108" ht="12.95" customHeight="1">
      <c r="D204" s="1380" t="s">
        <v>384</v>
      </c>
      <c r="E204" s="1380"/>
      <c r="F204" s="1380"/>
      <c r="G204" s="1380"/>
      <c r="H204" s="1380"/>
      <c r="I204" s="1380"/>
      <c r="J204" s="1380"/>
      <c r="K204" s="1380"/>
      <c r="L204" s="1380"/>
      <c r="M204" s="1380"/>
      <c r="P204" s="1808">
        <f>M26</f>
        <v>3707705</v>
      </c>
      <c r="Q204" s="1790"/>
      <c r="R204" s="1790"/>
      <c r="S204" s="1790"/>
      <c r="T204" s="1790"/>
      <c r="U204" s="1790"/>
      <c r="BC204" t="s">
        <v>1062</v>
      </c>
      <c r="BN204" s="23" t="s">
        <v>703</v>
      </c>
      <c r="BS204">
        <v>6</v>
      </c>
      <c r="BT204" s="32" t="s">
        <v>196</v>
      </c>
      <c r="BU204" s="14"/>
      <c r="CB204" s="351" t="s">
        <v>193</v>
      </c>
      <c r="CC204" s="465">
        <v>1560</v>
      </c>
      <c r="CD204" s="466">
        <v>1670</v>
      </c>
      <c r="CE204" s="465">
        <v>2004</v>
      </c>
      <c r="CF204" s="466">
        <v>2316</v>
      </c>
      <c r="CG204" s="466">
        <v>2584</v>
      </c>
      <c r="CH204" s="467">
        <v>2852</v>
      </c>
      <c r="CI204" s="3"/>
      <c r="CJ204" s="862">
        <v>1014</v>
      </c>
      <c r="CK204" s="862">
        <v>1132</v>
      </c>
      <c r="CL204" s="862">
        <v>1487</v>
      </c>
      <c r="CM204" s="862">
        <v>2095</v>
      </c>
      <c r="CN204" s="862">
        <v>2523</v>
      </c>
      <c r="CR204" s="23" t="s">
        <v>700</v>
      </c>
      <c r="CS204" s="324">
        <v>319236</v>
      </c>
      <c r="CT204" s="324">
        <v>368076</v>
      </c>
      <c r="CU204" s="324">
        <v>444000</v>
      </c>
      <c r="CV204" s="324">
        <v>568320</v>
      </c>
      <c r="CW204" s="324">
        <v>633144</v>
      </c>
      <c r="CX204" s="14"/>
      <c r="CY204" s="23" t="s">
        <v>700</v>
      </c>
      <c r="CZ204" s="324">
        <v>319236</v>
      </c>
      <c r="DA204" s="324">
        <v>368076</v>
      </c>
      <c r="DB204" s="324">
        <v>444000</v>
      </c>
      <c r="DC204" s="324">
        <v>568320</v>
      </c>
      <c r="DD204" s="324">
        <v>633144</v>
      </c>
    </row>
    <row r="205" spans="1:108" ht="12.95" customHeight="1">
      <c r="C205" s="21"/>
      <c r="D205" s="1820" t="s">
        <v>1246</v>
      </c>
      <c r="E205" s="1380"/>
      <c r="F205" s="1380"/>
      <c r="G205" s="1380"/>
      <c r="H205" s="1380"/>
      <c r="I205" s="1380"/>
      <c r="J205" s="1380"/>
      <c r="K205" s="1380"/>
      <c r="L205" s="1380"/>
      <c r="M205" s="1380"/>
      <c r="P205" s="1790">
        <f>M27</f>
        <v>0</v>
      </c>
      <c r="Q205" s="1790"/>
      <c r="R205" s="1790"/>
      <c r="S205" s="1790"/>
      <c r="T205" s="1790"/>
      <c r="U205" s="1790"/>
      <c r="V205" s="28"/>
      <c r="W205" s="3" t="s">
        <v>1719</v>
      </c>
      <c r="Z205" s="1818" t="s">
        <v>1183</v>
      </c>
      <c r="AA205" s="1818"/>
      <c r="AB205" s="1818"/>
      <c r="AC205" s="1818"/>
      <c r="AD205" s="1818"/>
      <c r="AE205" s="1818"/>
      <c r="AF205" s="1818"/>
      <c r="AG205" s="1818"/>
      <c r="AH205" s="1818"/>
      <c r="AI205" s="1818"/>
      <c r="AJ205" s="1818"/>
      <c r="AK205" s="1818"/>
      <c r="AL205" s="1818"/>
      <c r="AM205" s="1818"/>
      <c r="AN205" s="1818"/>
      <c r="AP205" s="1333"/>
      <c r="AQ205" s="1333"/>
      <c r="BC205" t="s">
        <v>610</v>
      </c>
      <c r="BN205" s="23" t="s">
        <v>109</v>
      </c>
      <c r="BS205">
        <v>4</v>
      </c>
      <c r="BT205" s="32" t="s">
        <v>173</v>
      </c>
      <c r="BU205" s="14"/>
      <c r="CB205" s="351" t="s">
        <v>194</v>
      </c>
      <c r="CC205" s="465">
        <v>1540</v>
      </c>
      <c r="CD205" s="466">
        <v>1650</v>
      </c>
      <c r="CE205" s="465">
        <v>1980</v>
      </c>
      <c r="CF205" s="466">
        <v>2286</v>
      </c>
      <c r="CG205" s="466">
        <v>2550</v>
      </c>
      <c r="CH205" s="467">
        <v>2812</v>
      </c>
      <c r="CI205" s="3"/>
      <c r="CJ205" s="862">
        <v>911</v>
      </c>
      <c r="CK205" s="862">
        <v>1005</v>
      </c>
      <c r="CL205" s="862">
        <v>1321</v>
      </c>
      <c r="CM205" s="862">
        <v>1862</v>
      </c>
      <c r="CN205" s="862">
        <v>2168</v>
      </c>
      <c r="CR205" s="23" t="s">
        <v>701</v>
      </c>
      <c r="CS205" s="322">
        <v>352022</v>
      </c>
      <c r="CT205" s="322">
        <v>405878</v>
      </c>
      <c r="CU205" s="322">
        <v>489600</v>
      </c>
      <c r="CV205" s="322">
        <v>626688</v>
      </c>
      <c r="CW205" s="322">
        <v>698170</v>
      </c>
      <c r="CX205" s="14"/>
      <c r="CY205" s="23" t="s">
        <v>701</v>
      </c>
      <c r="CZ205" s="322">
        <v>352022</v>
      </c>
      <c r="DA205" s="322">
        <v>405878</v>
      </c>
      <c r="DB205" s="322">
        <v>489600</v>
      </c>
      <c r="DC205" s="322">
        <v>626688</v>
      </c>
      <c r="DD205" s="322">
        <v>698170</v>
      </c>
    </row>
    <row r="206" spans="1:108" ht="12.95" customHeight="1">
      <c r="D206" s="29"/>
      <c r="E206" s="29"/>
      <c r="F206" s="29"/>
      <c r="G206" s="29"/>
      <c r="H206" s="29"/>
      <c r="I206" s="29"/>
      <c r="J206" s="29"/>
      <c r="K206" s="29"/>
      <c r="L206" s="29"/>
      <c r="M206" s="29"/>
      <c r="N206" s="29"/>
      <c r="O206" s="29"/>
      <c r="P206" s="29"/>
      <c r="BC206" t="s">
        <v>1025</v>
      </c>
      <c r="BN206" s="23" t="s">
        <v>110</v>
      </c>
      <c r="BS206">
        <v>5</v>
      </c>
      <c r="BT206" s="32" t="s">
        <v>197</v>
      </c>
      <c r="BU206" s="14"/>
      <c r="CB206" s="351" t="s">
        <v>195</v>
      </c>
      <c r="CC206" s="465">
        <v>1540</v>
      </c>
      <c r="CD206" s="466">
        <v>1650</v>
      </c>
      <c r="CE206" s="465">
        <v>1980</v>
      </c>
      <c r="CF206" s="466">
        <v>2286</v>
      </c>
      <c r="CG206" s="466">
        <v>2550</v>
      </c>
      <c r="CH206" s="467">
        <v>2812</v>
      </c>
      <c r="CI206" s="3"/>
      <c r="CJ206" s="862">
        <v>838</v>
      </c>
      <c r="CK206" s="862">
        <v>843</v>
      </c>
      <c r="CL206" s="862">
        <v>1089</v>
      </c>
      <c r="CM206" s="862">
        <v>1535</v>
      </c>
      <c r="CN206" s="862">
        <v>1620</v>
      </c>
      <c r="CR206" s="23" t="s">
        <v>702</v>
      </c>
      <c r="CS206" s="324">
        <v>352022</v>
      </c>
      <c r="CT206" s="324">
        <v>405878</v>
      </c>
      <c r="CU206" s="324">
        <v>489600</v>
      </c>
      <c r="CV206" s="324">
        <v>626688</v>
      </c>
      <c r="CW206" s="324">
        <v>698170</v>
      </c>
      <c r="CX206" s="14"/>
      <c r="CY206" s="23" t="s">
        <v>702</v>
      </c>
      <c r="CZ206" s="324">
        <v>352022</v>
      </c>
      <c r="DA206" s="324">
        <v>405878</v>
      </c>
      <c r="DB206" s="324">
        <v>489600</v>
      </c>
      <c r="DC206" s="324">
        <v>626688</v>
      </c>
      <c r="DD206" s="324">
        <v>698170</v>
      </c>
    </row>
    <row r="207" spans="1:108" ht="12.95" customHeight="1">
      <c r="A207" s="2" t="s">
        <v>589</v>
      </c>
      <c r="C207" s="2" t="s">
        <v>551</v>
      </c>
      <c r="BC207" s="438" t="s">
        <v>1063</v>
      </c>
      <c r="BN207" s="23" t="s">
        <v>45</v>
      </c>
      <c r="BS207">
        <v>6</v>
      </c>
      <c r="BT207" s="32" t="s">
        <v>198</v>
      </c>
      <c r="CB207" s="351" t="s">
        <v>196</v>
      </c>
      <c r="CC207" s="465">
        <v>2202</v>
      </c>
      <c r="CD207" s="466">
        <v>2360</v>
      </c>
      <c r="CE207" s="465">
        <v>2832</v>
      </c>
      <c r="CF207" s="466">
        <v>3270</v>
      </c>
      <c r="CG207" s="466">
        <v>3650</v>
      </c>
      <c r="CH207" s="467">
        <v>4026</v>
      </c>
      <c r="CI207" s="3"/>
      <c r="CJ207" s="862">
        <v>1652</v>
      </c>
      <c r="CK207" s="862">
        <v>1853</v>
      </c>
      <c r="CL207" s="862">
        <v>2308</v>
      </c>
      <c r="CM207" s="862">
        <v>3199</v>
      </c>
      <c r="CN207" s="862">
        <v>3643</v>
      </c>
      <c r="CR207" s="23" t="s">
        <v>703</v>
      </c>
      <c r="CS207" s="322">
        <v>384234</v>
      </c>
      <c r="CT207" s="322">
        <v>443018</v>
      </c>
      <c r="CU207" s="322">
        <v>534400</v>
      </c>
      <c r="CV207" s="322">
        <v>684032</v>
      </c>
      <c r="CW207" s="322">
        <v>762054</v>
      </c>
      <c r="CX207" s="14"/>
      <c r="CY207" s="23" t="s">
        <v>703</v>
      </c>
      <c r="CZ207" s="322">
        <v>384234</v>
      </c>
      <c r="DA207" s="322">
        <v>443018</v>
      </c>
      <c r="DB207" s="322">
        <v>534400</v>
      </c>
      <c r="DC207" s="322">
        <v>684032</v>
      </c>
      <c r="DD207" s="322">
        <v>762054</v>
      </c>
    </row>
    <row r="208" spans="1:108" ht="12.95" customHeight="1">
      <c r="C208" s="21"/>
      <c r="D208" s="1417" t="s">
        <v>2616</v>
      </c>
      <c r="E208" s="1417"/>
      <c r="F208" s="1417"/>
      <c r="G208" s="1417"/>
      <c r="H208" s="1417"/>
      <c r="I208" s="1417"/>
      <c r="J208" s="1417"/>
      <c r="K208" s="1417"/>
      <c r="L208" s="1417"/>
      <c r="M208" s="1417"/>
      <c r="BC208" s="3" t="s">
        <v>2207</v>
      </c>
      <c r="BN208" s="23" t="s">
        <v>46</v>
      </c>
      <c r="BS208">
        <v>7</v>
      </c>
      <c r="BT208" s="32" t="s">
        <v>199</v>
      </c>
      <c r="CB208" s="351" t="s">
        <v>173</v>
      </c>
      <c r="CC208" s="465">
        <v>2422</v>
      </c>
      <c r="CD208" s="466">
        <v>2594</v>
      </c>
      <c r="CE208" s="465">
        <v>3112</v>
      </c>
      <c r="CF208" s="466">
        <v>3596</v>
      </c>
      <c r="CG208" s="466">
        <v>4012</v>
      </c>
      <c r="CH208" s="467">
        <v>4426</v>
      </c>
      <c r="CI208" s="3"/>
      <c r="CJ208" s="862">
        <v>1611</v>
      </c>
      <c r="CK208" s="862">
        <v>1809</v>
      </c>
      <c r="CL208" s="862">
        <v>2377</v>
      </c>
      <c r="CM208" s="862">
        <v>3228</v>
      </c>
      <c r="CN208" s="862">
        <v>3425</v>
      </c>
      <c r="CR208" s="23" t="s">
        <v>109</v>
      </c>
      <c r="CS208" s="324">
        <v>384234</v>
      </c>
      <c r="CT208" s="324">
        <v>443018</v>
      </c>
      <c r="CU208" s="324">
        <v>534400</v>
      </c>
      <c r="CV208" s="324">
        <v>684032</v>
      </c>
      <c r="CW208" s="324">
        <v>762054</v>
      </c>
      <c r="CX208" s="14"/>
      <c r="CY208" s="23" t="s">
        <v>109</v>
      </c>
      <c r="CZ208" s="324">
        <v>384234</v>
      </c>
      <c r="DA208" s="324">
        <v>443018</v>
      </c>
      <c r="DB208" s="324">
        <v>534400</v>
      </c>
      <c r="DC208" s="324">
        <v>684032</v>
      </c>
      <c r="DD208" s="324">
        <v>762054</v>
      </c>
    </row>
    <row r="209" spans="1:108" ht="12.95" customHeight="1">
      <c r="BC209" t="s">
        <v>1064</v>
      </c>
      <c r="BN209" s="23" t="s">
        <v>47</v>
      </c>
      <c r="BS209">
        <v>7</v>
      </c>
      <c r="BT209" s="32" t="s">
        <v>200</v>
      </c>
      <c r="CB209" s="351" t="s">
        <v>197</v>
      </c>
      <c r="CC209" s="465">
        <v>1594</v>
      </c>
      <c r="CD209" s="466">
        <v>1708</v>
      </c>
      <c r="CE209" s="465">
        <v>2050</v>
      </c>
      <c r="CF209" s="466">
        <v>2368</v>
      </c>
      <c r="CG209" s="466">
        <v>2642</v>
      </c>
      <c r="CH209" s="467">
        <v>2916</v>
      </c>
      <c r="CI209" s="3"/>
      <c r="CJ209" s="862">
        <v>1143</v>
      </c>
      <c r="CK209" s="862">
        <v>1188</v>
      </c>
      <c r="CL209" s="862">
        <v>1528</v>
      </c>
      <c r="CM209" s="862">
        <v>2153</v>
      </c>
      <c r="CN209" s="862">
        <v>2536</v>
      </c>
      <c r="CR209" s="23" t="s">
        <v>110</v>
      </c>
      <c r="CS209" s="322">
        <v>307732</v>
      </c>
      <c r="CT209" s="322">
        <v>354812</v>
      </c>
      <c r="CU209" s="322">
        <v>428000</v>
      </c>
      <c r="CV209" s="322">
        <v>547840</v>
      </c>
      <c r="CW209" s="322">
        <v>610328</v>
      </c>
      <c r="CX209" s="14"/>
      <c r="CY209" s="23" t="s">
        <v>110</v>
      </c>
      <c r="CZ209" s="322">
        <v>307732</v>
      </c>
      <c r="DA209" s="322">
        <v>354812</v>
      </c>
      <c r="DB209" s="322">
        <v>428000</v>
      </c>
      <c r="DC209" s="322">
        <v>547840</v>
      </c>
      <c r="DD209" s="322">
        <v>610328</v>
      </c>
    </row>
    <row r="210" spans="1:108" ht="12.95" customHeight="1">
      <c r="A210" s="2" t="s">
        <v>590</v>
      </c>
      <c r="C210" s="2" t="s">
        <v>387</v>
      </c>
      <c r="BC210" t="s">
        <v>659</v>
      </c>
      <c r="BN210" s="23" t="s">
        <v>48</v>
      </c>
      <c r="BS210">
        <v>5</v>
      </c>
      <c r="BT210" s="32" t="s">
        <v>201</v>
      </c>
      <c r="CB210" s="351" t="s">
        <v>198</v>
      </c>
      <c r="CC210" s="465">
        <v>1540</v>
      </c>
      <c r="CD210" s="466">
        <v>1650</v>
      </c>
      <c r="CE210" s="465">
        <v>1980</v>
      </c>
      <c r="CF210" s="466">
        <v>2286</v>
      </c>
      <c r="CG210" s="466">
        <v>2550</v>
      </c>
      <c r="CH210" s="467">
        <v>2812</v>
      </c>
      <c r="CI210" s="3"/>
      <c r="CJ210" s="862">
        <v>1125</v>
      </c>
      <c r="CK210" s="862">
        <v>1132</v>
      </c>
      <c r="CL210" s="862">
        <v>1461</v>
      </c>
      <c r="CM210" s="862">
        <v>2059</v>
      </c>
      <c r="CN210" s="862">
        <v>2479</v>
      </c>
      <c r="CR210" s="23" t="s">
        <v>45</v>
      </c>
      <c r="CS210" s="324">
        <v>331890</v>
      </c>
      <c r="CT210" s="324">
        <v>382666</v>
      </c>
      <c r="CU210" s="324">
        <v>461600</v>
      </c>
      <c r="CV210" s="324">
        <v>590848</v>
      </c>
      <c r="CW210" s="324">
        <v>658242</v>
      </c>
      <c r="CX210" s="14"/>
      <c r="CY210" s="23" t="s">
        <v>45</v>
      </c>
      <c r="CZ210" s="324">
        <v>331890</v>
      </c>
      <c r="DA210" s="324">
        <v>382666</v>
      </c>
      <c r="DB210" s="324">
        <v>461600</v>
      </c>
      <c r="DC210" s="324">
        <v>590848</v>
      </c>
      <c r="DD210" s="324">
        <v>658242</v>
      </c>
    </row>
    <row r="211" spans="1:108" ht="12.95" customHeight="1">
      <c r="C211" s="21"/>
      <c r="D211" s="1417" t="s">
        <v>1856</v>
      </c>
      <c r="E211" s="1417"/>
      <c r="F211" s="1417"/>
      <c r="G211" s="1417"/>
      <c r="H211" s="1417"/>
      <c r="I211" s="1417"/>
      <c r="J211" s="1417"/>
      <c r="K211" s="1417"/>
      <c r="L211" s="1417"/>
      <c r="M211" s="1417"/>
      <c r="BN211" s="23" t="s">
        <v>129</v>
      </c>
      <c r="BS211">
        <v>7</v>
      </c>
      <c r="BT211" s="32" t="s">
        <v>130</v>
      </c>
      <c r="CB211" s="351" t="s">
        <v>199</v>
      </c>
      <c r="CC211" s="465">
        <v>1540</v>
      </c>
      <c r="CD211" s="466">
        <v>1650</v>
      </c>
      <c r="CE211" s="465">
        <v>1980</v>
      </c>
      <c r="CF211" s="466">
        <v>2286</v>
      </c>
      <c r="CG211" s="466">
        <v>2550</v>
      </c>
      <c r="CH211" s="467">
        <v>2812</v>
      </c>
      <c r="CI211" s="3"/>
      <c r="CJ211" s="862">
        <v>844</v>
      </c>
      <c r="CK211" s="862">
        <v>948</v>
      </c>
      <c r="CL211" s="862">
        <v>1245</v>
      </c>
      <c r="CM211" s="862">
        <v>1695</v>
      </c>
      <c r="CN211" s="862">
        <v>2010</v>
      </c>
      <c r="CR211" s="23" t="s">
        <v>46</v>
      </c>
      <c r="CS211" s="322">
        <v>352022</v>
      </c>
      <c r="CT211" s="322">
        <v>405878</v>
      </c>
      <c r="CU211" s="322">
        <v>489600</v>
      </c>
      <c r="CV211" s="322">
        <v>626688</v>
      </c>
      <c r="CW211" s="322">
        <v>698170</v>
      </c>
      <c r="CX211" s="14"/>
      <c r="CY211" s="23" t="s">
        <v>46</v>
      </c>
      <c r="CZ211" s="322">
        <v>352022</v>
      </c>
      <c r="DA211" s="322">
        <v>405878</v>
      </c>
      <c r="DB211" s="322">
        <v>489600</v>
      </c>
      <c r="DC211" s="322">
        <v>626688</v>
      </c>
      <c r="DD211" s="322">
        <v>698170</v>
      </c>
    </row>
    <row r="212" spans="1:108" ht="12.95" customHeight="1">
      <c r="C212" s="21"/>
      <c r="D212" s="3" t="s">
        <v>2233</v>
      </c>
      <c r="Q212" s="1330">
        <v>0</v>
      </c>
      <c r="R212" s="1330"/>
      <c r="T212" s="1814">
        <f>IFERROR(Q212/AG440,0)</f>
        <v>0</v>
      </c>
      <c r="U212" s="1815"/>
      <c r="BC212" t="s">
        <v>306</v>
      </c>
      <c r="BI212" t="s">
        <v>1183</v>
      </c>
      <c r="BN212" s="23" t="s">
        <v>49</v>
      </c>
      <c r="BS212">
        <v>4</v>
      </c>
      <c r="BT212" s="32" t="s">
        <v>202</v>
      </c>
      <c r="CB212" s="351" t="s">
        <v>200</v>
      </c>
      <c r="CC212" s="465">
        <v>1540</v>
      </c>
      <c r="CD212" s="466">
        <v>1650</v>
      </c>
      <c r="CE212" s="465">
        <v>1980</v>
      </c>
      <c r="CF212" s="466">
        <v>2286</v>
      </c>
      <c r="CG212" s="466">
        <v>2550</v>
      </c>
      <c r="CH212" s="467">
        <v>2812</v>
      </c>
      <c r="CI212" s="3"/>
      <c r="CJ212" s="862">
        <v>710</v>
      </c>
      <c r="CK212" s="862">
        <v>784</v>
      </c>
      <c r="CL212" s="862">
        <v>1030</v>
      </c>
      <c r="CM212" s="862">
        <v>1451</v>
      </c>
      <c r="CN212" s="862">
        <v>1657</v>
      </c>
      <c r="CR212" s="23" t="s">
        <v>47</v>
      </c>
      <c r="CS212" s="324">
        <v>352022</v>
      </c>
      <c r="CT212" s="324">
        <v>405878</v>
      </c>
      <c r="CU212" s="324">
        <v>489600</v>
      </c>
      <c r="CV212" s="324">
        <v>626688</v>
      </c>
      <c r="CW212" s="324">
        <v>698170</v>
      </c>
      <c r="CX212" s="14"/>
      <c r="CY212" s="23" t="s">
        <v>47</v>
      </c>
      <c r="CZ212" s="324">
        <v>352022</v>
      </c>
      <c r="DA212" s="324">
        <v>405878</v>
      </c>
      <c r="DB212" s="324">
        <v>489600</v>
      </c>
      <c r="DC212" s="324">
        <v>626688</v>
      </c>
      <c r="DD212" s="324">
        <v>698170</v>
      </c>
    </row>
    <row r="213" spans="1:108" ht="12.95" customHeight="1">
      <c r="D213" s="1147" t="s">
        <v>2476</v>
      </c>
      <c r="BC213" t="s">
        <v>526</v>
      </c>
      <c r="BI213" s="3" t="s">
        <v>2230</v>
      </c>
      <c r="BN213" s="23" t="s">
        <v>50</v>
      </c>
      <c r="BS213">
        <v>6</v>
      </c>
      <c r="BT213" s="32" t="s">
        <v>203</v>
      </c>
      <c r="CB213" s="351" t="s">
        <v>201</v>
      </c>
      <c r="CC213" s="465">
        <v>1540</v>
      </c>
      <c r="CD213" s="466">
        <v>1650</v>
      </c>
      <c r="CE213" s="465">
        <v>1980</v>
      </c>
      <c r="CF213" s="466">
        <v>2286</v>
      </c>
      <c r="CG213" s="466">
        <v>2550</v>
      </c>
      <c r="CH213" s="467">
        <v>2812</v>
      </c>
      <c r="CI213" s="3"/>
      <c r="CJ213" s="862">
        <v>977</v>
      </c>
      <c r="CK213" s="862">
        <v>989</v>
      </c>
      <c r="CL213" s="862">
        <v>1299</v>
      </c>
      <c r="CM213" s="862">
        <v>1809</v>
      </c>
      <c r="CN213" s="862">
        <v>2065</v>
      </c>
      <c r="CR213" s="23" t="s">
        <v>48</v>
      </c>
      <c r="CS213" s="322">
        <v>307732</v>
      </c>
      <c r="CT213" s="322">
        <v>354812</v>
      </c>
      <c r="CU213" s="322">
        <v>428000</v>
      </c>
      <c r="CV213" s="322">
        <v>547840</v>
      </c>
      <c r="CW213" s="322">
        <v>610328</v>
      </c>
      <c r="CX213" s="14"/>
      <c r="CY213" s="23" t="s">
        <v>48</v>
      </c>
      <c r="CZ213" s="322">
        <v>307732</v>
      </c>
      <c r="DA213" s="322">
        <v>354812</v>
      </c>
      <c r="DB213" s="322">
        <v>428000</v>
      </c>
      <c r="DC213" s="322">
        <v>547840</v>
      </c>
      <c r="DD213" s="322">
        <v>610328</v>
      </c>
    </row>
    <row r="214" spans="1:108" ht="12.95" customHeight="1">
      <c r="D214" s="1805" t="s">
        <v>591</v>
      </c>
      <c r="E214" s="1805"/>
      <c r="F214" s="1805"/>
      <c r="G214" s="1805"/>
      <c r="H214" s="1805"/>
      <c r="I214" s="1805"/>
      <c r="J214" s="1805"/>
      <c r="K214" s="1805"/>
      <c r="L214" s="1805"/>
      <c r="M214" s="1805"/>
      <c r="N214" s="1805"/>
      <c r="O214" s="1805"/>
      <c r="P214" s="1805"/>
      <c r="Q214" s="1805"/>
      <c r="R214" s="1805"/>
      <c r="S214" s="1805"/>
      <c r="T214" s="1805"/>
      <c r="U214" s="1805"/>
      <c r="V214" s="1805"/>
      <c r="W214" s="1805"/>
      <c r="X214" s="1805"/>
      <c r="Y214" s="1805"/>
      <c r="Z214" s="1805"/>
      <c r="AU214" s="21"/>
      <c r="AV214" s="21"/>
      <c r="AW214" s="21"/>
      <c r="AX214" s="21"/>
      <c r="AY214" s="21"/>
      <c r="BC214" t="s">
        <v>530</v>
      </c>
      <c r="BI214" s="3" t="s">
        <v>2221</v>
      </c>
      <c r="BN214" s="23" t="s">
        <v>325</v>
      </c>
      <c r="BS214">
        <v>6</v>
      </c>
      <c r="BT214" s="32" t="s">
        <v>204</v>
      </c>
      <c r="CB214" s="351" t="s">
        <v>130</v>
      </c>
      <c r="CC214" s="465">
        <v>1694</v>
      </c>
      <c r="CD214" s="466">
        <v>1816</v>
      </c>
      <c r="CE214" s="465">
        <v>2180</v>
      </c>
      <c r="CF214" s="466">
        <v>2520</v>
      </c>
      <c r="CG214" s="466">
        <v>2810</v>
      </c>
      <c r="CH214" s="467">
        <v>3100</v>
      </c>
      <c r="CI214" s="3"/>
      <c r="CJ214" s="862">
        <v>919</v>
      </c>
      <c r="CK214" s="862">
        <v>1032</v>
      </c>
      <c r="CL214" s="862">
        <v>1356</v>
      </c>
      <c r="CM214" s="862">
        <v>1795</v>
      </c>
      <c r="CN214" s="862">
        <v>2301</v>
      </c>
      <c r="CR214" s="23" t="s">
        <v>129</v>
      </c>
      <c r="CS214" s="324">
        <v>352022</v>
      </c>
      <c r="CT214" s="324">
        <v>405878</v>
      </c>
      <c r="CU214" s="324">
        <v>489600</v>
      </c>
      <c r="CV214" s="324">
        <v>626688</v>
      </c>
      <c r="CW214" s="324">
        <v>698170</v>
      </c>
      <c r="CX214" s="14"/>
      <c r="CY214" s="23" t="s">
        <v>129</v>
      </c>
      <c r="CZ214" s="324">
        <v>352022</v>
      </c>
      <c r="DA214" s="324">
        <v>405878</v>
      </c>
      <c r="DB214" s="324">
        <v>489600</v>
      </c>
      <c r="DC214" s="324">
        <v>626688</v>
      </c>
      <c r="DD214" s="324">
        <v>698170</v>
      </c>
    </row>
    <row r="215" spans="1:108" ht="12.95" customHeight="1">
      <c r="D215" s="3" t="s">
        <v>1652</v>
      </c>
      <c r="Z215" s="40"/>
      <c r="AB215" s="1804"/>
      <c r="AC215" s="1804"/>
      <c r="AD215" s="1804"/>
      <c r="AE215" s="1804"/>
      <c r="AF215" s="1804"/>
      <c r="AG215" s="1804"/>
      <c r="AH215" s="1804"/>
      <c r="AI215" s="1804"/>
      <c r="AJ215" s="1804"/>
      <c r="AK215" s="1804"/>
      <c r="AL215" s="1804"/>
      <c r="AM215" s="21"/>
      <c r="AN215" s="21"/>
      <c r="AO215" s="21"/>
      <c r="AP215" s="21"/>
      <c r="AQ215" s="21"/>
      <c r="AR215" s="21"/>
      <c r="AS215" s="21"/>
      <c r="AT215" s="21"/>
      <c r="AU215" s="21"/>
      <c r="AV215" s="21"/>
      <c r="AW215" s="21"/>
      <c r="AX215" s="21"/>
      <c r="AY215" s="21"/>
      <c r="BC215" t="s">
        <v>527</v>
      </c>
      <c r="BI215" s="3" t="s">
        <v>2222</v>
      </c>
      <c r="CB215" s="351" t="s">
        <v>202</v>
      </c>
      <c r="CC215" s="468">
        <v>2462</v>
      </c>
      <c r="CD215" s="469">
        <v>2638</v>
      </c>
      <c r="CE215" s="468">
        <v>3166</v>
      </c>
      <c r="CF215" s="469">
        <v>3658</v>
      </c>
      <c r="CG215" s="469">
        <v>4082</v>
      </c>
      <c r="CH215" s="470">
        <v>4502</v>
      </c>
      <c r="CI215" s="3"/>
      <c r="CJ215" s="862">
        <v>1725</v>
      </c>
      <c r="CK215" s="862">
        <v>2011</v>
      </c>
      <c r="CL215" s="862">
        <v>2414</v>
      </c>
      <c r="CM215" s="862">
        <v>3310</v>
      </c>
      <c r="CN215" s="862">
        <v>3867</v>
      </c>
      <c r="CR215" s="23" t="s">
        <v>49</v>
      </c>
      <c r="CS215" s="322">
        <v>404366</v>
      </c>
      <c r="CT215" s="322">
        <v>466230</v>
      </c>
      <c r="CU215" s="322">
        <v>562400</v>
      </c>
      <c r="CV215" s="322">
        <v>719872</v>
      </c>
      <c r="CW215" s="322">
        <v>801982</v>
      </c>
      <c r="CX215" s="14"/>
      <c r="CY215" s="23" t="s">
        <v>49</v>
      </c>
      <c r="CZ215" s="322">
        <v>404366</v>
      </c>
      <c r="DA215" s="322">
        <v>466230</v>
      </c>
      <c r="DB215" s="322">
        <v>562400</v>
      </c>
      <c r="DC215" s="322">
        <v>719872</v>
      </c>
      <c r="DD215" s="322">
        <v>801982</v>
      </c>
    </row>
    <row r="216" spans="1:108" ht="12.95" customHeight="1">
      <c r="D216" s="3" t="s">
        <v>1650</v>
      </c>
      <c r="Z216" s="40"/>
      <c r="AB216" s="1804"/>
      <c r="AC216" s="1804"/>
      <c r="AD216" s="1804"/>
      <c r="AE216" s="1804"/>
      <c r="AF216" s="1804"/>
      <c r="AG216" s="1804"/>
      <c r="AH216" s="1804"/>
      <c r="AI216" s="1804"/>
      <c r="AJ216" s="1804"/>
      <c r="AK216" s="1804"/>
      <c r="AL216" s="1804"/>
      <c r="AM216" s="21"/>
      <c r="AN216" s="21"/>
      <c r="AO216" s="21"/>
      <c r="AP216" s="21"/>
      <c r="AQ216" s="21"/>
      <c r="AR216" s="21"/>
      <c r="AS216" s="21"/>
      <c r="AT216" s="21"/>
      <c r="AU216" s="21"/>
      <c r="AV216" s="21"/>
      <c r="AW216" s="21"/>
      <c r="AX216" s="21"/>
      <c r="AY216" s="21"/>
      <c r="BC216" t="s">
        <v>566</v>
      </c>
      <c r="BI216" t="s">
        <v>2220</v>
      </c>
      <c r="CB216" s="351" t="s">
        <v>203</v>
      </c>
      <c r="CC216" s="471">
        <v>2020</v>
      </c>
      <c r="CD216" s="472">
        <v>2162</v>
      </c>
      <c r="CE216" s="471">
        <v>2594</v>
      </c>
      <c r="CF216" s="472">
        <v>2998</v>
      </c>
      <c r="CG216" s="472">
        <v>3344</v>
      </c>
      <c r="CH216" s="473">
        <v>3690</v>
      </c>
      <c r="CI216" s="3"/>
      <c r="CJ216" s="862">
        <v>1497</v>
      </c>
      <c r="CK216" s="862">
        <v>1507</v>
      </c>
      <c r="CL216" s="862">
        <v>1980</v>
      </c>
      <c r="CM216" s="862">
        <v>2717</v>
      </c>
      <c r="CN216" s="862">
        <v>3169</v>
      </c>
      <c r="CR216" s="23" t="s">
        <v>50</v>
      </c>
      <c r="CS216" s="324">
        <v>331890</v>
      </c>
      <c r="CT216" s="324">
        <v>382666</v>
      </c>
      <c r="CU216" s="324">
        <v>461600</v>
      </c>
      <c r="CV216" s="324">
        <v>590848</v>
      </c>
      <c r="CW216" s="324">
        <v>658242</v>
      </c>
      <c r="CX216" s="14"/>
      <c r="CY216" s="23" t="s">
        <v>50</v>
      </c>
      <c r="CZ216" s="324">
        <v>331890</v>
      </c>
      <c r="DA216" s="324">
        <v>382666</v>
      </c>
      <c r="DB216" s="324">
        <v>461600</v>
      </c>
      <c r="DC216" s="324">
        <v>590848</v>
      </c>
      <c r="DD216" s="324">
        <v>658242</v>
      </c>
    </row>
    <row r="217" spans="1:108" ht="12.95"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528</v>
      </c>
      <c r="BI217" t="s">
        <v>2224</v>
      </c>
      <c r="CB217" s="351" t="s">
        <v>204</v>
      </c>
      <c r="CC217" s="474">
        <v>1540</v>
      </c>
      <c r="CD217" s="475">
        <v>1650</v>
      </c>
      <c r="CE217" s="474">
        <v>1980</v>
      </c>
      <c r="CF217" s="475">
        <v>2286</v>
      </c>
      <c r="CG217" s="475">
        <v>2550</v>
      </c>
      <c r="CH217" s="476">
        <v>2812</v>
      </c>
      <c r="CI217" s="3"/>
      <c r="CJ217" s="862">
        <v>1125</v>
      </c>
      <c r="CK217" s="862">
        <v>1132</v>
      </c>
      <c r="CL217" s="862">
        <v>1461</v>
      </c>
      <c r="CM217" s="862">
        <v>2059</v>
      </c>
      <c r="CN217" s="862">
        <v>2479</v>
      </c>
      <c r="CR217" s="23" t="s">
        <v>325</v>
      </c>
      <c r="CS217" s="322">
        <v>331890</v>
      </c>
      <c r="CT217" s="322">
        <v>382666</v>
      </c>
      <c r="CU217" s="322">
        <v>461600</v>
      </c>
      <c r="CV217" s="322">
        <v>590848</v>
      </c>
      <c r="CW217" s="322">
        <v>658242</v>
      </c>
      <c r="CX217" s="14"/>
      <c r="CY217" s="23" t="s">
        <v>325</v>
      </c>
      <c r="CZ217" s="322">
        <v>331890</v>
      </c>
      <c r="DA217" s="322">
        <v>382666</v>
      </c>
      <c r="DB217" s="322">
        <v>461600</v>
      </c>
      <c r="DC217" s="322">
        <v>590848</v>
      </c>
      <c r="DD217" s="322">
        <v>658242</v>
      </c>
    </row>
    <row r="218" spans="1:108" ht="12.95" customHeight="1">
      <c r="A218" s="2" t="s">
        <v>592</v>
      </c>
      <c r="C218" s="2" t="s">
        <v>2236</v>
      </c>
      <c r="D218" s="28"/>
      <c r="AC218" s="2" t="s">
        <v>2465</v>
      </c>
      <c r="BC218" t="s">
        <v>529</v>
      </c>
    </row>
    <row r="219" spans="1:108" ht="12.95" customHeight="1">
      <c r="A219" s="2"/>
      <c r="C219" s="2"/>
      <c r="D219" s="3" t="s">
        <v>2466</v>
      </c>
      <c r="AZ219" s="3"/>
      <c r="BA219" s="3"/>
      <c r="BC219" t="s">
        <v>376</v>
      </c>
    </row>
    <row r="220" spans="1:108" ht="12.95" customHeight="1">
      <c r="A220" s="2"/>
      <c r="C220" s="2"/>
      <c r="D220" s="1417" t="s">
        <v>875</v>
      </c>
      <c r="E220" s="1417"/>
      <c r="F220" s="1417"/>
      <c r="G220" s="1417"/>
      <c r="H220" s="1417"/>
      <c r="I220" s="1417"/>
      <c r="J220" s="1417"/>
      <c r="K220" s="1417"/>
      <c r="L220" s="1417"/>
      <c r="M220" s="1417"/>
      <c r="N220" s="1417"/>
      <c r="O220" s="1417"/>
      <c r="P220" s="1417"/>
      <c r="Q220" s="1417"/>
      <c r="R220" s="1417"/>
      <c r="S220" s="1417"/>
      <c r="T220" s="1417"/>
      <c r="U220" s="1417"/>
      <c r="V220" s="1417"/>
      <c r="W220" s="1417"/>
      <c r="X220" s="1417"/>
      <c r="Y220" s="1417"/>
      <c r="Z220" s="1417"/>
      <c r="AC220" s="1819" t="s">
        <v>875</v>
      </c>
      <c r="AD220" s="1819"/>
      <c r="AE220" s="1819"/>
      <c r="AF220" s="1819"/>
      <c r="AG220" s="1819"/>
      <c r="AH220" s="1819"/>
      <c r="AI220" s="1819"/>
      <c r="AJ220" s="1819"/>
      <c r="AK220" s="1819"/>
      <c r="AL220" s="1819"/>
      <c r="AM220" s="1819"/>
      <c r="AN220" s="1819"/>
      <c r="AO220" s="1819"/>
      <c r="AP220" s="1819"/>
      <c r="AQ220" s="1819"/>
      <c r="BA220" s="3"/>
      <c r="BC220" t="s">
        <v>299</v>
      </c>
    </row>
    <row r="221" spans="1:108" ht="12.95" customHeight="1">
      <c r="A221" s="2"/>
      <c r="B221" s="14"/>
      <c r="C221" s="2"/>
      <c r="BA221" s="3"/>
    </row>
    <row r="222" spans="1:108" ht="12.95" customHeight="1">
      <c r="A222" s="1423" t="s">
        <v>540</v>
      </c>
      <c r="B222" s="1423"/>
      <c r="C222" s="1423"/>
      <c r="D222" s="1423"/>
      <c r="E222" s="1423"/>
      <c r="F222" s="1423"/>
      <c r="G222" s="1423"/>
      <c r="H222" s="1423"/>
      <c r="I222" s="1423"/>
      <c r="J222" s="1423"/>
      <c r="K222" s="1423"/>
      <c r="L222" s="1423"/>
      <c r="M222" s="1423"/>
      <c r="N222" s="1423"/>
      <c r="O222" s="1423"/>
      <c r="P222" s="1423"/>
      <c r="Q222" s="1423"/>
      <c r="R222" s="1423"/>
      <c r="S222" s="1423"/>
      <c r="T222" s="1423"/>
      <c r="U222" s="1423"/>
      <c r="V222" s="1423"/>
      <c r="W222" s="1423"/>
      <c r="X222" s="1423"/>
      <c r="Y222" s="1423"/>
      <c r="Z222" s="1423"/>
      <c r="AA222" s="1423"/>
      <c r="AB222" s="1423"/>
      <c r="AC222" s="1423"/>
      <c r="AD222" s="1423"/>
      <c r="AE222" s="1423"/>
      <c r="AF222" s="1423"/>
      <c r="AG222" s="1423"/>
      <c r="AH222" s="1423"/>
      <c r="AI222" s="1423"/>
      <c r="AJ222" s="1423"/>
      <c r="AK222" s="1423"/>
      <c r="AL222" s="1423"/>
      <c r="AM222" s="1423"/>
      <c r="AN222" s="1423"/>
      <c r="AO222" s="1423"/>
      <c r="AP222" s="1423"/>
      <c r="AQ222" s="1423"/>
      <c r="AR222" s="1423"/>
      <c r="AS222" s="1423"/>
      <c r="AT222" s="1423"/>
      <c r="AU222" s="95"/>
      <c r="AV222" s="95"/>
      <c r="AW222" s="95"/>
      <c r="AX222" s="95"/>
      <c r="AY222" s="95"/>
      <c r="AZ222" s="3"/>
      <c r="BA222" s="3"/>
      <c r="BP222" s="34"/>
    </row>
    <row r="223" spans="1:108" ht="12.95" customHeight="1">
      <c r="A223" s="1423"/>
      <c r="B223" s="1423"/>
      <c r="C223" s="1423"/>
      <c r="D223" s="1423"/>
      <c r="E223" s="1423"/>
      <c r="F223" s="1423"/>
      <c r="G223" s="1423"/>
      <c r="H223" s="1423"/>
      <c r="I223" s="1423"/>
      <c r="J223" s="1423"/>
      <c r="K223" s="1423"/>
      <c r="L223" s="1423"/>
      <c r="M223" s="1423"/>
      <c r="N223" s="1423"/>
      <c r="O223" s="1423"/>
      <c r="P223" s="1423"/>
      <c r="Q223" s="1423"/>
      <c r="R223" s="1423"/>
      <c r="S223" s="1423"/>
      <c r="T223" s="1423"/>
      <c r="U223" s="1423"/>
      <c r="V223" s="1423"/>
      <c r="W223" s="1423"/>
      <c r="X223" s="1423"/>
      <c r="Y223" s="1423"/>
      <c r="Z223" s="1423"/>
      <c r="AA223" s="1423"/>
      <c r="AB223" s="1423"/>
      <c r="AC223" s="1423"/>
      <c r="AD223" s="1423"/>
      <c r="AE223" s="1423"/>
      <c r="AF223" s="1423"/>
      <c r="AG223" s="1423"/>
      <c r="AH223" s="1423"/>
      <c r="AI223" s="1423"/>
      <c r="AJ223" s="1423"/>
      <c r="AK223" s="1423"/>
      <c r="AL223" s="1423"/>
      <c r="AM223" s="1423"/>
      <c r="AN223" s="1423"/>
      <c r="AO223" s="1423"/>
      <c r="AP223" s="1423"/>
      <c r="AQ223" s="1423"/>
      <c r="AR223" s="1423"/>
      <c r="AS223" s="1423"/>
      <c r="AT223" s="1423"/>
      <c r="BA223" s="3"/>
      <c r="BB223" s="3"/>
      <c r="BQ223" s="34"/>
    </row>
    <row r="224" spans="1:108" ht="12.95" customHeight="1">
      <c r="AZ224" s="4"/>
      <c r="BA224" s="3"/>
      <c r="BB224" s="3"/>
      <c r="BQ224" s="34"/>
    </row>
    <row r="225" spans="1:59" ht="12.95" customHeight="1">
      <c r="A225" s="2" t="s">
        <v>318</v>
      </c>
      <c r="B225" s="2"/>
      <c r="C225" s="2" t="s">
        <v>2083</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row>
    <row r="226" spans="1:59" ht="12.95" customHeight="1">
      <c r="B226" s="4"/>
      <c r="D226" s="4" t="s">
        <v>607</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330" t="s">
        <v>591</v>
      </c>
      <c r="AJ226" s="1330"/>
      <c r="AL226" s="3"/>
      <c r="AM226" s="3"/>
      <c r="AN226" s="3"/>
      <c r="AO226" s="3"/>
      <c r="AP226" s="3"/>
      <c r="AQ226" s="3"/>
      <c r="AR226" s="3"/>
      <c r="AS226" s="3"/>
      <c r="AT226" s="3"/>
      <c r="AU226" s="3"/>
      <c r="AV226" s="3"/>
      <c r="AW226" s="3"/>
      <c r="AX226" s="3"/>
      <c r="AY226" s="3"/>
      <c r="AZ226" s="4"/>
      <c r="BB226" s="205" t="s">
        <v>538</v>
      </c>
      <c r="BG226" s="242">
        <f>IF(AND(AND($M$249="for profit",$M$257="for profit",$M$265="nonprofit")),2,0)</f>
        <v>0</v>
      </c>
    </row>
    <row r="227" spans="1:59" ht="12.95" customHeight="1">
      <c r="B227" s="4"/>
      <c r="D227" s="4" t="s">
        <v>554</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330" t="s">
        <v>591</v>
      </c>
      <c r="AJ227" s="1330"/>
      <c r="AL227" s="3"/>
      <c r="AM227" s="3"/>
      <c r="AN227" s="3"/>
      <c r="AO227" s="3"/>
      <c r="AP227" s="3"/>
      <c r="AQ227" s="3"/>
      <c r="AR227" s="3"/>
      <c r="AS227" s="3"/>
      <c r="AT227" s="3"/>
      <c r="AU227" s="3"/>
      <c r="AV227" s="3"/>
      <c r="AW227" s="3"/>
      <c r="AX227" s="3"/>
      <c r="AY227" s="3"/>
      <c r="BA227" s="3"/>
      <c r="BB227" s="205" t="s">
        <v>538</v>
      </c>
      <c r="BG227" s="242">
        <f>IF(AND(AND($M$249="for profit",$M$257="nonprofit",$M$265="for profit")),2,0)</f>
        <v>0</v>
      </c>
    </row>
    <row r="228" spans="1:59" ht="12.95" customHeight="1">
      <c r="B228" s="4"/>
      <c r="D228" s="4" t="s">
        <v>166</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330" t="s">
        <v>545</v>
      </c>
      <c r="AJ228" s="1330"/>
      <c r="AL228" s="3"/>
      <c r="AM228" s="3"/>
      <c r="AN228" s="3"/>
      <c r="AO228" s="3"/>
      <c r="AP228" s="3"/>
      <c r="AQ228" s="3"/>
      <c r="AR228" s="3"/>
      <c r="AS228" s="3"/>
      <c r="AT228" s="3"/>
      <c r="AU228" s="3"/>
      <c r="AV228" s="3"/>
      <c r="AW228" s="3"/>
      <c r="AX228" s="3"/>
      <c r="AY228" s="3"/>
      <c r="AZ228" s="4"/>
      <c r="BA228" s="3"/>
      <c r="BB228" s="205" t="s">
        <v>538</v>
      </c>
      <c r="BG228" s="242">
        <f>IF(AND(AND($M$249="nonprofit",$M$257="for profit",$M$265="for profit")),2,0)</f>
        <v>0</v>
      </c>
    </row>
    <row r="229" spans="1:59" ht="12.95" customHeight="1">
      <c r="B229" s="4"/>
      <c r="D229" s="4" t="s">
        <v>293</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330" t="s">
        <v>591</v>
      </c>
      <c r="AJ229" s="1330"/>
      <c r="AL229" s="3"/>
      <c r="AM229" s="3"/>
      <c r="AN229" s="3"/>
      <c r="AO229" s="3"/>
      <c r="AP229" s="3"/>
      <c r="AQ229" s="3"/>
      <c r="AR229" s="3"/>
      <c r="AS229" s="3"/>
      <c r="AT229" s="3"/>
      <c r="AU229" s="3"/>
      <c r="AV229" s="3"/>
      <c r="AW229" s="3"/>
      <c r="AX229" s="3"/>
      <c r="AY229" s="3"/>
      <c r="BA229" s="3"/>
      <c r="BB229" s="205" t="s">
        <v>538</v>
      </c>
      <c r="BG229" s="242">
        <f>IF(AND(AND($M$249="for profit",$M$257="nonprofit",$M$265="(select one)")),2,0)</f>
        <v>2</v>
      </c>
    </row>
    <row r="230" spans="1:59" ht="12.95"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05" t="s">
        <v>538</v>
      </c>
      <c r="BG230" s="241">
        <f>IF(AND(AND($M$249="nonprofit",$M$257="for profit",$M$265="(select one)")),2,0)</f>
        <v>0</v>
      </c>
    </row>
    <row r="231" spans="1:59" ht="12.95" customHeight="1">
      <c r="A231" s="2" t="s">
        <v>576</v>
      </c>
      <c r="B231" s="4"/>
      <c r="C231" s="2" t="s">
        <v>2084</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05"/>
      <c r="BG231" s="205"/>
    </row>
    <row r="232" spans="1:59" ht="12.95" customHeight="1">
      <c r="D232" s="4" t="s">
        <v>470</v>
      </c>
      <c r="E232" s="4"/>
      <c r="F232" s="4"/>
      <c r="G232" s="4"/>
      <c r="H232" s="4"/>
      <c r="I232" s="4"/>
      <c r="J232" s="4"/>
      <c r="K232" s="4"/>
      <c r="M232" s="1795" t="str">
        <f>H16</f>
        <v>MRK Partners, Inc.</v>
      </c>
      <c r="N232" s="1795"/>
      <c r="O232" s="1795"/>
      <c r="P232" s="1795"/>
      <c r="Q232" s="1795"/>
      <c r="R232" s="1795"/>
      <c r="S232" s="1795"/>
      <c r="T232" s="1795"/>
      <c r="U232" s="1795"/>
      <c r="V232" s="1795"/>
      <c r="W232" s="1795"/>
      <c r="X232" s="1795"/>
      <c r="Y232" s="1795"/>
      <c r="Z232" s="1795"/>
      <c r="AA232" s="1795"/>
      <c r="AB232" s="1795"/>
      <c r="AC232" s="1795"/>
      <c r="AD232" s="1795"/>
      <c r="AE232" s="1795"/>
      <c r="AF232" s="1795"/>
      <c r="AG232" s="1795"/>
      <c r="AH232" s="1795"/>
      <c r="AI232" s="1795"/>
      <c r="AJ232" s="1795"/>
      <c r="AK232" s="1795"/>
      <c r="AZ232" s="4"/>
      <c r="BA232" s="3"/>
      <c r="BB232" s="206" t="s">
        <v>538</v>
      </c>
      <c r="BG232" s="242">
        <f>IF(AND(AND($M$249="nonprofit",$M$257="nonprofit",$M$265="for profit")),2,0)</f>
        <v>0</v>
      </c>
    </row>
    <row r="233" spans="1:59" ht="12.95" customHeight="1">
      <c r="D233" s="4" t="s">
        <v>85</v>
      </c>
      <c r="E233" s="4"/>
      <c r="F233" s="4"/>
      <c r="G233" s="4"/>
      <c r="H233" s="4"/>
      <c r="I233" s="4"/>
      <c r="J233" s="4"/>
      <c r="K233" s="4"/>
      <c r="M233" s="1417" t="s">
        <v>2628</v>
      </c>
      <c r="N233" s="1417"/>
      <c r="O233" s="1417"/>
      <c r="P233" s="1417"/>
      <c r="Q233" s="1417"/>
      <c r="R233" s="1417"/>
      <c r="S233" s="1417"/>
      <c r="T233" s="1417"/>
      <c r="U233" s="1417"/>
      <c r="V233" s="1417"/>
      <c r="W233" s="1417"/>
      <c r="X233" s="1417"/>
      <c r="Y233" s="1417"/>
      <c r="Z233" s="1417"/>
      <c r="AA233" s="1417"/>
      <c r="AB233" s="1417"/>
      <c r="AC233" s="1417"/>
      <c r="AD233" s="1417"/>
      <c r="AE233" s="1417"/>
      <c r="BB233" s="206" t="s">
        <v>538</v>
      </c>
      <c r="BG233" s="242">
        <f>IF(AND(AND($M$249="nonprofit",$M$257="for profit",$M$265="nonprofit")),2,0)</f>
        <v>0</v>
      </c>
    </row>
    <row r="234" spans="1:59" ht="12.95" customHeight="1">
      <c r="D234" s="4" t="s">
        <v>580</v>
      </c>
      <c r="E234" s="4"/>
      <c r="M234" s="1417" t="s">
        <v>2633</v>
      </c>
      <c r="N234" s="1417"/>
      <c r="O234" s="1417"/>
      <c r="P234" s="1417"/>
      <c r="Q234" s="1417"/>
      <c r="R234" s="1417"/>
      <c r="S234" s="1417"/>
      <c r="T234" s="1417"/>
      <c r="V234" s="33" t="s">
        <v>86</v>
      </c>
      <c r="W234" s="1439" t="s">
        <v>2624</v>
      </c>
      <c r="X234" s="1439"/>
      <c r="Y234" s="4" t="s">
        <v>583</v>
      </c>
      <c r="AC234" s="1417">
        <v>90266</v>
      </c>
      <c r="AD234" s="1417"/>
      <c r="AE234" s="1417"/>
      <c r="AU234" s="4"/>
      <c r="AV234" s="4"/>
      <c r="AW234" s="4"/>
      <c r="AX234" s="4"/>
      <c r="AY234" s="4"/>
      <c r="AZ234" s="4"/>
      <c r="BB234" s="206" t="s">
        <v>538</v>
      </c>
      <c r="BG234" s="241">
        <f>IF(AND(AND($M$249="for profit",$M$257="nonprofit",$M$265="nonprofit")),2,0)</f>
        <v>0</v>
      </c>
    </row>
    <row r="235" spans="1:59" ht="12.95" customHeight="1">
      <c r="D235" s="4" t="s">
        <v>87</v>
      </c>
      <c r="E235" s="4"/>
      <c r="F235" s="4"/>
      <c r="G235" s="4"/>
      <c r="H235" s="4"/>
      <c r="I235" s="4"/>
      <c r="J235" s="4"/>
      <c r="K235" s="19"/>
      <c r="M235" s="1417" t="s">
        <v>2630</v>
      </c>
      <c r="N235" s="1417"/>
      <c r="O235" s="1417"/>
      <c r="P235" s="1417"/>
      <c r="Q235" s="1417"/>
      <c r="R235" s="1417"/>
      <c r="S235" s="1417"/>
      <c r="T235" s="1417"/>
      <c r="U235" s="1417"/>
      <c r="V235" s="1417"/>
      <c r="W235" s="1417"/>
      <c r="X235" s="1417"/>
      <c r="Y235" s="1417"/>
      <c r="Z235" s="1417"/>
      <c r="AA235" s="1417"/>
      <c r="AB235" s="1417"/>
      <c r="AC235" s="1417"/>
      <c r="AD235" s="1417"/>
      <c r="AE235" s="1417"/>
      <c r="AI235" s="4"/>
      <c r="AJ235" s="4"/>
      <c r="AK235" s="4"/>
      <c r="AL235" s="4"/>
      <c r="AM235" s="4"/>
      <c r="AN235" s="4"/>
      <c r="AO235" s="4"/>
      <c r="AP235" s="4"/>
      <c r="AQ235" s="4"/>
      <c r="AR235" s="4"/>
      <c r="AS235" s="4"/>
      <c r="AT235" s="4"/>
      <c r="BB235" s="206"/>
      <c r="BG235" s="205"/>
    </row>
    <row r="236" spans="1:59" ht="12.95" customHeight="1">
      <c r="D236" s="4" t="s">
        <v>88</v>
      </c>
      <c r="E236" s="4"/>
      <c r="F236" s="4"/>
      <c r="M236" s="1459" t="s">
        <v>2631</v>
      </c>
      <c r="N236" s="1459"/>
      <c r="O236" s="1459"/>
      <c r="P236" s="1459"/>
      <c r="Q236" s="1459"/>
      <c r="R236" s="1459"/>
      <c r="S236" s="4" t="s">
        <v>205</v>
      </c>
      <c r="T236" s="4"/>
      <c r="U236" s="1439"/>
      <c r="V236" s="1439"/>
      <c r="W236" s="1439"/>
      <c r="X236" s="4" t="s">
        <v>89</v>
      </c>
      <c r="Z236" s="1459"/>
      <c r="AA236" s="1459"/>
      <c r="AB236" s="1459"/>
      <c r="AC236" s="1459"/>
      <c r="AD236" s="1459"/>
      <c r="AE236" s="1459"/>
      <c r="AU236" s="4"/>
      <c r="AV236" s="4"/>
      <c r="AW236" s="4"/>
      <c r="AX236" s="4"/>
      <c r="AY236" s="4"/>
      <c r="AZ236" s="4"/>
      <c r="BB236" s="205" t="s">
        <v>537</v>
      </c>
      <c r="BG236" s="242">
        <f>IF(AND(AND($M$249="nonprofit",$M$257="nonprofit",$M$265="(select one)")),1,0)</f>
        <v>0</v>
      </c>
    </row>
    <row r="237" spans="1:59" ht="12.95" customHeight="1">
      <c r="D237" s="4" t="s">
        <v>90</v>
      </c>
      <c r="E237" s="4"/>
      <c r="F237" s="4"/>
      <c r="M237" s="1788" t="s">
        <v>2632</v>
      </c>
      <c r="N237" s="1788"/>
      <c r="O237" s="1788"/>
      <c r="P237" s="1788"/>
      <c r="Q237" s="1788"/>
      <c r="R237" s="1788"/>
      <c r="S237" s="1788"/>
      <c r="T237" s="1788"/>
      <c r="U237" s="1788"/>
      <c r="V237" s="1788"/>
      <c r="W237" s="1788"/>
      <c r="X237" s="1788"/>
      <c r="Y237" s="1788"/>
      <c r="Z237" s="1788"/>
      <c r="AA237" s="1788"/>
      <c r="AB237" s="1788"/>
      <c r="AC237" s="1788"/>
      <c r="AD237" s="1788"/>
      <c r="AE237" s="1788"/>
      <c r="AF237" s="4"/>
      <c r="AG237" s="4"/>
      <c r="AH237" s="4"/>
      <c r="AI237" s="4"/>
      <c r="AJ237" s="4"/>
      <c r="AK237" s="4"/>
      <c r="AL237" s="4"/>
      <c r="AM237" s="4"/>
      <c r="AN237" s="4"/>
      <c r="AO237" s="4"/>
      <c r="AP237" s="4"/>
      <c r="AQ237" s="4"/>
      <c r="AR237" s="4"/>
      <c r="AS237" s="4"/>
      <c r="AT237" s="4"/>
      <c r="AU237" s="3"/>
      <c r="AV237" s="3"/>
      <c r="AW237" s="3"/>
      <c r="AX237" s="3"/>
      <c r="AY237" s="3"/>
      <c r="BB237" s="205" t="s">
        <v>537</v>
      </c>
      <c r="BG237" s="242">
        <f>IF(AND(AND($M$249="nonprofit",$M$257="nonprofit",$M$265="nonprofit")),1,0)</f>
        <v>0</v>
      </c>
    </row>
    <row r="238" spans="1:59" ht="12.95" customHeight="1">
      <c r="A238" s="2" t="s">
        <v>586</v>
      </c>
      <c r="C238" s="2" t="s">
        <v>525</v>
      </c>
      <c r="M238" s="1458" t="s">
        <v>526</v>
      </c>
      <c r="N238" s="1458"/>
      <c r="O238" s="1458"/>
      <c r="P238" s="1458"/>
      <c r="Q238" s="1458"/>
      <c r="R238" s="1458"/>
      <c r="S238" s="1458"/>
      <c r="T238" s="1458"/>
      <c r="U238" s="205" t="s">
        <v>906</v>
      </c>
      <c r="V238" s="205"/>
      <c r="W238" s="205"/>
      <c r="X238" s="205"/>
      <c r="Y238" s="205"/>
      <c r="Z238" s="205"/>
      <c r="AA238" s="1792" t="s">
        <v>591</v>
      </c>
      <c r="AB238" s="1784"/>
      <c r="AC238" s="1784"/>
      <c r="AD238" s="1784"/>
      <c r="AE238" s="1784"/>
      <c r="AF238" s="1784"/>
      <c r="AG238" s="1784"/>
      <c r="AH238" s="1784"/>
      <c r="AI238" s="1784"/>
      <c r="AJ238" s="1784"/>
      <c r="AK238" s="1784"/>
      <c r="AL238" s="3"/>
      <c r="AM238" s="3"/>
      <c r="AN238" s="3"/>
      <c r="AO238" s="3"/>
      <c r="AP238" s="3"/>
      <c r="AQ238" s="3"/>
      <c r="AR238" s="3"/>
      <c r="AS238" s="3"/>
      <c r="AT238" s="3"/>
      <c r="AU238" s="3"/>
      <c r="AV238" s="3"/>
      <c r="AW238" s="3"/>
      <c r="AX238" s="3"/>
      <c r="AY238" s="3"/>
      <c r="BB238" s="205" t="s">
        <v>537</v>
      </c>
      <c r="BG238" s="242">
        <f>IF(AND(AND($M$249="nonprofit",$M$257="(select one)",$M$265="(select one)")),1,0)</f>
        <v>0</v>
      </c>
    </row>
    <row r="239" spans="1:59" ht="12.95" customHeight="1">
      <c r="D239" t="s">
        <v>531</v>
      </c>
      <c r="M239" s="1425"/>
      <c r="N239" s="1425"/>
      <c r="O239" s="1425"/>
      <c r="P239" s="1425"/>
      <c r="Q239" s="1425"/>
      <c r="R239" s="1425"/>
      <c r="S239" s="1425"/>
      <c r="T239" s="1425"/>
      <c r="U239" s="1425"/>
      <c r="V239" s="1425"/>
      <c r="W239" s="1425"/>
      <c r="X239" s="1425"/>
      <c r="Y239" s="1425"/>
      <c r="Z239" s="1425"/>
      <c r="AA239" s="1425"/>
      <c r="AB239" s="1425"/>
      <c r="AC239" s="1425"/>
      <c r="AD239" s="1425"/>
      <c r="AE239" s="1425"/>
      <c r="AF239" s="4"/>
      <c r="AG239" s="4"/>
      <c r="AH239" s="4"/>
      <c r="AI239" s="4"/>
      <c r="AJ239" s="4"/>
      <c r="AK239" s="3"/>
      <c r="AL239" s="3"/>
      <c r="AM239" s="3"/>
      <c r="AN239" s="3"/>
      <c r="AO239" s="3"/>
      <c r="AP239" s="3"/>
      <c r="AQ239" s="3"/>
      <c r="AR239" s="3"/>
      <c r="AS239" s="3"/>
      <c r="AT239" s="3"/>
      <c r="BB239" s="205" t="s">
        <v>877</v>
      </c>
      <c r="BG239" s="242">
        <f>IF(AND(AND($M$249="for profit",$M$257="for profit",$M$265="(select one)")),3,0)</f>
        <v>0</v>
      </c>
    </row>
    <row r="240" spans="1:59" ht="12.95" customHeight="1">
      <c r="D240" s="4"/>
      <c r="BB240" s="205" t="s">
        <v>877</v>
      </c>
      <c r="BG240" s="242">
        <f>IF(AND(AND($M$249="for profit",$M$257="for profit",$M$265="for profit")),3,0)</f>
        <v>0</v>
      </c>
    </row>
    <row r="241" spans="1:67" ht="12.95" customHeight="1">
      <c r="A241" s="2" t="s">
        <v>589</v>
      </c>
      <c r="C241" s="2" t="s">
        <v>1182</v>
      </c>
      <c r="D241" s="4"/>
      <c r="L241" s="8"/>
      <c r="M241" s="8"/>
      <c r="N241" s="8"/>
      <c r="AU241" s="3"/>
      <c r="AV241" s="3"/>
      <c r="AW241" s="3"/>
      <c r="AX241" s="3"/>
      <c r="AY241" s="3"/>
      <c r="BB241" s="205" t="s">
        <v>877</v>
      </c>
      <c r="BG241" s="242">
        <f>IF(AND(AND($M$249="for profit",$M$257="(select one)",$M$265="(select one)")),3,0)</f>
        <v>0</v>
      </c>
    </row>
    <row r="242" spans="1:67" ht="12.95"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row>
    <row r="243" spans="1:67" ht="12.95" customHeight="1">
      <c r="A243" s="19"/>
      <c r="B243" s="4"/>
      <c r="C243" s="56" t="s">
        <v>473</v>
      </c>
      <c r="D243" s="4" t="s">
        <v>532</v>
      </c>
      <c r="E243" s="4"/>
      <c r="F243" s="4"/>
      <c r="G243" s="4"/>
      <c r="H243" s="4"/>
      <c r="I243" s="4"/>
      <c r="J243" s="4"/>
      <c r="K243" s="4"/>
      <c r="L243" s="4"/>
      <c r="M243" s="1419" t="s">
        <v>2621</v>
      </c>
      <c r="N243" s="1420"/>
      <c r="O243" s="1420"/>
      <c r="P243" s="1420"/>
      <c r="Q243" s="1420"/>
      <c r="R243" s="1420"/>
      <c r="S243" s="1420"/>
      <c r="T243" s="1420"/>
      <c r="U243" s="1420"/>
      <c r="V243" s="1420"/>
      <c r="W243" s="1420"/>
      <c r="X243" s="1420"/>
      <c r="Y243" s="1420"/>
      <c r="Z243" s="1420"/>
      <c r="AA243" s="1420"/>
      <c r="AB243" s="1420"/>
      <c r="AC243" s="1420"/>
      <c r="AD243" s="1420"/>
      <c r="AE243" s="1420"/>
      <c r="AF243" s="1420" t="s">
        <v>2619</v>
      </c>
      <c r="AG243" s="1420"/>
      <c r="AH243" s="1420"/>
      <c r="AI243" s="1420"/>
      <c r="AJ243" s="1420"/>
      <c r="AK243" s="1420"/>
      <c r="AU243" s="4"/>
      <c r="AV243" s="4"/>
      <c r="AW243" s="4"/>
      <c r="AX243" s="4"/>
      <c r="AY243" s="4"/>
      <c r="BG243">
        <f>SUM(BG226:BG241)</f>
        <v>2</v>
      </c>
    </row>
    <row r="244" spans="1:67" ht="12.95" customHeight="1">
      <c r="A244" s="19"/>
      <c r="B244" s="4"/>
      <c r="C244" s="4"/>
      <c r="D244" s="4" t="s">
        <v>85</v>
      </c>
      <c r="E244" s="4"/>
      <c r="F244" s="4"/>
      <c r="G244" s="4"/>
      <c r="H244" s="4"/>
      <c r="I244" s="4"/>
      <c r="J244" s="4"/>
      <c r="K244" s="4"/>
      <c r="L244" s="4"/>
      <c r="M244" s="1417" t="s">
        <v>2628</v>
      </c>
      <c r="N244" s="1417"/>
      <c r="O244" s="1417"/>
      <c r="P244" s="1417"/>
      <c r="Q244" s="1417"/>
      <c r="R244" s="1417"/>
      <c r="S244" s="1417"/>
      <c r="T244" s="1417"/>
      <c r="U244" s="1417"/>
      <c r="V244" s="1417"/>
      <c r="W244" s="1417"/>
      <c r="X244" s="1417"/>
      <c r="Y244" s="1417"/>
      <c r="Z244" s="1417"/>
      <c r="AA244" s="1417"/>
      <c r="AB244" s="1417"/>
      <c r="AC244" s="1417"/>
      <c r="AD244" s="1417"/>
      <c r="AE244" s="1417"/>
      <c r="AF244" s="3" t="s">
        <v>1178</v>
      </c>
      <c r="AL244" s="4"/>
      <c r="AM244" s="4"/>
      <c r="AN244" s="4"/>
      <c r="AO244" s="4"/>
      <c r="AP244" s="4"/>
      <c r="AQ244" s="4"/>
      <c r="AR244" s="4"/>
      <c r="AS244" s="4"/>
      <c r="AT244" s="4"/>
      <c r="BB244" t="s">
        <v>306</v>
      </c>
      <c r="BG244">
        <v>1</v>
      </c>
      <c r="BH244" t="s">
        <v>534</v>
      </c>
    </row>
    <row r="245" spans="1:67" ht="12.95" customHeight="1">
      <c r="A245" s="19"/>
      <c r="B245" s="4"/>
      <c r="C245" s="4"/>
      <c r="D245" s="4" t="s">
        <v>580</v>
      </c>
      <c r="E245" s="4"/>
      <c r="M245" s="1417" t="s">
        <v>2629</v>
      </c>
      <c r="N245" s="1417"/>
      <c r="O245" s="1417"/>
      <c r="P245" s="1417"/>
      <c r="Q245" s="1417"/>
      <c r="R245" s="1417"/>
      <c r="S245" s="1417"/>
      <c r="T245" s="1417"/>
      <c r="V245" s="33" t="s">
        <v>86</v>
      </c>
      <c r="W245" s="1439" t="s">
        <v>2624</v>
      </c>
      <c r="X245" s="1439"/>
      <c r="Y245" s="4" t="s">
        <v>583</v>
      </c>
      <c r="AC245" s="1417">
        <v>90266</v>
      </c>
      <c r="AD245" s="1417"/>
      <c r="AE245" s="1417"/>
      <c r="AF245" s="3" t="s">
        <v>1179</v>
      </c>
      <c r="AU245" s="4"/>
      <c r="AV245" s="4"/>
      <c r="AW245" s="4"/>
      <c r="AX245" s="4"/>
      <c r="AY245" s="4"/>
      <c r="BB245" s="4" t="s">
        <v>279</v>
      </c>
      <c r="BG245">
        <v>2</v>
      </c>
      <c r="BH245" t="s">
        <v>566</v>
      </c>
      <c r="BO245" s="240" t="str">
        <f>VLOOKUP(BG243,BG244:BH247,2,FALSE)</f>
        <v>Joint Venture</v>
      </c>
    </row>
    <row r="246" spans="1:67" ht="12.95" customHeight="1">
      <c r="A246" s="19"/>
      <c r="B246" s="4"/>
      <c r="C246" s="4"/>
      <c r="D246" s="4" t="s">
        <v>87</v>
      </c>
      <c r="E246" s="4"/>
      <c r="F246" s="4"/>
      <c r="G246" s="4"/>
      <c r="H246" s="4"/>
      <c r="I246" s="4"/>
      <c r="J246" s="4"/>
      <c r="K246" s="4"/>
      <c r="L246" s="19"/>
      <c r="M246" s="1417" t="s">
        <v>2630</v>
      </c>
      <c r="N246" s="1417"/>
      <c r="O246" s="1417"/>
      <c r="P246" s="1417"/>
      <c r="Q246" s="1417"/>
      <c r="R246" s="1417"/>
      <c r="S246" s="1417"/>
      <c r="T246" s="1417"/>
      <c r="U246" s="1417"/>
      <c r="V246" s="1417"/>
      <c r="W246" s="1417"/>
      <c r="X246" s="1417"/>
      <c r="Y246" s="1417"/>
      <c r="Z246" s="1417"/>
      <c r="AA246" s="1417"/>
      <c r="AB246" s="1417"/>
      <c r="AC246" s="1417"/>
      <c r="AD246" s="1417"/>
      <c r="AE246" s="1417"/>
      <c r="AH246" s="1786">
        <v>5.0000000000000001E-3</v>
      </c>
      <c r="AI246" s="1786"/>
      <c r="AJ246" s="1786"/>
      <c r="AK246" s="1786"/>
      <c r="AL246" s="4"/>
      <c r="AM246" s="4"/>
      <c r="AN246" s="4"/>
      <c r="AO246" s="4"/>
      <c r="AP246" s="4"/>
      <c r="AQ246" s="4"/>
      <c r="AR246" s="4"/>
      <c r="AS246" s="4"/>
      <c r="AT246" s="4"/>
      <c r="BB246" s="4" t="s">
        <v>172</v>
      </c>
      <c r="BG246">
        <v>3</v>
      </c>
      <c r="BH246" t="s">
        <v>536</v>
      </c>
      <c r="BN246" s="34"/>
    </row>
    <row r="247" spans="1:67" ht="12.95" customHeight="1">
      <c r="A247" s="19"/>
      <c r="B247" s="4"/>
      <c r="C247" s="4"/>
      <c r="D247" s="4" t="s">
        <v>88</v>
      </c>
      <c r="E247" s="4"/>
      <c r="F247" s="4"/>
      <c r="M247" s="1459" t="s">
        <v>2631</v>
      </c>
      <c r="N247" s="1459"/>
      <c r="O247" s="1459"/>
      <c r="P247" s="1459"/>
      <c r="Q247" s="1459"/>
      <c r="R247" s="1459"/>
      <c r="S247" s="4" t="s">
        <v>205</v>
      </c>
      <c r="T247" s="4"/>
      <c r="U247" s="1439"/>
      <c r="V247" s="1439"/>
      <c r="W247" s="1439"/>
      <c r="X247" s="4" t="s">
        <v>89</v>
      </c>
      <c r="Z247" s="1459"/>
      <c r="AA247" s="1459"/>
      <c r="AB247" s="1459"/>
      <c r="AC247" s="1459"/>
      <c r="AD247" s="1459"/>
      <c r="AE247" s="1459"/>
      <c r="AU247" s="4"/>
      <c r="AV247" s="4"/>
      <c r="AW247" s="4"/>
      <c r="AX247" s="4"/>
      <c r="AY247" s="4"/>
      <c r="BG247">
        <v>0</v>
      </c>
      <c r="BH247" s="3" t="str">
        <f>""</f>
        <v/>
      </c>
      <c r="BN247" s="34"/>
    </row>
    <row r="248" spans="1:67" ht="12.95" customHeight="1">
      <c r="A248" s="19"/>
      <c r="B248" s="4"/>
      <c r="C248" s="4"/>
      <c r="D248" s="4" t="s">
        <v>90</v>
      </c>
      <c r="E248" s="4"/>
      <c r="F248" s="4"/>
      <c r="M248" s="1788" t="s">
        <v>2632</v>
      </c>
      <c r="N248" s="1788"/>
      <c r="O248" s="1788"/>
      <c r="P248" s="1788"/>
      <c r="Q248" s="1788"/>
      <c r="R248" s="1788"/>
      <c r="S248" s="1788"/>
      <c r="T248" s="1788"/>
      <c r="U248" s="1788"/>
      <c r="V248" s="1788"/>
      <c r="W248" s="1788"/>
      <c r="X248" s="1788"/>
      <c r="Y248" s="1788"/>
      <c r="Z248" s="1788"/>
      <c r="AA248" s="1788"/>
      <c r="AB248" s="1788"/>
      <c r="AC248" s="1788"/>
      <c r="AD248" s="1788"/>
      <c r="AE248" s="1788"/>
      <c r="AG248" s="4"/>
      <c r="AH248" s="4"/>
      <c r="AI248" s="4"/>
      <c r="AJ248" s="4"/>
      <c r="AK248" s="4"/>
      <c r="AL248" s="4"/>
      <c r="AM248" s="4"/>
      <c r="AN248" s="4"/>
      <c r="AO248" s="4"/>
      <c r="AP248" s="4"/>
      <c r="AQ248" s="4"/>
      <c r="AR248" s="4"/>
      <c r="AS248" s="4"/>
      <c r="AT248" s="4"/>
      <c r="BN248" s="34"/>
    </row>
    <row r="249" spans="1:67" ht="12.95" customHeight="1">
      <c r="A249" s="13"/>
      <c r="B249" s="4"/>
      <c r="C249" s="56"/>
      <c r="D249" s="4" t="s">
        <v>535</v>
      </c>
      <c r="E249" s="4"/>
      <c r="F249" s="4"/>
      <c r="G249" s="4"/>
      <c r="H249" s="4"/>
      <c r="I249" s="4"/>
      <c r="J249" s="4"/>
      <c r="K249" s="4"/>
      <c r="L249" s="4"/>
      <c r="M249" s="1458" t="s">
        <v>536</v>
      </c>
      <c r="N249" s="1458"/>
      <c r="O249" s="1458"/>
      <c r="P249" s="1458"/>
      <c r="Q249" s="1458"/>
      <c r="R249" s="1458"/>
      <c r="S249" s="1458"/>
      <c r="T249" s="1458"/>
      <c r="U249" s="205" t="s">
        <v>906</v>
      </c>
      <c r="V249" s="205"/>
      <c r="W249" s="205"/>
      <c r="X249" s="205"/>
      <c r="Y249" s="205"/>
      <c r="Z249" s="205"/>
      <c r="AA249" s="1792" t="s">
        <v>2685</v>
      </c>
      <c r="AB249" s="1784"/>
      <c r="AC249" s="1784"/>
      <c r="AD249" s="1784"/>
      <c r="AE249" s="1784"/>
      <c r="AF249" s="1784"/>
      <c r="AG249" s="1784"/>
      <c r="AH249" s="1784"/>
      <c r="AI249" s="1784"/>
      <c r="AJ249" s="1784"/>
      <c r="AK249" s="1784"/>
      <c r="BN249" s="34"/>
    </row>
    <row r="250" spans="1:67" ht="12.95" customHeight="1">
      <c r="A250" s="19"/>
      <c r="B250" s="4"/>
      <c r="C250" s="4"/>
      <c r="D250" s="4"/>
      <c r="E250" s="4"/>
      <c r="F250" s="4"/>
      <c r="G250" s="4"/>
      <c r="H250" s="4"/>
      <c r="I250" s="4"/>
      <c r="J250" s="4"/>
      <c r="K250" s="4"/>
      <c r="L250" s="4"/>
      <c r="AG250" s="4"/>
      <c r="AH250" s="4"/>
      <c r="AI250" s="4"/>
      <c r="AJ250" s="4"/>
      <c r="BN250" s="34"/>
    </row>
    <row r="251" spans="1:67" ht="12.95" customHeight="1">
      <c r="A251" s="2"/>
      <c r="B251" s="4"/>
      <c r="C251" s="56" t="s">
        <v>98</v>
      </c>
      <c r="D251" s="4" t="s">
        <v>955</v>
      </c>
      <c r="E251" s="4"/>
      <c r="F251" s="4"/>
      <c r="G251" s="4"/>
      <c r="H251" s="4"/>
      <c r="I251" s="4"/>
      <c r="J251" s="4"/>
      <c r="K251" s="4"/>
      <c r="L251" s="4"/>
      <c r="M251" s="1419" t="s">
        <v>2622</v>
      </c>
      <c r="N251" s="1420"/>
      <c r="O251" s="1420"/>
      <c r="P251" s="1420"/>
      <c r="Q251" s="1420"/>
      <c r="R251" s="1420"/>
      <c r="S251" s="1420"/>
      <c r="T251" s="1420"/>
      <c r="U251" s="1420"/>
      <c r="V251" s="1420"/>
      <c r="W251" s="1420"/>
      <c r="X251" s="1420"/>
      <c r="Y251" s="1420"/>
      <c r="Z251" s="1420"/>
      <c r="AA251" s="1420"/>
      <c r="AB251" s="1420"/>
      <c r="AC251" s="1420"/>
      <c r="AD251" s="1420"/>
      <c r="AE251" s="1420"/>
      <c r="AF251" s="1420" t="s">
        <v>2620</v>
      </c>
      <c r="AG251" s="1420"/>
      <c r="AH251" s="1420"/>
      <c r="AI251" s="1420"/>
      <c r="AJ251" s="1420"/>
      <c r="AK251" s="1420"/>
      <c r="AU251" s="4"/>
      <c r="AV251" s="4"/>
      <c r="AW251" s="4"/>
      <c r="AX251" s="4"/>
      <c r="AY251" s="4"/>
      <c r="BN251" s="34"/>
    </row>
    <row r="252" spans="1:67" ht="12.95" customHeight="1">
      <c r="A252" s="19"/>
      <c r="B252" s="4"/>
      <c r="C252" s="4"/>
      <c r="D252" s="4" t="s">
        <v>85</v>
      </c>
      <c r="E252" s="4"/>
      <c r="F252" s="4"/>
      <c r="G252" s="4"/>
      <c r="H252" s="4"/>
      <c r="I252" s="4"/>
      <c r="J252" s="4"/>
      <c r="K252" s="4"/>
      <c r="L252" s="4"/>
      <c r="M252" s="1417" t="s">
        <v>2623</v>
      </c>
      <c r="N252" s="1417"/>
      <c r="O252" s="1417"/>
      <c r="P252" s="1417"/>
      <c r="Q252" s="1417"/>
      <c r="R252" s="1417"/>
      <c r="S252" s="1417"/>
      <c r="T252" s="1417"/>
      <c r="U252" s="1417"/>
      <c r="V252" s="1417"/>
      <c r="W252" s="1417"/>
      <c r="X252" s="1417"/>
      <c r="Y252" s="1417"/>
      <c r="Z252" s="1417"/>
      <c r="AA252" s="1417"/>
      <c r="AB252" s="1417"/>
      <c r="AC252" s="1417"/>
      <c r="AD252" s="1417"/>
      <c r="AE252" s="1417"/>
      <c r="AF252" s="3" t="s">
        <v>1178</v>
      </c>
      <c r="AL252" s="4"/>
      <c r="AM252" s="4"/>
      <c r="AN252" s="4"/>
      <c r="AO252" s="4"/>
      <c r="AP252" s="4"/>
      <c r="AQ252" s="4"/>
      <c r="AR252" s="4"/>
      <c r="AS252" s="4"/>
      <c r="AT252" s="4"/>
      <c r="BN252" s="34"/>
    </row>
    <row r="253" spans="1:67" ht="12.95" customHeight="1">
      <c r="A253" s="19"/>
      <c r="B253" s="4"/>
      <c r="C253" s="4"/>
      <c r="D253" s="4" t="s">
        <v>580</v>
      </c>
      <c r="E253" s="4"/>
      <c r="M253" s="1417" t="s">
        <v>729</v>
      </c>
      <c r="N253" s="1417"/>
      <c r="O253" s="1417"/>
      <c r="P253" s="1417"/>
      <c r="Q253" s="1417"/>
      <c r="R253" s="1417"/>
      <c r="S253" s="1417"/>
      <c r="T253" s="1417"/>
      <c r="V253" s="33" t="s">
        <v>86</v>
      </c>
      <c r="W253" s="1439" t="s">
        <v>2624</v>
      </c>
      <c r="X253" s="1439"/>
      <c r="Y253" s="4" t="s">
        <v>583</v>
      </c>
      <c r="AC253" s="1417">
        <v>92127</v>
      </c>
      <c r="AD253" s="1417"/>
      <c r="AE253" s="1417"/>
      <c r="AF253" s="3" t="s">
        <v>1179</v>
      </c>
      <c r="AU253" s="4"/>
      <c r="AV253" s="4"/>
      <c r="AW253" s="4"/>
      <c r="AX253" s="4"/>
      <c r="AY253" s="4"/>
      <c r="BN253" s="34"/>
    </row>
    <row r="254" spans="1:67" ht="12.95" customHeight="1">
      <c r="A254" s="19"/>
      <c r="B254" s="4"/>
      <c r="C254" s="4"/>
      <c r="D254" s="4" t="s">
        <v>87</v>
      </c>
      <c r="E254" s="4"/>
      <c r="F254" s="4"/>
      <c r="G254" s="4"/>
      <c r="H254" s="4"/>
      <c r="I254" s="4"/>
      <c r="J254" s="4"/>
      <c r="K254" s="4"/>
      <c r="L254" s="19"/>
      <c r="M254" s="1417" t="s">
        <v>2625</v>
      </c>
      <c r="N254" s="1417"/>
      <c r="O254" s="1417"/>
      <c r="P254" s="1417"/>
      <c r="Q254" s="1417"/>
      <c r="R254" s="1417"/>
      <c r="S254" s="1417"/>
      <c r="T254" s="1417"/>
      <c r="U254" s="1417"/>
      <c r="V254" s="1417"/>
      <c r="W254" s="1417"/>
      <c r="X254" s="1417"/>
      <c r="Y254" s="1417"/>
      <c r="Z254" s="1417"/>
      <c r="AA254" s="1417"/>
      <c r="AB254" s="1417"/>
      <c r="AC254" s="1417"/>
      <c r="AD254" s="1417"/>
      <c r="AE254" s="1417"/>
      <c r="AH254" s="1786">
        <v>5.0000000000000001E-3</v>
      </c>
      <c r="AI254" s="1786"/>
      <c r="AJ254" s="1786"/>
      <c r="AK254" s="1786"/>
      <c r="AL254" s="4"/>
      <c r="AM254" s="4"/>
      <c r="AN254" s="4"/>
      <c r="AO254" s="4"/>
      <c r="AP254" s="4"/>
      <c r="AQ254" s="4"/>
      <c r="AR254" s="4"/>
      <c r="AS254" s="4"/>
      <c r="AT254" s="4"/>
    </row>
    <row r="255" spans="1:67" ht="12.95" customHeight="1">
      <c r="A255" s="19"/>
      <c r="B255" s="4"/>
      <c r="C255" s="4"/>
      <c r="D255" s="4" t="s">
        <v>88</v>
      </c>
      <c r="E255" s="4"/>
      <c r="F255" s="4"/>
      <c r="M255" s="1459" t="s">
        <v>2626</v>
      </c>
      <c r="N255" s="1459"/>
      <c r="O255" s="1459"/>
      <c r="P255" s="1459"/>
      <c r="Q255" s="1459"/>
      <c r="R255" s="1459"/>
      <c r="S255" s="4" t="s">
        <v>205</v>
      </c>
      <c r="T255" s="4"/>
      <c r="U255" s="1439"/>
      <c r="V255" s="1439"/>
      <c r="W255" s="1439"/>
      <c r="X255" s="4" t="s">
        <v>89</v>
      </c>
      <c r="Z255" s="1459"/>
      <c r="AA255" s="1459"/>
      <c r="AB255" s="1459"/>
      <c r="AC255" s="1459"/>
      <c r="AD255" s="1459"/>
      <c r="AE255" s="1459"/>
      <c r="AU255" s="4"/>
      <c r="AV255" s="4"/>
      <c r="AW255" s="4"/>
      <c r="AX255" s="4"/>
      <c r="AY255" s="4"/>
      <c r="BN255" s="34"/>
    </row>
    <row r="256" spans="1:67" ht="12.95" customHeight="1">
      <c r="A256" s="19"/>
      <c r="B256" s="4"/>
      <c r="C256" s="4"/>
      <c r="D256" s="4" t="s">
        <v>90</v>
      </c>
      <c r="E256" s="4"/>
      <c r="F256" s="4"/>
      <c r="M256" s="1788" t="s">
        <v>2627</v>
      </c>
      <c r="N256" s="1788"/>
      <c r="O256" s="1788"/>
      <c r="P256" s="1788"/>
      <c r="Q256" s="1788"/>
      <c r="R256" s="1788"/>
      <c r="S256" s="1788"/>
      <c r="T256" s="1788"/>
      <c r="U256" s="1788"/>
      <c r="V256" s="1788"/>
      <c r="W256" s="1788"/>
      <c r="X256" s="1788"/>
      <c r="Y256" s="1788"/>
      <c r="Z256" s="1788"/>
      <c r="AA256" s="1788"/>
      <c r="AB256" s="1788"/>
      <c r="AC256" s="1788"/>
      <c r="AD256" s="1788"/>
      <c r="AE256" s="1788"/>
      <c r="AG256" s="4"/>
      <c r="AH256" s="4"/>
      <c r="AI256" s="4"/>
      <c r="AJ256" s="4"/>
      <c r="AK256" s="4"/>
      <c r="AL256" s="4"/>
      <c r="AM256" s="4"/>
      <c r="AN256" s="4"/>
      <c r="AO256" s="4"/>
      <c r="AP256" s="4"/>
      <c r="AQ256" s="4"/>
      <c r="AR256" s="4"/>
      <c r="AS256" s="4"/>
      <c r="AT256" s="4"/>
      <c r="AU256" s="3"/>
      <c r="AV256" s="3"/>
      <c r="AW256" s="3"/>
      <c r="AX256" s="3"/>
      <c r="AY256" s="3"/>
      <c r="BN256" s="34"/>
    </row>
    <row r="257" spans="1:51" ht="12.95" customHeight="1">
      <c r="A257" s="13"/>
      <c r="B257" s="4"/>
      <c r="C257" s="56"/>
      <c r="D257" s="4" t="s">
        <v>535</v>
      </c>
      <c r="E257" s="4"/>
      <c r="F257" s="4"/>
      <c r="G257" s="4"/>
      <c r="H257" s="4"/>
      <c r="I257" s="4"/>
      <c r="J257" s="4"/>
      <c r="K257" s="4"/>
      <c r="L257" s="4"/>
      <c r="M257" s="1458" t="s">
        <v>534</v>
      </c>
      <c r="N257" s="1458"/>
      <c r="O257" s="1458"/>
      <c r="P257" s="1458"/>
      <c r="Q257" s="1458"/>
      <c r="R257" s="1458"/>
      <c r="S257" s="1458"/>
      <c r="T257" s="1458"/>
      <c r="U257" s="205" t="s">
        <v>906</v>
      </c>
      <c r="V257" s="205"/>
      <c r="W257" s="205"/>
      <c r="X257" s="205"/>
      <c r="Y257" s="205"/>
      <c r="Z257" s="205"/>
      <c r="AA257" s="1784" t="s">
        <v>2622</v>
      </c>
      <c r="AB257" s="1784"/>
      <c r="AC257" s="1784"/>
      <c r="AD257" s="1784"/>
      <c r="AE257" s="1784"/>
      <c r="AF257" s="1784"/>
      <c r="AG257" s="1784"/>
      <c r="AH257" s="1784"/>
      <c r="AI257" s="1784"/>
      <c r="AJ257" s="1784"/>
      <c r="AK257" s="1784"/>
      <c r="AL257" s="3"/>
      <c r="AM257" s="3"/>
      <c r="AN257" s="3"/>
      <c r="AO257" s="3"/>
      <c r="AP257" s="3"/>
      <c r="AQ257" s="3"/>
      <c r="AR257" s="3"/>
      <c r="AS257" s="3"/>
      <c r="AT257" s="3"/>
      <c r="AU257" s="3"/>
      <c r="AV257" s="3"/>
      <c r="AW257" s="3"/>
      <c r="AX257" s="3"/>
      <c r="AY257" s="3"/>
    </row>
    <row r="258" spans="1:51" ht="12.95"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row>
    <row r="259" spans="1:51" ht="12.95" customHeight="1">
      <c r="A259" s="13"/>
      <c r="B259" s="4"/>
      <c r="C259" s="56" t="s">
        <v>876</v>
      </c>
      <c r="D259" s="4" t="s">
        <v>532</v>
      </c>
      <c r="E259" s="4"/>
      <c r="F259" s="4"/>
      <c r="G259" s="4"/>
      <c r="H259" s="4"/>
      <c r="I259" s="4"/>
      <c r="J259" s="4"/>
      <c r="K259" s="4"/>
      <c r="L259" s="4"/>
      <c r="M259" s="1420"/>
      <c r="N259" s="1420"/>
      <c r="O259" s="1420"/>
      <c r="P259" s="1420"/>
      <c r="Q259" s="1420"/>
      <c r="R259" s="1420"/>
      <c r="S259" s="1420"/>
      <c r="T259" s="1420"/>
      <c r="U259" s="1420"/>
      <c r="V259" s="1420"/>
      <c r="W259" s="1420"/>
      <c r="X259" s="1420"/>
      <c r="Y259" s="1420"/>
      <c r="Z259" s="1420"/>
      <c r="AA259" s="1420"/>
      <c r="AB259" s="1420"/>
      <c r="AC259" s="1420"/>
      <c r="AD259" s="1420"/>
      <c r="AE259" s="1420"/>
      <c r="AF259" s="1420" t="s">
        <v>306</v>
      </c>
      <c r="AG259" s="1420"/>
      <c r="AH259" s="1420"/>
      <c r="AI259" s="1420"/>
      <c r="AJ259" s="1420"/>
      <c r="AK259" s="1420"/>
      <c r="AL259" s="3"/>
      <c r="AM259" s="3"/>
      <c r="AN259" s="3"/>
      <c r="AO259" s="3"/>
      <c r="AP259" s="3"/>
      <c r="AQ259" s="3"/>
      <c r="AR259" s="3"/>
      <c r="AS259" s="3"/>
      <c r="AT259" s="3"/>
      <c r="AU259" s="3"/>
      <c r="AV259" s="3"/>
      <c r="AW259" s="3"/>
      <c r="AX259" s="3"/>
      <c r="AY259" s="3"/>
    </row>
    <row r="260" spans="1:51" ht="12.95" customHeight="1">
      <c r="A260" s="13"/>
      <c r="B260" s="4"/>
      <c r="C260" s="4"/>
      <c r="D260" s="4" t="s">
        <v>85</v>
      </c>
      <c r="E260" s="4"/>
      <c r="F260" s="4"/>
      <c r="G260" s="4"/>
      <c r="H260" s="4"/>
      <c r="I260" s="4"/>
      <c r="J260" s="4"/>
      <c r="K260" s="4"/>
      <c r="L260" s="4"/>
      <c r="M260" s="1417"/>
      <c r="N260" s="1417"/>
      <c r="O260" s="1417"/>
      <c r="P260" s="1417"/>
      <c r="Q260" s="1417"/>
      <c r="R260" s="1417"/>
      <c r="S260" s="1417"/>
      <c r="T260" s="1417"/>
      <c r="U260" s="1417"/>
      <c r="V260" s="1417"/>
      <c r="W260" s="1417"/>
      <c r="X260" s="1417"/>
      <c r="Y260" s="1417"/>
      <c r="Z260" s="1417"/>
      <c r="AA260" s="1417"/>
      <c r="AB260" s="1417"/>
      <c r="AC260" s="1417"/>
      <c r="AD260" s="1417"/>
      <c r="AE260" s="1417"/>
      <c r="AF260" s="3" t="s">
        <v>1178</v>
      </c>
      <c r="AL260" s="3"/>
      <c r="AM260" s="3"/>
      <c r="AN260" s="3"/>
      <c r="AO260" s="3"/>
      <c r="AP260" s="3"/>
      <c r="AQ260" s="3"/>
      <c r="AR260" s="3"/>
      <c r="AS260" s="3"/>
      <c r="AT260" s="3"/>
      <c r="AU260" s="3"/>
      <c r="AV260" s="3"/>
      <c r="AW260" s="3"/>
      <c r="AX260" s="3"/>
      <c r="AY260" s="3"/>
    </row>
    <row r="261" spans="1:51" ht="12.95" customHeight="1">
      <c r="A261" s="13"/>
      <c r="B261" s="4"/>
      <c r="C261" s="4"/>
      <c r="D261" s="4" t="s">
        <v>580</v>
      </c>
      <c r="E261" s="4"/>
      <c r="M261" s="1417"/>
      <c r="N261" s="1417"/>
      <c r="O261" s="1417"/>
      <c r="P261" s="1417"/>
      <c r="Q261" s="1417"/>
      <c r="R261" s="1417"/>
      <c r="S261" s="1417"/>
      <c r="T261" s="1417"/>
      <c r="V261" s="33" t="s">
        <v>86</v>
      </c>
      <c r="W261" s="1439"/>
      <c r="X261" s="1439"/>
      <c r="Y261" s="4" t="s">
        <v>583</v>
      </c>
      <c r="AC261" s="1417"/>
      <c r="AD261" s="1417"/>
      <c r="AE261" s="1417"/>
      <c r="AF261" s="3" t="s">
        <v>1179</v>
      </c>
      <c r="AL261" s="3"/>
      <c r="AM261" s="3"/>
      <c r="AN261" s="3"/>
      <c r="AO261" s="3"/>
      <c r="AP261" s="3"/>
      <c r="AQ261" s="3"/>
      <c r="AR261" s="3"/>
      <c r="AS261" s="3"/>
      <c r="AT261" s="3"/>
      <c r="AU261" s="3"/>
      <c r="AV261" s="3"/>
      <c r="AW261" s="3"/>
      <c r="AX261" s="3"/>
      <c r="AY261" s="3"/>
    </row>
    <row r="262" spans="1:51" ht="12.95" customHeight="1">
      <c r="A262" s="13"/>
      <c r="B262" s="4"/>
      <c r="C262" s="4"/>
      <c r="D262" s="4" t="s">
        <v>87</v>
      </c>
      <c r="E262" s="4"/>
      <c r="F262" s="4"/>
      <c r="G262" s="4"/>
      <c r="H262" s="4"/>
      <c r="I262" s="4"/>
      <c r="J262" s="4"/>
      <c r="K262" s="4"/>
      <c r="L262" s="19"/>
      <c r="M262" s="1417"/>
      <c r="N262" s="1417"/>
      <c r="O262" s="1417"/>
      <c r="P262" s="1417"/>
      <c r="Q262" s="1417"/>
      <c r="R262" s="1417"/>
      <c r="S262" s="1417"/>
      <c r="T262" s="1417"/>
      <c r="U262" s="1417"/>
      <c r="V262" s="1417"/>
      <c r="W262" s="1417"/>
      <c r="X262" s="1417"/>
      <c r="Y262" s="1417"/>
      <c r="Z262" s="1417"/>
      <c r="AA262" s="1417"/>
      <c r="AB262" s="1417"/>
      <c r="AC262" s="1417"/>
      <c r="AD262" s="1417"/>
      <c r="AE262" s="1417"/>
      <c r="AH262" s="1786"/>
      <c r="AI262" s="1786"/>
      <c r="AJ262" s="1786"/>
      <c r="AK262" s="1786"/>
      <c r="AL262" s="3"/>
      <c r="AM262" s="3"/>
      <c r="AN262" s="3"/>
      <c r="AO262" s="3"/>
      <c r="AP262" s="3"/>
      <c r="AQ262" s="3"/>
      <c r="AR262" s="3"/>
      <c r="AS262" s="3"/>
      <c r="AT262" s="3"/>
      <c r="AU262" s="3"/>
      <c r="AV262" s="3"/>
      <c r="AW262" s="3"/>
      <c r="AX262" s="3"/>
      <c r="AY262" s="3"/>
    </row>
    <row r="263" spans="1:51" ht="12.95" customHeight="1">
      <c r="A263" s="13"/>
      <c r="B263" s="4"/>
      <c r="C263" s="4"/>
      <c r="D263" s="4" t="s">
        <v>88</v>
      </c>
      <c r="E263" s="4"/>
      <c r="F263" s="4"/>
      <c r="M263" s="1459"/>
      <c r="N263" s="1459"/>
      <c r="O263" s="1459"/>
      <c r="P263" s="1459"/>
      <c r="Q263" s="1459"/>
      <c r="R263" s="1459"/>
      <c r="S263" s="4" t="s">
        <v>205</v>
      </c>
      <c r="T263" s="4"/>
      <c r="U263" s="1439"/>
      <c r="V263" s="1439"/>
      <c r="W263" s="1439"/>
      <c r="X263" s="4" t="s">
        <v>89</v>
      </c>
      <c r="Z263" s="1459"/>
      <c r="AA263" s="1459"/>
      <c r="AB263" s="1459"/>
      <c r="AC263" s="1459"/>
      <c r="AD263" s="1459"/>
      <c r="AE263" s="1459"/>
      <c r="AL263" s="3"/>
      <c r="AM263" s="3"/>
      <c r="AN263" s="3"/>
      <c r="AO263" s="3"/>
      <c r="AP263" s="3"/>
      <c r="AQ263" s="3"/>
      <c r="AR263" s="3"/>
      <c r="AS263" s="3"/>
      <c r="AT263" s="3"/>
      <c r="AU263" s="3"/>
      <c r="AV263" s="3"/>
      <c r="AW263" s="3"/>
      <c r="AX263" s="3"/>
      <c r="AY263" s="3"/>
    </row>
    <row r="264" spans="1:51" ht="12.95" customHeight="1">
      <c r="A264" s="13"/>
      <c r="B264" s="4"/>
      <c r="C264" s="4"/>
      <c r="D264" s="4" t="s">
        <v>90</v>
      </c>
      <c r="E264" s="4"/>
      <c r="F264" s="4"/>
      <c r="M264" s="1788"/>
      <c r="N264" s="1788"/>
      <c r="O264" s="1788"/>
      <c r="P264" s="1788"/>
      <c r="Q264" s="1788"/>
      <c r="R264" s="1788"/>
      <c r="S264" s="1788"/>
      <c r="T264" s="1788"/>
      <c r="U264" s="1788"/>
      <c r="V264" s="1788"/>
      <c r="W264" s="1788"/>
      <c r="X264" s="1788"/>
      <c r="Y264" s="1788"/>
      <c r="Z264" s="1788"/>
      <c r="AA264" s="1789"/>
      <c r="AB264" s="1789"/>
      <c r="AC264" s="1789"/>
      <c r="AD264" s="1789"/>
      <c r="AE264" s="1789"/>
      <c r="AG264" s="4"/>
      <c r="AH264" s="4"/>
      <c r="AI264" s="4"/>
      <c r="AJ264" s="4"/>
      <c r="AK264" s="4"/>
      <c r="AL264" s="3"/>
      <c r="AM264" s="3"/>
      <c r="AN264" s="3"/>
      <c r="AO264" s="3"/>
      <c r="AP264" s="3"/>
      <c r="AQ264" s="3"/>
      <c r="AR264" s="3"/>
      <c r="AS264" s="3"/>
      <c r="AT264" s="3"/>
      <c r="AU264" s="3"/>
      <c r="AV264" s="3"/>
      <c r="AW264" s="3"/>
      <c r="AX264" s="3"/>
      <c r="AY264" s="3"/>
    </row>
    <row r="265" spans="1:51" ht="12.95" customHeight="1">
      <c r="A265" s="13"/>
      <c r="B265" s="4"/>
      <c r="C265" s="56"/>
      <c r="D265" s="4" t="s">
        <v>535</v>
      </c>
      <c r="E265" s="4"/>
      <c r="F265" s="4"/>
      <c r="G265" s="4"/>
      <c r="H265" s="4"/>
      <c r="I265" s="4"/>
      <c r="J265" s="4"/>
      <c r="K265" s="4"/>
      <c r="L265" s="4"/>
      <c r="M265" s="1458" t="s">
        <v>306</v>
      </c>
      <c r="N265" s="1458"/>
      <c r="O265" s="1458"/>
      <c r="P265" s="1458"/>
      <c r="Q265" s="1458"/>
      <c r="R265" s="1458"/>
      <c r="S265" s="1458"/>
      <c r="T265" s="1458"/>
      <c r="U265" s="205" t="s">
        <v>906</v>
      </c>
      <c r="V265" s="205"/>
      <c r="W265" s="205"/>
      <c r="X265" s="205"/>
      <c r="Y265" s="205"/>
      <c r="Z265" s="205"/>
      <c r="AA265" s="1785"/>
      <c r="AB265" s="1785"/>
      <c r="AC265" s="1785"/>
      <c r="AD265" s="1785"/>
      <c r="AE265" s="1785"/>
      <c r="AF265" s="1785"/>
      <c r="AG265" s="1785"/>
      <c r="AH265" s="1785"/>
      <c r="AI265" s="1785"/>
      <c r="AJ265" s="1785"/>
      <c r="AK265" s="1785"/>
      <c r="AL265" s="3"/>
      <c r="AM265" s="3"/>
      <c r="AN265" s="3"/>
      <c r="AO265" s="3"/>
      <c r="AP265" s="3"/>
      <c r="AQ265" s="3"/>
      <c r="AR265" s="3"/>
      <c r="AS265" s="3"/>
      <c r="AT265" s="3"/>
    </row>
    <row r="266" spans="1:51" ht="12.95"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row>
    <row r="267" spans="1:51" ht="12.95" customHeight="1">
      <c r="A267" s="57" t="s">
        <v>590</v>
      </c>
      <c r="B267" s="4"/>
      <c r="C267" s="2" t="s">
        <v>294</v>
      </c>
      <c r="D267" s="4"/>
      <c r="E267" s="4"/>
      <c r="F267" s="4"/>
      <c r="G267" s="4"/>
      <c r="H267" s="4"/>
      <c r="I267" s="4"/>
      <c r="J267" s="4"/>
      <c r="K267" s="4"/>
      <c r="L267" s="4"/>
      <c r="M267" s="35"/>
      <c r="N267" s="35"/>
      <c r="O267" s="35"/>
      <c r="P267" s="35"/>
      <c r="Q267" s="35"/>
      <c r="T267" s="1787" t="str">
        <f>IFERROR(BO245,"")</f>
        <v>Joint Venture</v>
      </c>
      <c r="U267" s="1787"/>
      <c r="V267" s="1787"/>
      <c r="W267" s="1787"/>
      <c r="X267" s="1787"/>
      <c r="Z267" s="308" t="s">
        <v>954</v>
      </c>
      <c r="AA267" s="309"/>
      <c r="AB267" s="309"/>
      <c r="AC267" s="309"/>
      <c r="AD267" s="105"/>
      <c r="AE267" s="105"/>
      <c r="AF267" s="105"/>
      <c r="AG267" s="105"/>
      <c r="AH267" s="105"/>
      <c r="AI267" s="105"/>
      <c r="AJ267" s="105"/>
      <c r="AK267" s="310"/>
      <c r="AL267" s="58"/>
    </row>
    <row r="268" spans="1:51" ht="12.95" customHeight="1">
      <c r="A268" s="2"/>
      <c r="B268" s="4"/>
      <c r="C268" s="2"/>
      <c r="I268" s="4"/>
      <c r="J268" s="4"/>
      <c r="K268" s="4"/>
      <c r="L268" s="4"/>
      <c r="M268" s="35"/>
      <c r="N268" s="35"/>
      <c r="O268" s="35"/>
      <c r="P268" s="35"/>
      <c r="Q268" s="35"/>
      <c r="T268" s="4"/>
      <c r="U268" s="4"/>
      <c r="V268" s="4"/>
      <c r="W268" s="35"/>
      <c r="Z268" s="311" t="s">
        <v>807</v>
      </c>
      <c r="AF268" s="4"/>
      <c r="AG268" s="4"/>
      <c r="AH268" s="4"/>
      <c r="AI268" s="4"/>
      <c r="AJ268" s="4"/>
      <c r="AL268" s="65"/>
    </row>
    <row r="269" spans="1:51" ht="12.95" customHeight="1">
      <c r="A269" s="2" t="s">
        <v>592</v>
      </c>
      <c r="B269" s="4"/>
      <c r="C269" s="2" t="s">
        <v>171</v>
      </c>
      <c r="D269" s="4"/>
      <c r="E269" s="4"/>
      <c r="F269" s="4"/>
      <c r="G269" s="4"/>
      <c r="H269" s="4"/>
      <c r="I269" s="4"/>
      <c r="J269" s="4"/>
      <c r="K269" s="4"/>
      <c r="L269" s="4"/>
      <c r="M269" s="4"/>
      <c r="N269" s="4"/>
      <c r="O269" s="4"/>
      <c r="P269" s="4"/>
      <c r="Q269" s="4"/>
      <c r="R269" s="4"/>
      <c r="S269" s="4"/>
      <c r="T269" s="4"/>
      <c r="U269" s="4"/>
      <c r="V269" s="4"/>
      <c r="W269" s="4"/>
      <c r="Z269" s="312" t="s">
        <v>953</v>
      </c>
      <c r="AA269" s="48"/>
      <c r="AB269" s="48"/>
      <c r="AC269" s="48"/>
      <c r="AD269" s="48"/>
      <c r="AE269" s="48"/>
      <c r="AF269" s="104"/>
      <c r="AG269" s="104"/>
      <c r="AH269" s="104"/>
      <c r="AI269" s="104"/>
      <c r="AJ269" s="104"/>
      <c r="AK269" s="48"/>
      <c r="AL269" s="49"/>
    </row>
    <row r="270" spans="1:51" ht="12.95" customHeight="1">
      <c r="A270" s="4"/>
      <c r="B270" s="36">
        <v>0</v>
      </c>
      <c r="D270" s="1417" t="s">
        <v>172</v>
      </c>
      <c r="E270" s="1417"/>
      <c r="F270" s="1417"/>
      <c r="G270" s="1417"/>
      <c r="H270" s="1417"/>
      <c r="J270" t="s">
        <v>278</v>
      </c>
      <c r="X270" s="1671">
        <v>45717</v>
      </c>
      <c r="Y270" s="1671"/>
      <c r="Z270" s="1671"/>
      <c r="AA270" s="1671"/>
      <c r="AB270" s="1671"/>
      <c r="AC270" s="1671"/>
      <c r="AU270" s="3"/>
      <c r="AV270" s="3"/>
      <c r="AW270" s="3"/>
      <c r="AX270" s="3"/>
      <c r="AY270" s="3"/>
    </row>
    <row r="271" spans="1:51" ht="12.95" customHeight="1">
      <c r="A271" s="4"/>
      <c r="B271" s="19"/>
      <c r="D271" s="37" t="s">
        <v>280</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row>
    <row r="272" spans="1:51" ht="12.95"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row>
    <row r="273" spans="1:51" ht="12.95" customHeight="1">
      <c r="A273" s="2" t="s">
        <v>467</v>
      </c>
      <c r="B273" s="2"/>
      <c r="C273" s="2" t="s">
        <v>622</v>
      </c>
      <c r="D273" s="4"/>
      <c r="E273" s="4"/>
      <c r="F273" s="4"/>
      <c r="G273" s="4"/>
      <c r="H273" s="4"/>
      <c r="I273" s="4"/>
      <c r="J273" s="4"/>
      <c r="K273" s="4"/>
      <c r="L273" s="4"/>
      <c r="M273" s="4"/>
      <c r="N273" s="4"/>
      <c r="O273" s="4"/>
      <c r="P273" s="4"/>
      <c r="Q273" s="4"/>
      <c r="R273" s="4"/>
      <c r="S273" s="4"/>
      <c r="T273" s="4"/>
      <c r="AU273" s="3"/>
      <c r="AV273" s="3"/>
      <c r="AW273" s="3"/>
      <c r="AX273" s="3"/>
      <c r="AY273" s="3"/>
    </row>
    <row r="274" spans="1:51" ht="12.95" customHeight="1">
      <c r="D274" s="4" t="s">
        <v>295</v>
      </c>
      <c r="E274" s="4"/>
      <c r="F274" s="4"/>
      <c r="G274" s="4"/>
      <c r="H274" s="4"/>
      <c r="I274" s="4"/>
      <c r="J274" s="4"/>
      <c r="K274" s="4"/>
      <c r="L274" s="1419" t="s">
        <v>2609</v>
      </c>
      <c r="M274" s="1420"/>
      <c r="N274" s="1420"/>
      <c r="O274" s="1420"/>
      <c r="P274" s="1420"/>
      <c r="Q274" s="1420"/>
      <c r="R274" s="1420"/>
      <c r="S274" s="1420"/>
      <c r="T274" s="1420"/>
      <c r="U274" s="1420"/>
      <c r="V274" s="1420"/>
      <c r="W274" s="1420"/>
      <c r="X274" s="1420"/>
      <c r="Y274" s="1420"/>
      <c r="Z274" s="1420"/>
      <c r="AA274" s="1420"/>
      <c r="AB274" s="1420"/>
      <c r="AC274" s="1420"/>
      <c r="AD274" s="1420"/>
      <c r="AE274" s="1420"/>
      <c r="AF274" s="1420"/>
      <c r="AG274" s="1420"/>
      <c r="AH274" s="1420"/>
      <c r="AI274" s="1420"/>
      <c r="AJ274" s="1420"/>
      <c r="AK274" s="3"/>
      <c r="AL274" s="3"/>
      <c r="AM274" s="3"/>
      <c r="AN274" s="3"/>
      <c r="AO274" s="3"/>
      <c r="AP274" s="3"/>
      <c r="AQ274" s="3"/>
      <c r="AR274" s="3"/>
      <c r="AS274" s="3"/>
      <c r="AT274" s="3"/>
      <c r="AU274" s="3"/>
      <c r="AV274" s="3"/>
      <c r="AW274" s="3"/>
      <c r="AX274" s="3"/>
      <c r="AY274" s="3"/>
    </row>
    <row r="275" spans="1:51" ht="12.95" customHeight="1">
      <c r="D275" s="4" t="s">
        <v>85</v>
      </c>
      <c r="E275" s="4"/>
      <c r="F275" s="4"/>
      <c r="G275" s="4"/>
      <c r="H275" s="4"/>
      <c r="I275" s="4"/>
      <c r="J275" s="4"/>
      <c r="K275" s="4"/>
      <c r="L275" s="1417" t="s">
        <v>2691</v>
      </c>
      <c r="M275" s="1417"/>
      <c r="N275" s="1417"/>
      <c r="O275" s="1417"/>
      <c r="P275" s="1417"/>
      <c r="Q275" s="1417"/>
      <c r="R275" s="1417"/>
      <c r="S275" s="1417"/>
      <c r="T275" s="1417"/>
      <c r="U275" s="1417"/>
      <c r="V275" s="1417"/>
      <c r="W275" s="1417"/>
      <c r="X275" s="1417"/>
      <c r="Y275" s="1417"/>
      <c r="Z275" s="1417"/>
      <c r="AA275" s="1417"/>
      <c r="AB275" s="1417"/>
      <c r="AC275" s="1417"/>
      <c r="AD275" s="1417"/>
      <c r="AK275" s="3"/>
      <c r="AL275" s="3"/>
      <c r="AM275" s="3"/>
      <c r="AN275" s="3"/>
      <c r="AO275" s="3"/>
      <c r="AP275" s="3"/>
      <c r="AQ275" s="3"/>
      <c r="AR275" s="3"/>
      <c r="AS275" s="3"/>
      <c r="AT275" s="3"/>
      <c r="AU275" s="3"/>
      <c r="AV275" s="3"/>
      <c r="AW275" s="3"/>
      <c r="AX275" s="3"/>
      <c r="AY275" s="3"/>
    </row>
    <row r="276" spans="1:51" ht="12.95" customHeight="1">
      <c r="D276" s="4" t="s">
        <v>580</v>
      </c>
      <c r="E276" s="4"/>
      <c r="L276" s="1417" t="s">
        <v>494</v>
      </c>
      <c r="M276" s="1417"/>
      <c r="N276" s="1417"/>
      <c r="O276" s="1417"/>
      <c r="P276" s="1417"/>
      <c r="Q276" s="1417"/>
      <c r="R276" s="1417"/>
      <c r="S276" s="1417"/>
      <c r="U276" s="33" t="s">
        <v>86</v>
      </c>
      <c r="V276" s="1557" t="s">
        <v>2624</v>
      </c>
      <c r="W276" s="1439"/>
      <c r="X276" s="4" t="s">
        <v>583</v>
      </c>
      <c r="AB276" s="1417">
        <v>90045</v>
      </c>
      <c r="AC276" s="1417"/>
      <c r="AD276" s="1417"/>
      <c r="AK276" s="3"/>
      <c r="AL276" s="3"/>
      <c r="AM276" s="3"/>
      <c r="AN276" s="3"/>
      <c r="AO276" s="3"/>
      <c r="AP276" s="3"/>
      <c r="AQ276" s="3"/>
      <c r="AR276" s="3"/>
      <c r="AS276" s="3"/>
      <c r="AT276" s="3"/>
      <c r="AU276" s="3"/>
      <c r="AV276" s="3"/>
      <c r="AW276" s="3"/>
      <c r="AX276" s="3"/>
      <c r="AY276" s="3"/>
    </row>
    <row r="277" spans="1:51" ht="12.95" customHeight="1">
      <c r="D277" s="4" t="s">
        <v>87</v>
      </c>
      <c r="E277" s="4"/>
      <c r="F277" s="4"/>
      <c r="G277" s="4"/>
      <c r="H277" s="4"/>
      <c r="I277" s="4"/>
      <c r="J277" s="4"/>
      <c r="K277" s="19"/>
      <c r="L277" s="1416" t="s">
        <v>2681</v>
      </c>
      <c r="M277" s="1417"/>
      <c r="N277" s="1417"/>
      <c r="O277" s="1417"/>
      <c r="P277" s="1417"/>
      <c r="Q277" s="1417"/>
      <c r="R277" s="1417"/>
      <c r="S277" s="1417"/>
      <c r="T277" s="1417"/>
      <c r="U277" s="1417"/>
      <c r="V277" s="1417"/>
      <c r="W277" s="1417"/>
      <c r="X277" s="1417"/>
      <c r="Y277" s="1417"/>
      <c r="Z277" s="1417"/>
      <c r="AA277" s="1417"/>
      <c r="AB277" s="1417"/>
      <c r="AC277" s="1417"/>
      <c r="AD277" s="1417"/>
      <c r="AI277" s="4"/>
      <c r="AJ277" s="4"/>
      <c r="AK277" s="3"/>
      <c r="AL277" s="3"/>
      <c r="AM277" s="3"/>
      <c r="AN277" s="3"/>
      <c r="AO277" s="3"/>
      <c r="AP277" s="3"/>
      <c r="AQ277" s="3"/>
      <c r="AR277" s="3"/>
      <c r="AS277" s="3"/>
      <c r="AT277" s="3"/>
    </row>
    <row r="278" spans="1:51" ht="12.95" customHeight="1">
      <c r="D278" s="4" t="s">
        <v>88</v>
      </c>
      <c r="E278" s="4"/>
      <c r="F278" s="4"/>
      <c r="L278" s="1822" t="s">
        <v>2682</v>
      </c>
      <c r="M278" s="1459"/>
      <c r="N278" s="1459"/>
      <c r="O278" s="1459"/>
      <c r="P278" s="1459"/>
      <c r="Q278" s="1459"/>
      <c r="R278" s="4" t="s">
        <v>205</v>
      </c>
      <c r="S278" s="4"/>
      <c r="T278" s="1439"/>
      <c r="U278" s="1439"/>
      <c r="V278" s="1439"/>
      <c r="W278" s="4" t="s">
        <v>89</v>
      </c>
      <c r="Y278" s="1459"/>
      <c r="Z278" s="1459"/>
      <c r="AA278" s="1459"/>
      <c r="AB278" s="1459"/>
      <c r="AC278" s="1459"/>
      <c r="AD278" s="1459"/>
    </row>
    <row r="279" spans="1:51" ht="12.95" customHeight="1">
      <c r="D279" s="4" t="s">
        <v>90</v>
      </c>
      <c r="E279" s="4"/>
      <c r="F279" s="4"/>
      <c r="L279" s="1788" t="s">
        <v>2683</v>
      </c>
      <c r="M279" s="1788"/>
      <c r="N279" s="1788"/>
      <c r="O279" s="1788"/>
      <c r="P279" s="1788"/>
      <c r="Q279" s="1788"/>
      <c r="R279" s="1788"/>
      <c r="S279" s="1788"/>
      <c r="T279" s="1788"/>
      <c r="U279" s="1788"/>
      <c r="V279" s="1788"/>
      <c r="W279" s="1788"/>
      <c r="X279" s="1788"/>
      <c r="Y279" s="1788"/>
      <c r="Z279" s="1788"/>
      <c r="AA279" s="1788"/>
      <c r="AB279" s="1788"/>
      <c r="AC279" s="1788"/>
      <c r="AD279" s="1788"/>
      <c r="AF279" s="4"/>
      <c r="AG279" s="4"/>
      <c r="AH279" s="4"/>
      <c r="AI279" s="4"/>
      <c r="AJ279" s="4"/>
      <c r="AU279" s="3"/>
      <c r="AV279" s="3"/>
      <c r="AW279" s="3"/>
      <c r="AX279" s="3"/>
      <c r="AY279" s="3"/>
    </row>
    <row r="280" spans="1:51" ht="12.95" customHeight="1">
      <c r="D280" s="3" t="s">
        <v>623</v>
      </c>
      <c r="E280" s="3"/>
      <c r="F280" s="3"/>
      <c r="G280" s="3"/>
      <c r="H280" s="3"/>
      <c r="I280" s="3"/>
      <c r="L280" s="1557" t="s">
        <v>2684</v>
      </c>
      <c r="M280" s="1557"/>
      <c r="N280" s="1557"/>
      <c r="O280" s="1557"/>
      <c r="P280" s="1557"/>
      <c r="Q280" s="1557"/>
      <c r="R280" s="1557"/>
      <c r="S280" s="1557"/>
      <c r="T280" s="1557"/>
      <c r="U280" s="1557"/>
      <c r="V280" s="1557"/>
      <c r="W280" s="1557"/>
      <c r="X280" s="1557"/>
      <c r="Y280" s="1557"/>
      <c r="Z280" s="1557"/>
      <c r="AA280" s="1557"/>
      <c r="AB280" s="1557"/>
      <c r="AC280" s="1557"/>
      <c r="AD280" s="1557"/>
      <c r="AK280" s="3"/>
      <c r="AL280" s="3"/>
      <c r="AM280" s="3"/>
      <c r="AN280" s="3"/>
      <c r="AO280" s="3"/>
      <c r="AP280" s="3"/>
      <c r="AQ280" s="3"/>
      <c r="AR280" s="3"/>
      <c r="AS280" s="3"/>
      <c r="AT280" s="3"/>
    </row>
    <row r="281" spans="1:51" ht="12.95" customHeight="1">
      <c r="L281" s="22" t="s">
        <v>624</v>
      </c>
      <c r="AU281" s="95"/>
      <c r="AV281" s="95"/>
      <c r="AW281" s="95"/>
      <c r="AX281" s="95"/>
      <c r="AY281" s="95"/>
    </row>
    <row r="282" spans="1:51" ht="12.95" customHeight="1">
      <c r="A282" s="1423" t="s">
        <v>541</v>
      </c>
      <c r="B282" s="1423"/>
      <c r="C282" s="1423"/>
      <c r="D282" s="1423"/>
      <c r="E282" s="1423"/>
      <c r="F282" s="1423"/>
      <c r="G282" s="1423"/>
      <c r="H282" s="1423"/>
      <c r="I282" s="1423"/>
      <c r="J282" s="1423"/>
      <c r="K282" s="1423"/>
      <c r="L282" s="1423"/>
      <c r="M282" s="1423"/>
      <c r="N282" s="1423"/>
      <c r="O282" s="1423"/>
      <c r="P282" s="1423"/>
      <c r="Q282" s="1423"/>
      <c r="R282" s="1423"/>
      <c r="S282" s="1423"/>
      <c r="T282" s="1423"/>
      <c r="U282" s="1423"/>
      <c r="V282" s="1423"/>
      <c r="W282" s="1423"/>
      <c r="X282" s="1423"/>
      <c r="Y282" s="1423"/>
      <c r="Z282" s="1423"/>
      <c r="AA282" s="1423"/>
      <c r="AB282" s="1423"/>
      <c r="AC282" s="1423"/>
      <c r="AD282" s="1423"/>
      <c r="AE282" s="1423"/>
      <c r="AF282" s="1423"/>
      <c r="AG282" s="1423"/>
      <c r="AH282" s="1423"/>
      <c r="AI282" s="1423"/>
      <c r="AJ282" s="1423"/>
      <c r="AK282" s="1423"/>
      <c r="AL282" s="1423"/>
      <c r="AM282" s="1423"/>
      <c r="AN282" s="1423"/>
      <c r="AO282" s="1423"/>
      <c r="AP282" s="1423"/>
      <c r="AQ282" s="1423"/>
      <c r="AR282" s="1423"/>
      <c r="AS282" s="1423"/>
      <c r="AT282" s="1423"/>
      <c r="AU282" s="95"/>
      <c r="AV282" s="95"/>
      <c r="AW282" s="95"/>
      <c r="AX282" s="95"/>
      <c r="AY282" s="95"/>
    </row>
    <row r="283" spans="1:51" ht="12.95" customHeight="1">
      <c r="A283" s="1423"/>
      <c r="B283" s="1423"/>
      <c r="C283" s="1423"/>
      <c r="D283" s="1423"/>
      <c r="E283" s="1423"/>
      <c r="F283" s="1423"/>
      <c r="G283" s="1423"/>
      <c r="H283" s="1423"/>
      <c r="I283" s="1423"/>
      <c r="J283" s="1423"/>
      <c r="K283" s="1423"/>
      <c r="L283" s="1423"/>
      <c r="M283" s="1423"/>
      <c r="N283" s="1423"/>
      <c r="O283" s="1423"/>
      <c r="P283" s="1423"/>
      <c r="Q283" s="1423"/>
      <c r="R283" s="1423"/>
      <c r="S283" s="1423"/>
      <c r="T283" s="1423"/>
      <c r="U283" s="1423"/>
      <c r="V283" s="1423"/>
      <c r="W283" s="1423"/>
      <c r="X283" s="1423"/>
      <c r="Y283" s="1423"/>
      <c r="Z283" s="1423"/>
      <c r="AA283" s="1423"/>
      <c r="AB283" s="1423"/>
      <c r="AC283" s="1423"/>
      <c r="AD283" s="1423"/>
      <c r="AE283" s="1423"/>
      <c r="AF283" s="1423"/>
      <c r="AG283" s="1423"/>
      <c r="AH283" s="1423"/>
      <c r="AI283" s="1423"/>
      <c r="AJ283" s="1423"/>
      <c r="AK283" s="1423"/>
      <c r="AL283" s="1423"/>
      <c r="AM283" s="1423"/>
      <c r="AN283" s="1423"/>
      <c r="AO283" s="1423"/>
      <c r="AP283" s="1423"/>
      <c r="AQ283" s="1423"/>
      <c r="AR283" s="1423"/>
      <c r="AS283" s="1423"/>
      <c r="AT283" s="1423"/>
      <c r="AU283" s="25"/>
      <c r="AV283" s="25"/>
      <c r="AW283" s="25"/>
      <c r="AX283" s="25"/>
      <c r="AY283" s="25"/>
    </row>
    <row r="284" spans="1:51" ht="12.95"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row>
    <row r="285" spans="1:51" ht="12.95" customHeight="1">
      <c r="A285" s="2" t="s">
        <v>318</v>
      </c>
      <c r="C285" s="2" t="s">
        <v>625</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row>
    <row r="286" spans="1:51" ht="12.95"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row>
    <row r="287" spans="1:51" ht="12.95" customHeight="1">
      <c r="B287" s="3" t="s">
        <v>626</v>
      </c>
      <c r="C287" s="3"/>
      <c r="D287" s="3"/>
      <c r="E287" s="3"/>
      <c r="F287" s="3"/>
      <c r="H287" s="1425" t="s">
        <v>2609</v>
      </c>
      <c r="I287" s="1425"/>
      <c r="J287" s="1425"/>
      <c r="K287" s="1425"/>
      <c r="L287" s="1425"/>
      <c r="M287" s="1425"/>
      <c r="N287" s="1425"/>
      <c r="O287" s="1425"/>
      <c r="P287" s="1425"/>
      <c r="Q287" s="1425"/>
      <c r="R287" s="1425"/>
      <c r="T287" s="3" t="s">
        <v>567</v>
      </c>
      <c r="V287" s="3"/>
      <c r="W287" s="3"/>
      <c r="X287" s="3"/>
      <c r="Y287" s="3"/>
      <c r="AA287" s="1416" t="s">
        <v>2694</v>
      </c>
      <c r="AB287" s="1425"/>
      <c r="AC287" s="1425"/>
      <c r="AD287" s="1425"/>
      <c r="AE287" s="1425"/>
      <c r="AF287" s="1425"/>
      <c r="AG287" s="1425"/>
      <c r="AH287" s="1425"/>
      <c r="AI287" s="1425"/>
      <c r="AJ287" s="1425"/>
      <c r="AK287" s="1425"/>
    </row>
    <row r="288" spans="1:51" ht="12.95" customHeight="1">
      <c r="B288" s="3" t="s">
        <v>471</v>
      </c>
      <c r="C288" s="3"/>
      <c r="D288" s="3"/>
      <c r="E288" s="3"/>
      <c r="F288" s="3"/>
      <c r="H288" s="1458" t="s">
        <v>2691</v>
      </c>
      <c r="I288" s="1458"/>
      <c r="J288" s="1458"/>
      <c r="K288" s="1458"/>
      <c r="L288" s="1458"/>
      <c r="M288" s="1458"/>
      <c r="N288" s="1458"/>
      <c r="O288" s="1458"/>
      <c r="P288" s="1458"/>
      <c r="Q288" s="1458"/>
      <c r="R288" s="1458"/>
      <c r="T288" s="3" t="s">
        <v>471</v>
      </c>
      <c r="V288" s="3"/>
      <c r="W288" s="3"/>
      <c r="X288" s="3"/>
      <c r="Y288" s="3"/>
      <c r="AA288" s="1557" t="s">
        <v>2728</v>
      </c>
      <c r="AB288" s="1458"/>
      <c r="AC288" s="1458"/>
      <c r="AD288" s="1458"/>
      <c r="AE288" s="1458"/>
      <c r="AF288" s="1458"/>
      <c r="AG288" s="1458"/>
      <c r="AH288" s="1458"/>
      <c r="AI288" s="1458"/>
      <c r="AJ288" s="1458"/>
      <c r="AK288" s="1458"/>
    </row>
    <row r="289" spans="2:37" ht="12.95" customHeight="1">
      <c r="B289" s="3" t="s">
        <v>472</v>
      </c>
      <c r="C289" s="3"/>
      <c r="D289" s="3"/>
      <c r="E289" s="3"/>
      <c r="F289" s="3"/>
      <c r="H289" s="1557" t="s">
        <v>2693</v>
      </c>
      <c r="I289" s="1458"/>
      <c r="J289" s="1458"/>
      <c r="K289" s="1458"/>
      <c r="L289" s="1458"/>
      <c r="M289" s="1458"/>
      <c r="N289" s="1458"/>
      <c r="O289" s="1458"/>
      <c r="P289" s="1458"/>
      <c r="Q289" s="1458"/>
      <c r="R289" s="1458"/>
      <c r="T289" s="3" t="s">
        <v>75</v>
      </c>
      <c r="V289" s="3"/>
      <c r="W289" s="3"/>
      <c r="X289" s="3"/>
      <c r="Y289" s="3"/>
      <c r="AA289" s="1557" t="s">
        <v>2695</v>
      </c>
      <c r="AB289" s="1458"/>
      <c r="AC289" s="1458"/>
      <c r="AD289" s="1458"/>
      <c r="AE289" s="1458"/>
      <c r="AF289" s="1458"/>
      <c r="AG289" s="1458"/>
      <c r="AH289" s="1458"/>
      <c r="AI289" s="1458"/>
      <c r="AJ289" s="1458"/>
      <c r="AK289" s="1458"/>
    </row>
    <row r="290" spans="2:37" ht="12.95" customHeight="1">
      <c r="B290" s="3" t="s">
        <v>87</v>
      </c>
      <c r="C290" s="3"/>
      <c r="D290" s="3"/>
      <c r="E290" s="3"/>
      <c r="F290" s="3"/>
      <c r="H290" s="1458" t="s">
        <v>2630</v>
      </c>
      <c r="I290" s="1458"/>
      <c r="J290" s="1458"/>
      <c r="K290" s="1458"/>
      <c r="L290" s="1458"/>
      <c r="M290" s="1458"/>
      <c r="N290" s="1458"/>
      <c r="O290" s="1458"/>
      <c r="P290" s="1458"/>
      <c r="Q290" s="1458"/>
      <c r="R290" s="1458"/>
      <c r="T290" s="3" t="s">
        <v>87</v>
      </c>
      <c r="V290" s="3"/>
      <c r="W290" s="3"/>
      <c r="X290" s="3"/>
      <c r="Y290" s="3"/>
      <c r="AA290" s="1458" t="s">
        <v>2727</v>
      </c>
      <c r="AB290" s="1458"/>
      <c r="AC290" s="1458"/>
      <c r="AD290" s="1458"/>
      <c r="AE290" s="1458"/>
      <c r="AF290" s="1458"/>
      <c r="AG290" s="1458"/>
      <c r="AH290" s="1458"/>
      <c r="AI290" s="1458"/>
      <c r="AJ290" s="1458"/>
      <c r="AK290" s="1458"/>
    </row>
    <row r="291" spans="2:37" ht="12.95" customHeight="1">
      <c r="B291" s="3" t="s">
        <v>88</v>
      </c>
      <c r="C291" s="3"/>
      <c r="D291" s="3"/>
      <c r="E291" s="3"/>
      <c r="F291" s="3"/>
      <c r="G291" s="3"/>
      <c r="H291" s="1424" t="s">
        <v>2692</v>
      </c>
      <c r="I291" s="1424"/>
      <c r="J291" s="1424"/>
      <c r="K291" s="1424"/>
      <c r="L291" s="1424"/>
      <c r="M291" s="1424"/>
      <c r="N291" s="4" t="s">
        <v>205</v>
      </c>
      <c r="O291" s="4"/>
      <c r="P291" s="1417"/>
      <c r="Q291" s="1417"/>
      <c r="R291" s="1417"/>
      <c r="S291" s="3"/>
      <c r="T291" s="3" t="s">
        <v>88</v>
      </c>
      <c r="V291" s="3"/>
      <c r="W291" s="3"/>
      <c r="X291" s="3"/>
      <c r="Y291" s="3"/>
      <c r="AA291" s="1783" t="s">
        <v>2729</v>
      </c>
      <c r="AB291" s="1424"/>
      <c r="AC291" s="1424"/>
      <c r="AD291" s="1424"/>
      <c r="AE291" s="1424"/>
      <c r="AF291" s="1424"/>
      <c r="AG291" s="4" t="s">
        <v>205</v>
      </c>
      <c r="AH291" s="4"/>
      <c r="AI291" s="1417">
        <v>203</v>
      </c>
      <c r="AJ291" s="1417"/>
      <c r="AK291" s="1417"/>
    </row>
    <row r="292" spans="2:37" ht="12.95" customHeight="1">
      <c r="B292" s="3" t="s">
        <v>89</v>
      </c>
      <c r="C292" s="3"/>
      <c r="D292" s="3"/>
      <c r="E292" s="3"/>
      <c r="F292" s="3"/>
      <c r="G292" s="3"/>
      <c r="H292" s="1459"/>
      <c r="I292" s="1459"/>
      <c r="J292" s="1459"/>
      <c r="K292" s="1459"/>
      <c r="L292" s="1459"/>
      <c r="M292" s="1459"/>
      <c r="N292" s="4"/>
      <c r="O292" s="4"/>
      <c r="P292" s="35"/>
      <c r="Q292" s="35"/>
      <c r="R292" s="35"/>
      <c r="S292" s="3"/>
      <c r="T292" s="3" t="s">
        <v>89</v>
      </c>
      <c r="V292" s="3"/>
      <c r="W292" s="3"/>
      <c r="X292" s="3"/>
      <c r="Y292" s="3"/>
      <c r="AA292" s="1459"/>
      <c r="AB292" s="1459"/>
      <c r="AC292" s="1459"/>
      <c r="AD292" s="1459"/>
      <c r="AE292" s="1459"/>
      <c r="AF292" s="1459"/>
      <c r="AG292" s="4"/>
      <c r="AH292" s="4"/>
      <c r="AI292" s="35"/>
      <c r="AJ292" s="35"/>
      <c r="AK292" s="35"/>
    </row>
    <row r="293" spans="2:37" ht="12.95" customHeight="1">
      <c r="B293" s="3" t="s">
        <v>76</v>
      </c>
      <c r="C293" s="3"/>
      <c r="D293" s="3"/>
      <c r="E293" s="3"/>
      <c r="F293" s="3"/>
      <c r="G293" s="3"/>
      <c r="H293" s="1458" t="s">
        <v>2632</v>
      </c>
      <c r="I293" s="1458"/>
      <c r="J293" s="1458"/>
      <c r="K293" s="1458"/>
      <c r="L293" s="1458"/>
      <c r="M293" s="1458"/>
      <c r="N293" s="1425"/>
      <c r="O293" s="1425"/>
      <c r="P293" s="1425"/>
      <c r="Q293" s="1425"/>
      <c r="R293" s="1425"/>
      <c r="S293" s="3"/>
      <c r="T293" s="3" t="s">
        <v>76</v>
      </c>
      <c r="V293" s="3"/>
      <c r="W293" s="3"/>
      <c r="X293" s="3"/>
      <c r="Y293" s="3"/>
      <c r="AA293" s="1458" t="s">
        <v>2730</v>
      </c>
      <c r="AB293" s="1458"/>
      <c r="AC293" s="1458"/>
      <c r="AD293" s="1458"/>
      <c r="AE293" s="1458"/>
      <c r="AF293" s="1458"/>
      <c r="AG293" s="1425"/>
      <c r="AH293" s="1425"/>
      <c r="AI293" s="1425"/>
      <c r="AJ293" s="1425"/>
      <c r="AK293" s="1425"/>
    </row>
    <row r="294" spans="2:37" ht="12.95"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row>
    <row r="295" spans="2:37" ht="12.95" customHeight="1">
      <c r="B295" s="3" t="s">
        <v>322</v>
      </c>
      <c r="C295" s="3"/>
      <c r="D295" s="3"/>
      <c r="E295" s="3"/>
      <c r="F295" s="3"/>
      <c r="H295" s="1425" t="s">
        <v>2634</v>
      </c>
      <c r="I295" s="1425"/>
      <c r="J295" s="1425"/>
      <c r="K295" s="1425"/>
      <c r="L295" s="1425"/>
      <c r="M295" s="1425"/>
      <c r="N295" s="1425"/>
      <c r="O295" s="1425"/>
      <c r="P295" s="1425"/>
      <c r="Q295" s="1425"/>
      <c r="R295" s="1425"/>
      <c r="T295" s="3" t="s">
        <v>363</v>
      </c>
      <c r="V295" s="3"/>
      <c r="W295" s="3"/>
      <c r="X295" s="3"/>
      <c r="Y295" s="3"/>
      <c r="AA295" s="1416" t="s">
        <v>2674</v>
      </c>
      <c r="AB295" s="1425"/>
      <c r="AC295" s="1425"/>
      <c r="AD295" s="1425"/>
      <c r="AE295" s="1425"/>
      <c r="AF295" s="1425"/>
      <c r="AG295" s="1425"/>
      <c r="AH295" s="1425"/>
      <c r="AI295" s="1425"/>
      <c r="AJ295" s="1425"/>
      <c r="AK295" s="1425"/>
    </row>
    <row r="296" spans="2:37" ht="12.95" customHeight="1">
      <c r="B296" s="3" t="s">
        <v>471</v>
      </c>
      <c r="C296" s="3"/>
      <c r="D296" s="3"/>
      <c r="E296" s="3"/>
      <c r="F296" s="3"/>
      <c r="H296" s="1458" t="s">
        <v>2635</v>
      </c>
      <c r="I296" s="1458"/>
      <c r="J296" s="1458"/>
      <c r="K296" s="1458"/>
      <c r="L296" s="1458"/>
      <c r="M296" s="1458"/>
      <c r="N296" s="1458"/>
      <c r="O296" s="1458"/>
      <c r="P296" s="1458"/>
      <c r="Q296" s="1458"/>
      <c r="R296" s="1458"/>
      <c r="T296" s="3" t="s">
        <v>471</v>
      </c>
      <c r="V296" s="3"/>
      <c r="W296" s="3"/>
      <c r="X296" s="3"/>
      <c r="Y296" s="3"/>
      <c r="AA296" s="1458"/>
      <c r="AB296" s="1458"/>
      <c r="AC296" s="1458"/>
      <c r="AD296" s="1458"/>
      <c r="AE296" s="1458"/>
      <c r="AF296" s="1458"/>
      <c r="AG296" s="1458"/>
      <c r="AH296" s="1458"/>
      <c r="AI296" s="1458"/>
      <c r="AJ296" s="1458"/>
      <c r="AK296" s="1458"/>
    </row>
    <row r="297" spans="2:37" ht="12.95" customHeight="1">
      <c r="B297" s="3" t="s">
        <v>472</v>
      </c>
      <c r="C297" s="3"/>
      <c r="D297" s="3"/>
      <c r="E297" s="3"/>
      <c r="F297" s="3"/>
      <c r="H297" s="1458" t="s">
        <v>2636</v>
      </c>
      <c r="I297" s="1458"/>
      <c r="J297" s="1458"/>
      <c r="K297" s="1458"/>
      <c r="L297" s="1458"/>
      <c r="M297" s="1458"/>
      <c r="N297" s="1458"/>
      <c r="O297" s="1458"/>
      <c r="P297" s="1458"/>
      <c r="Q297" s="1458"/>
      <c r="R297" s="1458"/>
      <c r="T297" s="3" t="s">
        <v>75</v>
      </c>
      <c r="V297" s="3"/>
      <c r="W297" s="3"/>
      <c r="X297" s="3"/>
      <c r="Y297" s="3"/>
      <c r="AA297" s="1458"/>
      <c r="AB297" s="1458"/>
      <c r="AC297" s="1458"/>
      <c r="AD297" s="1458"/>
      <c r="AE297" s="1458"/>
      <c r="AF297" s="1458"/>
      <c r="AG297" s="1458"/>
      <c r="AH297" s="1458"/>
      <c r="AI297" s="1458"/>
      <c r="AJ297" s="1458"/>
      <c r="AK297" s="1458"/>
    </row>
    <row r="298" spans="2:37" ht="12.95" customHeight="1">
      <c r="B298" s="3" t="s">
        <v>87</v>
      </c>
      <c r="C298" s="3"/>
      <c r="D298" s="3"/>
      <c r="E298" s="3"/>
      <c r="F298" s="3"/>
      <c r="H298" s="1458" t="s">
        <v>2637</v>
      </c>
      <c r="I298" s="1458"/>
      <c r="J298" s="1458"/>
      <c r="K298" s="1458"/>
      <c r="L298" s="1458"/>
      <c r="M298" s="1458"/>
      <c r="N298" s="1458"/>
      <c r="O298" s="1458"/>
      <c r="P298" s="1458"/>
      <c r="Q298" s="1458"/>
      <c r="R298" s="1458"/>
      <c r="T298" s="3" t="s">
        <v>87</v>
      </c>
      <c r="V298" s="3"/>
      <c r="W298" s="3"/>
      <c r="X298" s="3"/>
      <c r="Y298" s="3"/>
      <c r="AA298" s="1458"/>
      <c r="AB298" s="1458"/>
      <c r="AC298" s="1458"/>
      <c r="AD298" s="1458"/>
      <c r="AE298" s="1458"/>
      <c r="AF298" s="1458"/>
      <c r="AG298" s="1458"/>
      <c r="AH298" s="1458"/>
      <c r="AI298" s="1458"/>
      <c r="AJ298" s="1458"/>
      <c r="AK298" s="1458"/>
    </row>
    <row r="299" spans="2:37" ht="12.95" customHeight="1">
      <c r="B299" s="3" t="s">
        <v>88</v>
      </c>
      <c r="C299" s="3"/>
      <c r="D299" s="3"/>
      <c r="E299" s="3"/>
      <c r="F299" s="3"/>
      <c r="G299" s="3"/>
      <c r="H299" s="1424" t="s">
        <v>2638</v>
      </c>
      <c r="I299" s="1424"/>
      <c r="J299" s="1424"/>
      <c r="K299" s="1424"/>
      <c r="L299" s="1424"/>
      <c r="M299" s="1424"/>
      <c r="N299" s="4" t="s">
        <v>205</v>
      </c>
      <c r="O299" s="4"/>
      <c r="P299" s="1417"/>
      <c r="Q299" s="1417"/>
      <c r="R299" s="1417"/>
      <c r="S299" s="3"/>
      <c r="T299" s="3" t="s">
        <v>88</v>
      </c>
      <c r="V299" s="3"/>
      <c r="W299" s="3"/>
      <c r="X299" s="3"/>
      <c r="Y299" s="3"/>
      <c r="AA299" s="1424"/>
      <c r="AB299" s="1424"/>
      <c r="AC299" s="1424"/>
      <c r="AD299" s="1424"/>
      <c r="AE299" s="1424"/>
      <c r="AF299" s="1424"/>
      <c r="AG299" s="4" t="s">
        <v>205</v>
      </c>
      <c r="AH299" s="4"/>
      <c r="AI299" s="1417"/>
      <c r="AJ299" s="1417"/>
      <c r="AK299" s="1417"/>
    </row>
    <row r="300" spans="2:37" ht="12.95" customHeight="1">
      <c r="B300" s="3" t="s">
        <v>89</v>
      </c>
      <c r="C300" s="3"/>
      <c r="D300" s="3"/>
      <c r="E300" s="3"/>
      <c r="F300" s="3"/>
      <c r="G300" s="3"/>
      <c r="H300" s="1459"/>
      <c r="I300" s="1459"/>
      <c r="J300" s="1459"/>
      <c r="K300" s="1459"/>
      <c r="L300" s="1459"/>
      <c r="M300" s="1459"/>
      <c r="N300" s="4"/>
      <c r="O300" s="4"/>
      <c r="P300" s="35"/>
      <c r="Q300" s="35"/>
      <c r="R300" s="35"/>
      <c r="S300" s="3"/>
      <c r="T300" s="3" t="s">
        <v>89</v>
      </c>
      <c r="V300" s="3"/>
      <c r="W300" s="3"/>
      <c r="X300" s="3"/>
      <c r="Y300" s="3"/>
      <c r="AA300" s="1459"/>
      <c r="AB300" s="1459"/>
      <c r="AC300" s="1459"/>
      <c r="AD300" s="1459"/>
      <c r="AE300" s="1459"/>
      <c r="AF300" s="1459"/>
      <c r="AG300" s="4"/>
      <c r="AH300" s="4"/>
      <c r="AI300" s="35"/>
      <c r="AJ300" s="35"/>
      <c r="AK300" s="35"/>
    </row>
    <row r="301" spans="2:37" ht="12.95" customHeight="1">
      <c r="B301" s="3" t="s">
        <v>76</v>
      </c>
      <c r="C301" s="3"/>
      <c r="D301" s="3"/>
      <c r="E301" s="3"/>
      <c r="F301" s="3"/>
      <c r="G301" s="3"/>
      <c r="H301" s="1458" t="s">
        <v>2639</v>
      </c>
      <c r="I301" s="1458"/>
      <c r="J301" s="1458"/>
      <c r="K301" s="1458"/>
      <c r="L301" s="1458"/>
      <c r="M301" s="1458"/>
      <c r="N301" s="1425"/>
      <c r="O301" s="1425"/>
      <c r="P301" s="1425"/>
      <c r="Q301" s="1425"/>
      <c r="R301" s="1425"/>
      <c r="S301" s="3"/>
      <c r="T301" s="3" t="s">
        <v>76</v>
      </c>
      <c r="V301" s="3"/>
      <c r="W301" s="3"/>
      <c r="X301" s="3"/>
      <c r="Y301" s="3"/>
      <c r="AA301" s="1458"/>
      <c r="AB301" s="1458"/>
      <c r="AC301" s="1458"/>
      <c r="AD301" s="1458"/>
      <c r="AE301" s="1458"/>
      <c r="AF301" s="1458"/>
      <c r="AG301" s="1425"/>
      <c r="AH301" s="1425"/>
      <c r="AI301" s="1425"/>
      <c r="AJ301" s="1425"/>
      <c r="AK301" s="1425"/>
    </row>
    <row r="302" spans="2:37" ht="12.95" customHeight="1"/>
    <row r="303" spans="2:37" ht="12.95" customHeight="1">
      <c r="B303" s="3" t="s">
        <v>77</v>
      </c>
      <c r="C303" s="3"/>
      <c r="D303" s="3"/>
      <c r="E303" s="3"/>
      <c r="F303" s="3"/>
      <c r="H303" s="1425" t="s">
        <v>2640</v>
      </c>
      <c r="I303" s="1425"/>
      <c r="J303" s="1425"/>
      <c r="K303" s="1425"/>
      <c r="L303" s="1425"/>
      <c r="M303" s="1425"/>
      <c r="N303" s="1425"/>
      <c r="O303" s="1425"/>
      <c r="P303" s="1425"/>
      <c r="Q303" s="1425"/>
      <c r="R303" s="1425"/>
      <c r="T303" s="4" t="s">
        <v>878</v>
      </c>
      <c r="V303" s="3"/>
      <c r="W303" s="3"/>
      <c r="X303" s="3"/>
      <c r="Y303" s="3"/>
      <c r="AA303" s="1425" t="s">
        <v>2731</v>
      </c>
      <c r="AB303" s="1425"/>
      <c r="AC303" s="1425"/>
      <c r="AD303" s="1425"/>
      <c r="AE303" s="1425"/>
      <c r="AF303" s="1425"/>
      <c r="AG303" s="1425"/>
      <c r="AH303" s="1425"/>
      <c r="AI303" s="1425"/>
      <c r="AJ303" s="1425"/>
      <c r="AK303" s="1425"/>
    </row>
    <row r="304" spans="2:37" ht="12.95" customHeight="1">
      <c r="B304" s="3" t="s">
        <v>471</v>
      </c>
      <c r="C304" s="3"/>
      <c r="D304" s="3"/>
      <c r="E304" s="3"/>
      <c r="F304" s="3"/>
      <c r="H304" s="1458" t="s">
        <v>2641</v>
      </c>
      <c r="I304" s="1458"/>
      <c r="J304" s="1458"/>
      <c r="K304" s="1458"/>
      <c r="L304" s="1458"/>
      <c r="M304" s="1458"/>
      <c r="N304" s="1458"/>
      <c r="O304" s="1458"/>
      <c r="P304" s="1458"/>
      <c r="Q304" s="1458"/>
      <c r="R304" s="1458"/>
      <c r="T304" s="3" t="s">
        <v>471</v>
      </c>
      <c r="V304" s="3"/>
      <c r="W304" s="3"/>
      <c r="X304" s="3"/>
      <c r="Y304" s="3"/>
      <c r="AA304" s="1458" t="s">
        <v>2732</v>
      </c>
      <c r="AB304" s="1458"/>
      <c r="AC304" s="1458"/>
      <c r="AD304" s="1458"/>
      <c r="AE304" s="1458"/>
      <c r="AF304" s="1458"/>
      <c r="AG304" s="1458"/>
      <c r="AH304" s="1458"/>
      <c r="AI304" s="1458"/>
      <c r="AJ304" s="1458"/>
      <c r="AK304" s="1458"/>
    </row>
    <row r="305" spans="2:37" ht="12.95" customHeight="1">
      <c r="B305" s="3" t="s">
        <v>472</v>
      </c>
      <c r="C305" s="3"/>
      <c r="D305" s="3"/>
      <c r="E305" s="3"/>
      <c r="F305" s="3"/>
      <c r="H305" s="1458" t="s">
        <v>2642</v>
      </c>
      <c r="I305" s="1458"/>
      <c r="J305" s="1458"/>
      <c r="K305" s="1458"/>
      <c r="L305" s="1458"/>
      <c r="M305" s="1458"/>
      <c r="N305" s="1458"/>
      <c r="O305" s="1458"/>
      <c r="P305" s="1458"/>
      <c r="Q305" s="1458"/>
      <c r="R305" s="1458"/>
      <c r="T305" s="3" t="s">
        <v>75</v>
      </c>
      <c r="V305" s="3"/>
      <c r="W305" s="3"/>
      <c r="X305" s="3"/>
      <c r="Y305" s="3"/>
      <c r="AA305" s="1458" t="s">
        <v>2733</v>
      </c>
      <c r="AB305" s="1458"/>
      <c r="AC305" s="1458"/>
      <c r="AD305" s="1458"/>
      <c r="AE305" s="1458"/>
      <c r="AF305" s="1458"/>
      <c r="AG305" s="1458"/>
      <c r="AH305" s="1458"/>
      <c r="AI305" s="1458"/>
      <c r="AJ305" s="1458"/>
      <c r="AK305" s="1458"/>
    </row>
    <row r="306" spans="2:37" ht="12.95" customHeight="1">
      <c r="B306" s="3" t="s">
        <v>87</v>
      </c>
      <c r="C306" s="3"/>
      <c r="D306" s="3"/>
      <c r="E306" s="3"/>
      <c r="F306" s="3"/>
      <c r="H306" s="1458" t="s">
        <v>2643</v>
      </c>
      <c r="I306" s="1458"/>
      <c r="J306" s="1458"/>
      <c r="K306" s="1458"/>
      <c r="L306" s="1458"/>
      <c r="M306" s="1458"/>
      <c r="N306" s="1458"/>
      <c r="O306" s="1458"/>
      <c r="P306" s="1458"/>
      <c r="Q306" s="1458"/>
      <c r="R306" s="1458"/>
      <c r="T306" s="3" t="s">
        <v>87</v>
      </c>
      <c r="V306" s="3"/>
      <c r="W306" s="3"/>
      <c r="X306" s="3"/>
      <c r="Y306" s="3"/>
      <c r="AA306" s="1458" t="s">
        <v>2734</v>
      </c>
      <c r="AB306" s="1458"/>
      <c r="AC306" s="1458"/>
      <c r="AD306" s="1458"/>
      <c r="AE306" s="1458"/>
      <c r="AF306" s="1458"/>
      <c r="AG306" s="1458"/>
      <c r="AH306" s="1458"/>
      <c r="AI306" s="1458"/>
      <c r="AJ306" s="1458"/>
      <c r="AK306" s="1458"/>
    </row>
    <row r="307" spans="2:37" ht="12.95" customHeight="1">
      <c r="B307" s="3" t="s">
        <v>88</v>
      </c>
      <c r="C307" s="3"/>
      <c r="D307" s="3"/>
      <c r="E307" s="3"/>
      <c r="F307" s="3"/>
      <c r="G307" s="3"/>
      <c r="H307" s="1424" t="s">
        <v>2644</v>
      </c>
      <c r="I307" s="1424"/>
      <c r="J307" s="1424"/>
      <c r="K307" s="1424"/>
      <c r="L307" s="1424"/>
      <c r="M307" s="1424"/>
      <c r="N307" s="4" t="s">
        <v>205</v>
      </c>
      <c r="O307" s="4"/>
      <c r="P307" s="1417"/>
      <c r="Q307" s="1417"/>
      <c r="R307" s="1417"/>
      <c r="S307" s="3"/>
      <c r="T307" s="3" t="s">
        <v>88</v>
      </c>
      <c r="V307" s="3"/>
      <c r="W307" s="3"/>
      <c r="X307" s="3"/>
      <c r="Y307" s="3"/>
      <c r="AA307" s="1783" t="s">
        <v>2735</v>
      </c>
      <c r="AB307" s="1424"/>
      <c r="AC307" s="1424"/>
      <c r="AD307" s="1424"/>
      <c r="AE307" s="1424"/>
      <c r="AF307" s="1424"/>
      <c r="AG307" s="4" t="s">
        <v>205</v>
      </c>
      <c r="AH307" s="4"/>
      <c r="AI307" s="1417"/>
      <c r="AJ307" s="1417"/>
      <c r="AK307" s="1417"/>
    </row>
    <row r="308" spans="2:37" ht="12.95" customHeight="1">
      <c r="B308" s="3" t="s">
        <v>89</v>
      </c>
      <c r="C308" s="3"/>
      <c r="D308" s="3"/>
      <c r="E308" s="3"/>
      <c r="F308" s="3"/>
      <c r="G308" s="3"/>
      <c r="H308" s="1459"/>
      <c r="I308" s="1459"/>
      <c r="J308" s="1459"/>
      <c r="K308" s="1459"/>
      <c r="L308" s="1459"/>
      <c r="M308" s="1459"/>
      <c r="N308" s="4"/>
      <c r="O308" s="4"/>
      <c r="P308" s="35"/>
      <c r="Q308" s="35"/>
      <c r="R308" s="35"/>
      <c r="S308" s="3"/>
      <c r="T308" s="3" t="s">
        <v>89</v>
      </c>
      <c r="V308" s="3"/>
      <c r="W308" s="3"/>
      <c r="X308" s="3"/>
      <c r="Y308" s="3"/>
      <c r="AA308" s="1459"/>
      <c r="AB308" s="1459"/>
      <c r="AC308" s="1459"/>
      <c r="AD308" s="1459"/>
      <c r="AE308" s="1459"/>
      <c r="AF308" s="1459"/>
      <c r="AG308" s="4"/>
      <c r="AH308" s="4"/>
      <c r="AI308" s="35"/>
      <c r="AJ308" s="35"/>
      <c r="AK308" s="35"/>
    </row>
    <row r="309" spans="2:37" ht="12.95" customHeight="1">
      <c r="B309" s="3" t="s">
        <v>76</v>
      </c>
      <c r="C309" s="3"/>
      <c r="D309" s="3"/>
      <c r="E309" s="3"/>
      <c r="F309" s="3"/>
      <c r="G309" s="3"/>
      <c r="H309" s="1458" t="s">
        <v>2645</v>
      </c>
      <c r="I309" s="1458"/>
      <c r="J309" s="1458"/>
      <c r="K309" s="1458"/>
      <c r="L309" s="1458"/>
      <c r="M309" s="1458"/>
      <c r="N309" s="1425"/>
      <c r="O309" s="1425"/>
      <c r="P309" s="1425"/>
      <c r="Q309" s="1425"/>
      <c r="R309" s="1425"/>
      <c r="S309" s="3"/>
      <c r="T309" s="3" t="s">
        <v>76</v>
      </c>
      <c r="V309" s="3"/>
      <c r="W309" s="3"/>
      <c r="X309" s="3"/>
      <c r="Y309" s="3"/>
      <c r="AA309" s="1458" t="s">
        <v>2736</v>
      </c>
      <c r="AB309" s="1458"/>
      <c r="AC309" s="1458"/>
      <c r="AD309" s="1458"/>
      <c r="AE309" s="1458"/>
      <c r="AF309" s="1458"/>
      <c r="AG309" s="1425"/>
      <c r="AH309" s="1425"/>
      <c r="AI309" s="1425"/>
      <c r="AJ309" s="1425"/>
      <c r="AK309" s="1425"/>
    </row>
    <row r="310" spans="2:37" ht="12.95"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row>
    <row r="311" spans="2:37" ht="12.95" customHeight="1">
      <c r="B311" s="4" t="s">
        <v>907</v>
      </c>
      <c r="C311" s="3"/>
      <c r="D311" s="3"/>
      <c r="E311" s="3"/>
      <c r="F311" s="3"/>
      <c r="H311" s="1425" t="s">
        <v>2640</v>
      </c>
      <c r="I311" s="1425"/>
      <c r="J311" s="1425"/>
      <c r="K311" s="1425"/>
      <c r="L311" s="1425"/>
      <c r="M311" s="1425"/>
      <c r="N311" s="1425"/>
      <c r="O311" s="1425"/>
      <c r="P311" s="1425"/>
      <c r="Q311" s="1425"/>
      <c r="R311" s="1425"/>
      <c r="S311" s="3"/>
      <c r="T311" s="3" t="s">
        <v>364</v>
      </c>
      <c r="V311" s="3"/>
      <c r="W311" s="3"/>
      <c r="X311" s="3"/>
      <c r="Y311" s="3"/>
      <c r="AA311" s="1416" t="s">
        <v>2674</v>
      </c>
      <c r="AB311" s="1425"/>
      <c r="AC311" s="1425"/>
      <c r="AD311" s="1425"/>
      <c r="AE311" s="1425"/>
      <c r="AF311" s="1425"/>
      <c r="AG311" s="1425"/>
      <c r="AH311" s="1425"/>
      <c r="AI311" s="1425"/>
      <c r="AJ311" s="1425"/>
      <c r="AK311" s="1425"/>
    </row>
    <row r="312" spans="2:37" ht="12.95" customHeight="1">
      <c r="B312" s="3" t="s">
        <v>471</v>
      </c>
      <c r="C312" s="3"/>
      <c r="D312" s="3"/>
      <c r="E312" s="3"/>
      <c r="F312" s="3"/>
      <c r="H312" s="1458" t="s">
        <v>2641</v>
      </c>
      <c r="I312" s="1458"/>
      <c r="J312" s="1458"/>
      <c r="K312" s="1458"/>
      <c r="L312" s="1458"/>
      <c r="M312" s="1458"/>
      <c r="N312" s="1458"/>
      <c r="O312" s="1458"/>
      <c r="P312" s="1458"/>
      <c r="Q312" s="1458"/>
      <c r="R312" s="1458"/>
      <c r="S312" s="3"/>
      <c r="T312" s="3" t="s">
        <v>471</v>
      </c>
      <c r="V312" s="3"/>
      <c r="W312" s="3"/>
      <c r="X312" s="3"/>
      <c r="Y312" s="3"/>
      <c r="AA312" s="1458"/>
      <c r="AB312" s="1458"/>
      <c r="AC312" s="1458"/>
      <c r="AD312" s="1458"/>
      <c r="AE312" s="1458"/>
      <c r="AF312" s="1458"/>
      <c r="AG312" s="1458"/>
      <c r="AH312" s="1458"/>
      <c r="AI312" s="1458"/>
      <c r="AJ312" s="1458"/>
      <c r="AK312" s="1458"/>
    </row>
    <row r="313" spans="2:37" ht="12.95" customHeight="1">
      <c r="B313" s="3" t="s">
        <v>472</v>
      </c>
      <c r="C313" s="3"/>
      <c r="D313" s="3"/>
      <c r="E313" s="3"/>
      <c r="F313" s="3"/>
      <c r="H313" s="1458" t="s">
        <v>2642</v>
      </c>
      <c r="I313" s="1458"/>
      <c r="J313" s="1458"/>
      <c r="K313" s="1458"/>
      <c r="L313" s="1458"/>
      <c r="M313" s="1458"/>
      <c r="N313" s="1458"/>
      <c r="O313" s="1458"/>
      <c r="P313" s="1458"/>
      <c r="Q313" s="1458"/>
      <c r="R313" s="1458"/>
      <c r="S313" s="3"/>
      <c r="T313" s="3" t="s">
        <v>75</v>
      </c>
      <c r="V313" s="3"/>
      <c r="W313" s="3"/>
      <c r="X313" s="3"/>
      <c r="Y313" s="3"/>
      <c r="AA313" s="1458"/>
      <c r="AB313" s="1458"/>
      <c r="AC313" s="1458"/>
      <c r="AD313" s="1458"/>
      <c r="AE313" s="1458"/>
      <c r="AF313" s="1458"/>
      <c r="AG313" s="1458"/>
      <c r="AH313" s="1458"/>
      <c r="AI313" s="1458"/>
      <c r="AJ313" s="1458"/>
      <c r="AK313" s="1458"/>
    </row>
    <row r="314" spans="2:37" ht="12.95" customHeight="1">
      <c r="B314" s="3" t="s">
        <v>87</v>
      </c>
      <c r="C314" s="3"/>
      <c r="D314" s="3"/>
      <c r="E314" s="3"/>
      <c r="F314" s="3"/>
      <c r="H314" s="1458" t="s">
        <v>2643</v>
      </c>
      <c r="I314" s="1458"/>
      <c r="J314" s="1458"/>
      <c r="K314" s="1458"/>
      <c r="L314" s="1458"/>
      <c r="M314" s="1458"/>
      <c r="N314" s="1458"/>
      <c r="O314" s="1458"/>
      <c r="P314" s="1458"/>
      <c r="Q314" s="1458"/>
      <c r="R314" s="1458"/>
      <c r="S314" s="3"/>
      <c r="T314" s="3" t="s">
        <v>87</v>
      </c>
      <c r="V314" s="3"/>
      <c r="W314" s="3"/>
      <c r="X314" s="3"/>
      <c r="Y314" s="3"/>
      <c r="AA314" s="1458"/>
      <c r="AB314" s="1458"/>
      <c r="AC314" s="1458"/>
      <c r="AD314" s="1458"/>
      <c r="AE314" s="1458"/>
      <c r="AF314" s="1458"/>
      <c r="AG314" s="1458"/>
      <c r="AH314" s="1458"/>
      <c r="AI314" s="1458"/>
      <c r="AJ314" s="1458"/>
      <c r="AK314" s="1458"/>
    </row>
    <row r="315" spans="2:37" ht="12.95" customHeight="1">
      <c r="B315" s="3" t="s">
        <v>88</v>
      </c>
      <c r="C315" s="3"/>
      <c r="D315" s="3"/>
      <c r="E315" s="3"/>
      <c r="F315" s="3"/>
      <c r="G315" s="3"/>
      <c r="H315" s="1424" t="s">
        <v>2644</v>
      </c>
      <c r="I315" s="1424"/>
      <c r="J315" s="1424"/>
      <c r="K315" s="1424"/>
      <c r="L315" s="1424"/>
      <c r="M315" s="1424"/>
      <c r="N315" s="4" t="s">
        <v>205</v>
      </c>
      <c r="O315" s="4"/>
      <c r="P315" s="1417"/>
      <c r="Q315" s="1417"/>
      <c r="R315" s="1417"/>
      <c r="S315" s="3"/>
      <c r="T315" s="3" t="s">
        <v>88</v>
      </c>
      <c r="V315" s="3"/>
      <c r="W315" s="3"/>
      <c r="X315" s="3"/>
      <c r="Y315" s="3"/>
      <c r="AA315" s="1424"/>
      <c r="AB315" s="1424"/>
      <c r="AC315" s="1424"/>
      <c r="AD315" s="1424"/>
      <c r="AE315" s="1424"/>
      <c r="AF315" s="1424"/>
      <c r="AG315" s="4" t="s">
        <v>205</v>
      </c>
      <c r="AH315" s="4"/>
      <c r="AI315" s="1417"/>
      <c r="AJ315" s="1417"/>
      <c r="AK315" s="1417"/>
    </row>
    <row r="316" spans="2:37" ht="12.95" customHeight="1">
      <c r="B316" s="3" t="s">
        <v>89</v>
      </c>
      <c r="C316" s="3"/>
      <c r="D316" s="3"/>
      <c r="E316" s="3"/>
      <c r="F316" s="3"/>
      <c r="G316" s="3"/>
      <c r="H316" s="1459"/>
      <c r="I316" s="1459"/>
      <c r="J316" s="1459"/>
      <c r="K316" s="1459"/>
      <c r="L316" s="1459"/>
      <c r="M316" s="1459"/>
      <c r="N316" s="4"/>
      <c r="O316" s="4"/>
      <c r="P316" s="35"/>
      <c r="Q316" s="35"/>
      <c r="R316" s="35"/>
      <c r="S316" s="3"/>
      <c r="T316" s="3" t="s">
        <v>89</v>
      </c>
      <c r="V316" s="3"/>
      <c r="W316" s="3"/>
      <c r="X316" s="3"/>
      <c r="Y316" s="3"/>
      <c r="AA316" s="1459"/>
      <c r="AB316" s="1459"/>
      <c r="AC316" s="1459"/>
      <c r="AD316" s="1459"/>
      <c r="AE316" s="1459"/>
      <c r="AF316" s="1459"/>
      <c r="AG316" s="4"/>
      <c r="AH316" s="4"/>
      <c r="AI316" s="35"/>
      <c r="AJ316" s="35"/>
      <c r="AK316" s="35"/>
    </row>
    <row r="317" spans="2:37" ht="12.95" customHeight="1">
      <c r="B317" s="3" t="s">
        <v>76</v>
      </c>
      <c r="C317" s="3"/>
      <c r="D317" s="3"/>
      <c r="E317" s="3"/>
      <c r="F317" s="3"/>
      <c r="G317" s="3"/>
      <c r="H317" s="1458" t="s">
        <v>2645</v>
      </c>
      <c r="I317" s="1458"/>
      <c r="J317" s="1458"/>
      <c r="K317" s="1458"/>
      <c r="L317" s="1458"/>
      <c r="M317" s="1458"/>
      <c r="N317" s="1425"/>
      <c r="O317" s="1425"/>
      <c r="P317" s="1425"/>
      <c r="Q317" s="1425"/>
      <c r="R317" s="1425"/>
      <c r="S317" s="3"/>
      <c r="T317" s="3" t="s">
        <v>76</v>
      </c>
      <c r="V317" s="3"/>
      <c r="W317" s="3"/>
      <c r="X317" s="3"/>
      <c r="Y317" s="3"/>
      <c r="AA317" s="1458"/>
      <c r="AB317" s="1458"/>
      <c r="AC317" s="1458"/>
      <c r="AD317" s="1458"/>
      <c r="AE317" s="1458"/>
      <c r="AF317" s="1458"/>
      <c r="AG317" s="1425"/>
      <c r="AH317" s="1425"/>
      <c r="AI317" s="1425"/>
      <c r="AJ317" s="1425"/>
      <c r="AK317" s="1425"/>
    </row>
    <row r="318" spans="2:37" ht="12.95" customHeight="1"/>
    <row r="319" spans="2:37" ht="12.95" customHeight="1">
      <c r="B319" s="4" t="s">
        <v>908</v>
      </c>
      <c r="C319" s="3"/>
      <c r="D319" s="3"/>
      <c r="E319" s="3"/>
      <c r="F319" s="3"/>
      <c r="H319" s="1425" t="s">
        <v>2646</v>
      </c>
      <c r="I319" s="1425"/>
      <c r="J319" s="1425"/>
      <c r="K319" s="1425"/>
      <c r="L319" s="1425"/>
      <c r="M319" s="1425"/>
      <c r="N319" s="1425"/>
      <c r="O319" s="1425"/>
      <c r="P319" s="1425"/>
      <c r="Q319" s="1425"/>
      <c r="R319" s="1425"/>
      <c r="T319" s="3" t="s">
        <v>365</v>
      </c>
      <c r="V319" s="3"/>
      <c r="W319" s="3"/>
      <c r="X319" s="3"/>
      <c r="Y319" s="3"/>
      <c r="AA319" s="1416" t="s">
        <v>2675</v>
      </c>
      <c r="AB319" s="1425"/>
      <c r="AC319" s="1425"/>
      <c r="AD319" s="1425"/>
      <c r="AE319" s="1425"/>
      <c r="AF319" s="1425"/>
      <c r="AG319" s="1425"/>
      <c r="AH319" s="1425"/>
      <c r="AI319" s="1425"/>
      <c r="AJ319" s="1425"/>
      <c r="AK319" s="1425"/>
    </row>
    <row r="320" spans="2:37" ht="12.95" customHeight="1">
      <c r="B320" s="3" t="s">
        <v>471</v>
      </c>
      <c r="C320" s="3"/>
      <c r="D320" s="3"/>
      <c r="E320" s="3"/>
      <c r="F320" s="3"/>
      <c r="H320" s="1458" t="s">
        <v>2647</v>
      </c>
      <c r="I320" s="1458"/>
      <c r="J320" s="1458"/>
      <c r="K320" s="1458"/>
      <c r="L320" s="1458"/>
      <c r="M320" s="1458"/>
      <c r="N320" s="1458"/>
      <c r="O320" s="1458"/>
      <c r="P320" s="1458"/>
      <c r="Q320" s="1458"/>
      <c r="R320" s="1458"/>
      <c r="T320" s="3" t="s">
        <v>471</v>
      </c>
      <c r="V320" s="3"/>
      <c r="W320" s="3"/>
      <c r="X320" s="3"/>
      <c r="Y320" s="3"/>
      <c r="AA320" s="1557" t="s">
        <v>2676</v>
      </c>
      <c r="AB320" s="1458"/>
      <c r="AC320" s="1458"/>
      <c r="AD320" s="1458"/>
      <c r="AE320" s="1458"/>
      <c r="AF320" s="1458"/>
      <c r="AG320" s="1458"/>
      <c r="AH320" s="1458"/>
      <c r="AI320" s="1458"/>
      <c r="AJ320" s="1458"/>
      <c r="AK320" s="1458"/>
    </row>
    <row r="321" spans="2:37" ht="12.95" customHeight="1">
      <c r="B321" s="3" t="s">
        <v>472</v>
      </c>
      <c r="C321" s="3"/>
      <c r="D321" s="3"/>
      <c r="E321" s="3"/>
      <c r="F321" s="3"/>
      <c r="H321" s="1458" t="s">
        <v>2648</v>
      </c>
      <c r="I321" s="1458"/>
      <c r="J321" s="1458"/>
      <c r="K321" s="1458"/>
      <c r="L321" s="1458"/>
      <c r="M321" s="1458"/>
      <c r="N321" s="1458"/>
      <c r="O321" s="1458"/>
      <c r="P321" s="1458"/>
      <c r="Q321" s="1458"/>
      <c r="R321" s="1458"/>
      <c r="T321" s="3" t="s">
        <v>75</v>
      </c>
      <c r="V321" s="3"/>
      <c r="W321" s="3"/>
      <c r="X321" s="3"/>
      <c r="Y321" s="3"/>
      <c r="AA321" s="1557" t="s">
        <v>2677</v>
      </c>
      <c r="AB321" s="1458"/>
      <c r="AC321" s="1458"/>
      <c r="AD321" s="1458"/>
      <c r="AE321" s="1458"/>
      <c r="AF321" s="1458"/>
      <c r="AG321" s="1458"/>
      <c r="AH321" s="1458"/>
      <c r="AI321" s="1458"/>
      <c r="AJ321" s="1458"/>
      <c r="AK321" s="1458"/>
    </row>
    <row r="322" spans="2:37" ht="12.95" customHeight="1">
      <c r="B322" s="3" t="s">
        <v>87</v>
      </c>
      <c r="C322" s="3"/>
      <c r="D322" s="3"/>
      <c r="E322" s="3"/>
      <c r="F322" s="3"/>
      <c r="H322" s="1458" t="s">
        <v>2649</v>
      </c>
      <c r="I322" s="1458"/>
      <c r="J322" s="1458"/>
      <c r="K322" s="1458"/>
      <c r="L322" s="1458"/>
      <c r="M322" s="1458"/>
      <c r="N322" s="1458"/>
      <c r="O322" s="1458"/>
      <c r="P322" s="1458"/>
      <c r="Q322" s="1458"/>
      <c r="R322" s="1458"/>
      <c r="T322" s="3" t="s">
        <v>87</v>
      </c>
      <c r="V322" s="3"/>
      <c r="W322" s="3"/>
      <c r="X322" s="3"/>
      <c r="Y322" s="3"/>
      <c r="AA322" s="1557" t="s">
        <v>2678</v>
      </c>
      <c r="AB322" s="1458"/>
      <c r="AC322" s="1458"/>
      <c r="AD322" s="1458"/>
      <c r="AE322" s="1458"/>
      <c r="AF322" s="1458"/>
      <c r="AG322" s="1458"/>
      <c r="AH322" s="1458"/>
      <c r="AI322" s="1458"/>
      <c r="AJ322" s="1458"/>
      <c r="AK322" s="1458"/>
    </row>
    <row r="323" spans="2:37" ht="12.95" customHeight="1">
      <c r="B323" s="3" t="s">
        <v>88</v>
      </c>
      <c r="C323" s="3"/>
      <c r="D323" s="3"/>
      <c r="E323" s="3"/>
      <c r="F323" s="3"/>
      <c r="G323" s="3"/>
      <c r="H323" s="1424" t="s">
        <v>2650</v>
      </c>
      <c r="I323" s="1424"/>
      <c r="J323" s="1424"/>
      <c r="K323" s="1424"/>
      <c r="L323" s="1424"/>
      <c r="M323" s="1424"/>
      <c r="N323" s="4" t="s">
        <v>205</v>
      </c>
      <c r="O323" s="4"/>
      <c r="P323" s="1417"/>
      <c r="Q323" s="1417"/>
      <c r="R323" s="1417"/>
      <c r="S323" s="3"/>
      <c r="T323" s="3" t="s">
        <v>88</v>
      </c>
      <c r="V323" s="3"/>
      <c r="W323" s="3"/>
      <c r="X323" s="3"/>
      <c r="Y323" s="3"/>
      <c r="AA323" s="1783" t="s">
        <v>2679</v>
      </c>
      <c r="AB323" s="1424"/>
      <c r="AC323" s="1424"/>
      <c r="AD323" s="1424"/>
      <c r="AE323" s="1424"/>
      <c r="AF323" s="1424"/>
      <c r="AG323" s="4" t="s">
        <v>205</v>
      </c>
      <c r="AH323" s="4"/>
      <c r="AI323" s="1417"/>
      <c r="AJ323" s="1417"/>
      <c r="AK323" s="1417"/>
    </row>
    <row r="324" spans="2:37" ht="12.95" customHeight="1">
      <c r="B324" s="3" t="s">
        <v>89</v>
      </c>
      <c r="C324" s="3"/>
      <c r="D324" s="3"/>
      <c r="E324" s="3"/>
      <c r="F324" s="3"/>
      <c r="G324" s="3"/>
      <c r="H324" s="1459"/>
      <c r="I324" s="1459"/>
      <c r="J324" s="1459"/>
      <c r="K324" s="1459"/>
      <c r="L324" s="1459"/>
      <c r="M324" s="1459"/>
      <c r="N324" s="4"/>
      <c r="O324" s="4"/>
      <c r="P324" s="35"/>
      <c r="Q324" s="35"/>
      <c r="R324" s="35"/>
      <c r="S324" s="3"/>
      <c r="T324" s="3" t="s">
        <v>89</v>
      </c>
      <c r="V324" s="3"/>
      <c r="W324" s="3"/>
      <c r="X324" s="3"/>
      <c r="Y324" s="3"/>
      <c r="AA324" s="1459"/>
      <c r="AB324" s="1459"/>
      <c r="AC324" s="1459"/>
      <c r="AD324" s="1459"/>
      <c r="AE324" s="1459"/>
      <c r="AF324" s="1459"/>
      <c r="AG324" s="4"/>
      <c r="AH324" s="4"/>
      <c r="AI324" s="35"/>
      <c r="AJ324" s="35"/>
      <c r="AK324" s="35"/>
    </row>
    <row r="325" spans="2:37" ht="12.95" customHeight="1">
      <c r="B325" s="3" t="s">
        <v>76</v>
      </c>
      <c r="C325" s="3"/>
      <c r="D325" s="3"/>
      <c r="E325" s="3"/>
      <c r="F325" s="3"/>
      <c r="G325" s="3"/>
      <c r="H325" s="1458" t="s">
        <v>2651</v>
      </c>
      <c r="I325" s="1458"/>
      <c r="J325" s="1458"/>
      <c r="K325" s="1458"/>
      <c r="L325" s="1458"/>
      <c r="M325" s="1458"/>
      <c r="N325" s="1425"/>
      <c r="O325" s="1425"/>
      <c r="P325" s="1425"/>
      <c r="Q325" s="1425"/>
      <c r="R325" s="1425"/>
      <c r="S325" s="3"/>
      <c r="T325" s="3" t="s">
        <v>76</v>
      </c>
      <c r="V325" s="3"/>
      <c r="W325" s="3"/>
      <c r="X325" s="3"/>
      <c r="Y325" s="3"/>
      <c r="AA325" s="1557" t="s">
        <v>2680</v>
      </c>
      <c r="AB325" s="1458"/>
      <c r="AC325" s="1458"/>
      <c r="AD325" s="1458"/>
      <c r="AE325" s="1458"/>
      <c r="AF325" s="1458"/>
      <c r="AG325" s="1425"/>
      <c r="AH325" s="1425"/>
      <c r="AI325" s="1425"/>
      <c r="AJ325" s="1425"/>
      <c r="AK325" s="1425"/>
    </row>
    <row r="326" spans="2:37" ht="12.95" customHeight="1">
      <c r="B326" s="3"/>
      <c r="C326" s="3"/>
      <c r="D326" s="3"/>
      <c r="E326" s="3"/>
      <c r="F326" s="3"/>
      <c r="G326" s="3"/>
      <c r="P326" s="163"/>
      <c r="Q326" s="163"/>
      <c r="R326" s="163"/>
      <c r="S326" s="163"/>
      <c r="T326" s="163"/>
      <c r="U326" s="163"/>
      <c r="V326" s="4"/>
      <c r="W326" s="4"/>
      <c r="X326" s="35"/>
      <c r="Y326" s="35"/>
      <c r="Z326" s="35"/>
    </row>
    <row r="327" spans="2:37" ht="12.95" customHeight="1">
      <c r="B327" s="3" t="s">
        <v>366</v>
      </c>
      <c r="C327" s="3"/>
      <c r="D327" s="3"/>
      <c r="E327" s="3"/>
      <c r="F327" s="3"/>
      <c r="H327" s="1425" t="s">
        <v>591</v>
      </c>
      <c r="I327" s="1425"/>
      <c r="J327" s="1425"/>
      <c r="K327" s="1425"/>
      <c r="L327" s="1425"/>
      <c r="M327" s="1425"/>
      <c r="N327" s="1425"/>
      <c r="O327" s="1425"/>
      <c r="P327" s="1425"/>
      <c r="Q327" s="1425"/>
      <c r="R327" s="1425"/>
      <c r="T327" s="3" t="s">
        <v>367</v>
      </c>
      <c r="V327" s="3"/>
      <c r="W327" s="3"/>
      <c r="X327" s="3"/>
      <c r="Y327" s="3"/>
      <c r="AA327" s="1416" t="s">
        <v>591</v>
      </c>
      <c r="AB327" s="1425"/>
      <c r="AC327" s="1425"/>
      <c r="AD327" s="1425"/>
      <c r="AE327" s="1425"/>
      <c r="AF327" s="1425"/>
      <c r="AG327" s="1425"/>
      <c r="AH327" s="1425"/>
      <c r="AI327" s="1425"/>
      <c r="AJ327" s="1425"/>
      <c r="AK327" s="1425"/>
    </row>
    <row r="328" spans="2:37" ht="12.95" customHeight="1">
      <c r="B328" s="3" t="s">
        <v>471</v>
      </c>
      <c r="C328" s="3"/>
      <c r="D328" s="3"/>
      <c r="E328" s="3"/>
      <c r="F328" s="3"/>
      <c r="H328" s="1458"/>
      <c r="I328" s="1458"/>
      <c r="J328" s="1458"/>
      <c r="K328" s="1458"/>
      <c r="L328" s="1458"/>
      <c r="M328" s="1458"/>
      <c r="N328" s="1458"/>
      <c r="O328" s="1458"/>
      <c r="P328" s="1458"/>
      <c r="Q328" s="1458"/>
      <c r="R328" s="1458"/>
      <c r="T328" s="3" t="s">
        <v>471</v>
      </c>
      <c r="V328" s="3"/>
      <c r="W328" s="3"/>
      <c r="X328" s="3"/>
      <c r="Y328" s="3"/>
      <c r="AA328" s="1458"/>
      <c r="AB328" s="1458"/>
      <c r="AC328" s="1458"/>
      <c r="AD328" s="1458"/>
      <c r="AE328" s="1458"/>
      <c r="AF328" s="1458"/>
      <c r="AG328" s="1458"/>
      <c r="AH328" s="1458"/>
      <c r="AI328" s="1458"/>
      <c r="AJ328" s="1458"/>
      <c r="AK328" s="1458"/>
    </row>
    <row r="329" spans="2:37" ht="12.95" customHeight="1">
      <c r="B329" s="3" t="s">
        <v>472</v>
      </c>
      <c r="C329" s="3"/>
      <c r="D329" s="3"/>
      <c r="E329" s="3"/>
      <c r="F329" s="3"/>
      <c r="H329" s="1458"/>
      <c r="I329" s="1458"/>
      <c r="J329" s="1458"/>
      <c r="K329" s="1458"/>
      <c r="L329" s="1458"/>
      <c r="M329" s="1458"/>
      <c r="N329" s="1458"/>
      <c r="O329" s="1458"/>
      <c r="P329" s="1458"/>
      <c r="Q329" s="1458"/>
      <c r="R329" s="1458"/>
      <c r="T329" s="3" t="s">
        <v>75</v>
      </c>
      <c r="V329" s="3"/>
      <c r="W329" s="3"/>
      <c r="X329" s="3"/>
      <c r="Y329" s="3"/>
      <c r="AA329" s="1458"/>
      <c r="AB329" s="1458"/>
      <c r="AC329" s="1458"/>
      <c r="AD329" s="1458"/>
      <c r="AE329" s="1458"/>
      <c r="AF329" s="1458"/>
      <c r="AG329" s="1458"/>
      <c r="AH329" s="1458"/>
      <c r="AI329" s="1458"/>
      <c r="AJ329" s="1458"/>
      <c r="AK329" s="1458"/>
    </row>
    <row r="330" spans="2:37" ht="12.95" customHeight="1">
      <c r="B330" s="3" t="s">
        <v>87</v>
      </c>
      <c r="C330" s="3"/>
      <c r="D330" s="3"/>
      <c r="E330" s="3"/>
      <c r="F330" s="3"/>
      <c r="H330" s="1458"/>
      <c r="I330" s="1458"/>
      <c r="J330" s="1458"/>
      <c r="K330" s="1458"/>
      <c r="L330" s="1458"/>
      <c r="M330" s="1458"/>
      <c r="N330" s="1458"/>
      <c r="O330" s="1458"/>
      <c r="P330" s="1458"/>
      <c r="Q330" s="1458"/>
      <c r="R330" s="1458"/>
      <c r="T330" s="3" t="s">
        <v>87</v>
      </c>
      <c r="V330" s="3"/>
      <c r="W330" s="3"/>
      <c r="X330" s="3"/>
      <c r="Y330" s="3"/>
      <c r="AA330" s="1458"/>
      <c r="AB330" s="1458"/>
      <c r="AC330" s="1458"/>
      <c r="AD330" s="1458"/>
      <c r="AE330" s="1458"/>
      <c r="AF330" s="1458"/>
      <c r="AG330" s="1458"/>
      <c r="AH330" s="1458"/>
      <c r="AI330" s="1458"/>
      <c r="AJ330" s="1458"/>
      <c r="AK330" s="1458"/>
    </row>
    <row r="331" spans="2:37" ht="12.95" customHeight="1">
      <c r="B331" s="3" t="s">
        <v>88</v>
      </c>
      <c r="C331" s="3"/>
      <c r="D331" s="3"/>
      <c r="E331" s="3"/>
      <c r="F331" s="3"/>
      <c r="G331" s="3"/>
      <c r="H331" s="1424"/>
      <c r="I331" s="1424"/>
      <c r="J331" s="1424"/>
      <c r="K331" s="1424"/>
      <c r="L331" s="1424"/>
      <c r="M331" s="1424"/>
      <c r="N331" s="4" t="s">
        <v>205</v>
      </c>
      <c r="O331" s="4"/>
      <c r="P331" s="1417"/>
      <c r="Q331" s="1417"/>
      <c r="R331" s="1417"/>
      <c r="S331" s="3"/>
      <c r="T331" s="3" t="s">
        <v>88</v>
      </c>
      <c r="V331" s="3"/>
      <c r="W331" s="3"/>
      <c r="X331" s="3"/>
      <c r="Y331" s="3"/>
      <c r="AA331" s="1424"/>
      <c r="AB331" s="1424"/>
      <c r="AC331" s="1424"/>
      <c r="AD331" s="1424"/>
      <c r="AE331" s="1424"/>
      <c r="AF331" s="1424"/>
      <c r="AG331" s="4" t="s">
        <v>205</v>
      </c>
      <c r="AH331" s="4"/>
      <c r="AI331" s="1417"/>
      <c r="AJ331" s="1417"/>
      <c r="AK331" s="1417"/>
    </row>
    <row r="332" spans="2:37" ht="12.95" customHeight="1">
      <c r="B332" s="3" t="s">
        <v>89</v>
      </c>
      <c r="C332" s="3"/>
      <c r="D332" s="3"/>
      <c r="E332" s="3"/>
      <c r="F332" s="3"/>
      <c r="G332" s="3"/>
      <c r="H332" s="1459"/>
      <c r="I332" s="1459"/>
      <c r="J332" s="1459"/>
      <c r="K332" s="1459"/>
      <c r="L332" s="1459"/>
      <c r="M332" s="1459"/>
      <c r="N332" s="4"/>
      <c r="O332" s="4"/>
      <c r="P332" s="35"/>
      <c r="Q332" s="35"/>
      <c r="R332" s="35"/>
      <c r="S332" s="3"/>
      <c r="T332" s="3" t="s">
        <v>89</v>
      </c>
      <c r="V332" s="3"/>
      <c r="W332" s="3"/>
      <c r="X332" s="3"/>
      <c r="Y332" s="3"/>
      <c r="AA332" s="1459"/>
      <c r="AB332" s="1459"/>
      <c r="AC332" s="1459"/>
      <c r="AD332" s="1459"/>
      <c r="AE332" s="1459"/>
      <c r="AF332" s="1459"/>
      <c r="AG332" s="4"/>
      <c r="AH332" s="4"/>
      <c r="AI332" s="35"/>
      <c r="AJ332" s="35"/>
      <c r="AK332" s="35"/>
    </row>
    <row r="333" spans="2:37" ht="12.95" customHeight="1">
      <c r="B333" s="3" t="s">
        <v>76</v>
      </c>
      <c r="C333" s="3"/>
      <c r="D333" s="3"/>
      <c r="E333" s="3"/>
      <c r="F333" s="3"/>
      <c r="G333" s="3"/>
      <c r="H333" s="1458"/>
      <c r="I333" s="1458"/>
      <c r="J333" s="1458"/>
      <c r="K333" s="1458"/>
      <c r="L333" s="1458"/>
      <c r="M333" s="1458"/>
      <c r="N333" s="1425"/>
      <c r="O333" s="1425"/>
      <c r="P333" s="1425"/>
      <c r="Q333" s="1425"/>
      <c r="R333" s="1425"/>
      <c r="S333" s="3"/>
      <c r="T333" s="3" t="s">
        <v>76</v>
      </c>
      <c r="V333" s="3"/>
      <c r="W333" s="3"/>
      <c r="X333" s="3"/>
      <c r="Y333" s="3"/>
      <c r="AA333" s="1458"/>
      <c r="AB333" s="1458"/>
      <c r="AC333" s="1458"/>
      <c r="AD333" s="1458"/>
      <c r="AE333" s="1458"/>
      <c r="AF333" s="1458"/>
      <c r="AG333" s="1425"/>
      <c r="AH333" s="1425"/>
      <c r="AI333" s="1425"/>
      <c r="AJ333" s="1425"/>
      <c r="AK333" s="1425"/>
    </row>
    <row r="334" spans="2:37" ht="12.95" customHeight="1">
      <c r="B334" s="3"/>
      <c r="C334" s="3"/>
      <c r="D334" s="3"/>
      <c r="E334" s="3"/>
      <c r="F334" s="3"/>
      <c r="G334" s="3"/>
      <c r="P334" s="163"/>
      <c r="Q334" s="163"/>
      <c r="R334" s="163"/>
      <c r="S334" s="163"/>
      <c r="T334" s="163"/>
      <c r="U334" s="163"/>
      <c r="V334" s="4"/>
      <c r="W334" s="4"/>
      <c r="X334" s="35"/>
      <c r="Y334" s="35"/>
      <c r="Z334" s="35"/>
    </row>
    <row r="335" spans="2:37" ht="12.95" customHeight="1">
      <c r="B335" s="3" t="s">
        <v>328</v>
      </c>
      <c r="C335" s="3"/>
      <c r="D335" s="3"/>
      <c r="E335" s="3"/>
      <c r="F335" s="3"/>
      <c r="H335" s="1416" t="s">
        <v>2671</v>
      </c>
      <c r="I335" s="1425"/>
      <c r="J335" s="1425"/>
      <c r="K335" s="1425"/>
      <c r="L335" s="1425"/>
      <c r="M335" s="1425"/>
      <c r="N335" s="1425"/>
      <c r="O335" s="1425"/>
      <c r="P335" s="1425"/>
      <c r="Q335" s="1425"/>
      <c r="R335" s="1425"/>
      <c r="T335" s="205" t="s">
        <v>886</v>
      </c>
      <c r="V335" s="3"/>
      <c r="W335" s="3"/>
      <c r="X335" s="3"/>
      <c r="Y335" s="3"/>
      <c r="AA335" s="1425" t="s">
        <v>2662</v>
      </c>
      <c r="AB335" s="1425"/>
      <c r="AC335" s="1425"/>
      <c r="AD335" s="1425"/>
      <c r="AE335" s="1425"/>
      <c r="AF335" s="1425"/>
      <c r="AG335" s="1425"/>
      <c r="AH335" s="1425"/>
      <c r="AI335" s="1425"/>
      <c r="AJ335" s="1425"/>
      <c r="AK335" s="1425"/>
    </row>
    <row r="336" spans="2:37" ht="12.95" customHeight="1">
      <c r="B336" s="3" t="s">
        <v>471</v>
      </c>
      <c r="C336" s="3"/>
      <c r="D336" s="3"/>
      <c r="E336" s="3"/>
      <c r="F336" s="3"/>
      <c r="H336" s="1557" t="s">
        <v>2672</v>
      </c>
      <c r="I336" s="1458"/>
      <c r="J336" s="1458"/>
      <c r="K336" s="1458"/>
      <c r="L336" s="1458"/>
      <c r="M336" s="1458"/>
      <c r="N336" s="1458"/>
      <c r="O336" s="1458"/>
      <c r="P336" s="1458"/>
      <c r="Q336" s="1458"/>
      <c r="R336" s="1458"/>
      <c r="T336" s="3" t="s">
        <v>471</v>
      </c>
      <c r="V336" s="3"/>
      <c r="W336" s="3"/>
      <c r="X336" s="3"/>
      <c r="Y336" s="3"/>
      <c r="AA336" s="1458" t="s">
        <v>2663</v>
      </c>
      <c r="AB336" s="1458"/>
      <c r="AC336" s="1458"/>
      <c r="AD336" s="1458"/>
      <c r="AE336" s="1458"/>
      <c r="AF336" s="1458"/>
      <c r="AG336" s="1458"/>
      <c r="AH336" s="1458"/>
      <c r="AI336" s="1458"/>
      <c r="AJ336" s="1458"/>
      <c r="AK336" s="1458"/>
    </row>
    <row r="337" spans="1:66" ht="12.95" customHeight="1">
      <c r="B337" s="3" t="s">
        <v>75</v>
      </c>
      <c r="C337" s="3"/>
      <c r="D337" s="3"/>
      <c r="E337" s="3"/>
      <c r="F337" s="3"/>
      <c r="H337" s="1557" t="s">
        <v>2673</v>
      </c>
      <c r="I337" s="1458"/>
      <c r="J337" s="1458"/>
      <c r="K337" s="1458"/>
      <c r="L337" s="1458"/>
      <c r="M337" s="1458"/>
      <c r="N337" s="1458"/>
      <c r="O337" s="1458"/>
      <c r="P337" s="1458"/>
      <c r="Q337" s="1458"/>
      <c r="R337" s="1458"/>
      <c r="T337" s="3" t="s">
        <v>75</v>
      </c>
      <c r="V337" s="3"/>
      <c r="W337" s="3"/>
      <c r="X337" s="3"/>
      <c r="Y337" s="3"/>
      <c r="AA337" s="1458" t="s">
        <v>2664</v>
      </c>
      <c r="AB337" s="1458"/>
      <c r="AC337" s="1458"/>
      <c r="AD337" s="1458"/>
      <c r="AE337" s="1458"/>
      <c r="AF337" s="1458"/>
      <c r="AG337" s="1458"/>
      <c r="AH337" s="1458"/>
      <c r="AI337" s="1458"/>
      <c r="AJ337" s="1458"/>
      <c r="AK337" s="1458"/>
    </row>
    <row r="338" spans="1:66" ht="12.95" customHeight="1">
      <c r="B338" s="3" t="s">
        <v>87</v>
      </c>
      <c r="C338" s="3"/>
      <c r="D338" s="3"/>
      <c r="E338" s="3"/>
      <c r="F338" s="3"/>
      <c r="G338" s="3"/>
      <c r="H338" s="1458" t="s">
        <v>2668</v>
      </c>
      <c r="I338" s="1458"/>
      <c r="J338" s="1458"/>
      <c r="K338" s="1458"/>
      <c r="L338" s="1458"/>
      <c r="M338" s="1458"/>
      <c r="N338" s="1458"/>
      <c r="O338" s="1458"/>
      <c r="P338" s="1458"/>
      <c r="Q338" s="1458"/>
      <c r="R338" s="1458"/>
      <c r="T338" s="3" t="s">
        <v>87</v>
      </c>
      <c r="V338" s="3"/>
      <c r="W338" s="3"/>
      <c r="X338" s="3"/>
      <c r="Y338" s="3"/>
      <c r="AA338" s="1458" t="s">
        <v>2665</v>
      </c>
      <c r="AB338" s="1458"/>
      <c r="AC338" s="1458"/>
      <c r="AD338" s="1458"/>
      <c r="AE338" s="1458"/>
      <c r="AF338" s="1458"/>
      <c r="AG338" s="1458"/>
      <c r="AH338" s="1458"/>
      <c r="AI338" s="1458"/>
      <c r="AJ338" s="1458"/>
      <c r="AK338" s="1458"/>
    </row>
    <row r="339" spans="1:66" ht="12.95" customHeight="1">
      <c r="B339" s="3" t="s">
        <v>88</v>
      </c>
      <c r="C339" s="3"/>
      <c r="D339" s="3"/>
      <c r="E339" s="3"/>
      <c r="F339" s="3"/>
      <c r="G339" s="3"/>
      <c r="H339" s="1783" t="s">
        <v>2670</v>
      </c>
      <c r="I339" s="1424"/>
      <c r="J339" s="1424"/>
      <c r="K339" s="1424"/>
      <c r="L339" s="1424"/>
      <c r="M339" s="1424"/>
      <c r="N339" s="4" t="s">
        <v>205</v>
      </c>
      <c r="O339" s="4"/>
      <c r="P339" s="1417"/>
      <c r="Q339" s="1417"/>
      <c r="R339" s="1417"/>
      <c r="S339" s="3"/>
      <c r="T339" s="3" t="s">
        <v>88</v>
      </c>
      <c r="V339" s="3"/>
      <c r="W339" s="3"/>
      <c r="X339" s="3"/>
      <c r="Y339" s="3"/>
      <c r="AA339" s="1424" t="s">
        <v>2666</v>
      </c>
      <c r="AB339" s="1424"/>
      <c r="AC339" s="1424"/>
      <c r="AD339" s="1424"/>
      <c r="AE339" s="1424"/>
      <c r="AF339" s="1424"/>
      <c r="AG339" s="4" t="s">
        <v>205</v>
      </c>
      <c r="AH339" s="4"/>
      <c r="AI339" s="1417"/>
      <c r="AJ339" s="1417"/>
      <c r="AK339" s="1417"/>
    </row>
    <row r="340" spans="1:66" ht="12.95" customHeight="1">
      <c r="B340" s="3" t="s">
        <v>89</v>
      </c>
      <c r="C340" s="3"/>
      <c r="D340" s="3"/>
      <c r="E340" s="3"/>
      <c r="F340" s="3"/>
      <c r="G340" s="3"/>
      <c r="H340" s="1459"/>
      <c r="I340" s="1459"/>
      <c r="J340" s="1459"/>
      <c r="K340" s="1459"/>
      <c r="L340" s="1459"/>
      <c r="M340" s="1459"/>
      <c r="N340" s="4"/>
      <c r="O340" s="4"/>
      <c r="P340" s="35"/>
      <c r="Q340" s="35"/>
      <c r="R340" s="35"/>
      <c r="S340" s="3"/>
      <c r="T340" s="3" t="s">
        <v>89</v>
      </c>
      <c r="V340" s="3"/>
      <c r="W340" s="3"/>
      <c r="X340" s="3"/>
      <c r="Y340" s="3"/>
      <c r="AA340" s="1459"/>
      <c r="AB340" s="1459"/>
      <c r="AC340" s="1459"/>
      <c r="AD340" s="1459"/>
      <c r="AE340" s="1459"/>
      <c r="AF340" s="1459"/>
      <c r="AG340" s="4"/>
      <c r="AH340" s="4"/>
      <c r="AI340" s="35"/>
      <c r="AJ340" s="35"/>
      <c r="AK340" s="35"/>
    </row>
    <row r="341" spans="1:66" ht="12.95" customHeight="1">
      <c r="B341" s="3" t="s">
        <v>76</v>
      </c>
      <c r="C341" s="3"/>
      <c r="D341" s="3"/>
      <c r="E341" s="3"/>
      <c r="F341" s="3"/>
      <c r="G341" s="3"/>
      <c r="H341" s="1458" t="s">
        <v>2669</v>
      </c>
      <c r="I341" s="1458"/>
      <c r="J341" s="1458"/>
      <c r="K341" s="1458"/>
      <c r="L341" s="1458"/>
      <c r="M341" s="1458"/>
      <c r="N341" s="1425"/>
      <c r="O341" s="1425"/>
      <c r="P341" s="1425"/>
      <c r="Q341" s="1425"/>
      <c r="R341" s="1425"/>
      <c r="S341" s="3"/>
      <c r="T341" s="3" t="s">
        <v>76</v>
      </c>
      <c r="V341" s="3"/>
      <c r="W341" s="3"/>
      <c r="X341" s="3"/>
      <c r="Y341" s="3"/>
      <c r="AA341" s="1458" t="s">
        <v>2667</v>
      </c>
      <c r="AB341" s="1458"/>
      <c r="AC341" s="1458"/>
      <c r="AD341" s="1458"/>
      <c r="AE341" s="1458"/>
      <c r="AF341" s="1458"/>
      <c r="AG341" s="1425"/>
      <c r="AH341" s="1425"/>
      <c r="AI341" s="1425"/>
      <c r="AJ341" s="1425"/>
      <c r="AK341" s="1425"/>
    </row>
    <row r="342" spans="1:66" ht="12.95"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591</v>
      </c>
    </row>
    <row r="343" spans="1:66" ht="12.95" customHeight="1">
      <c r="B343" s="3"/>
      <c r="C343" s="4"/>
      <c r="D343" s="4"/>
      <c r="E343" s="4"/>
      <c r="F343" s="4"/>
      <c r="I343" s="205" t="s">
        <v>887</v>
      </c>
      <c r="P343" s="1425" t="s">
        <v>591</v>
      </c>
      <c r="Q343" s="1425"/>
      <c r="R343" s="1425"/>
      <c r="S343" s="1425"/>
      <c r="T343" s="1425"/>
      <c r="U343" s="1425"/>
      <c r="V343" s="1425"/>
      <c r="W343" s="1425"/>
      <c r="X343" s="1425"/>
      <c r="Y343" s="1425"/>
      <c r="Z343" s="1425"/>
      <c r="AA343" s="1425"/>
      <c r="AB343" s="1425"/>
      <c r="AC343" s="1425"/>
      <c r="AD343" s="1425"/>
      <c r="AE343" s="1425"/>
      <c r="BN343" t="s">
        <v>669</v>
      </c>
    </row>
    <row r="344" spans="1:66" ht="12.95" customHeight="1">
      <c r="B344" s="4"/>
      <c r="C344" s="4"/>
      <c r="D344" s="4"/>
      <c r="E344" s="4"/>
      <c r="F344" s="4"/>
      <c r="I344" s="4" t="s">
        <v>471</v>
      </c>
      <c r="P344" s="1458"/>
      <c r="Q344" s="1458"/>
      <c r="R344" s="1458"/>
      <c r="S344" s="1458"/>
      <c r="T344" s="1458"/>
      <c r="U344" s="1458"/>
      <c r="V344" s="1458"/>
      <c r="W344" s="1458"/>
      <c r="X344" s="1458"/>
      <c r="Y344" s="1458"/>
      <c r="Z344" s="1458"/>
      <c r="AA344" s="1458"/>
      <c r="AB344" s="1458"/>
      <c r="AC344" s="1458"/>
      <c r="AD344" s="1458"/>
      <c r="AE344" s="1458"/>
      <c r="BN344" t="s">
        <v>545</v>
      </c>
    </row>
    <row r="345" spans="1:66" ht="12.95" customHeight="1">
      <c r="B345" s="4"/>
      <c r="C345" s="4"/>
      <c r="D345" s="4"/>
      <c r="E345" s="4"/>
      <c r="F345" s="4"/>
      <c r="I345" s="4" t="s">
        <v>75</v>
      </c>
      <c r="P345" s="1458"/>
      <c r="Q345" s="1458"/>
      <c r="R345" s="1458"/>
      <c r="S345" s="1458"/>
      <c r="T345" s="1458"/>
      <c r="U345" s="1458"/>
      <c r="V345" s="1458"/>
      <c r="W345" s="1458"/>
      <c r="X345" s="1458"/>
      <c r="Y345" s="1458"/>
      <c r="Z345" s="1458"/>
      <c r="AA345" s="1458"/>
      <c r="AB345" s="1458"/>
      <c r="AC345" s="1458"/>
      <c r="AD345" s="1458"/>
      <c r="AE345" s="1458"/>
    </row>
    <row r="346" spans="1:66" ht="12.95" customHeight="1">
      <c r="B346" s="4"/>
      <c r="C346" s="4"/>
      <c r="D346" s="4"/>
      <c r="E346" s="4"/>
      <c r="F346" s="4"/>
      <c r="G346" s="4"/>
      <c r="I346" s="4" t="s">
        <v>87</v>
      </c>
      <c r="P346" s="1458"/>
      <c r="Q346" s="1458"/>
      <c r="R346" s="1458"/>
      <c r="S346" s="1458"/>
      <c r="T346" s="1458"/>
      <c r="U346" s="1458"/>
      <c r="V346" s="1458"/>
      <c r="W346" s="1458"/>
      <c r="X346" s="1458"/>
      <c r="Y346" s="1458"/>
      <c r="Z346" s="1458"/>
      <c r="AA346" s="1458"/>
      <c r="AB346" s="1458"/>
      <c r="AC346" s="1458"/>
      <c r="AD346" s="1458"/>
      <c r="AE346" s="1458"/>
    </row>
    <row r="347" spans="1:66" ht="12.95" customHeight="1">
      <c r="B347" s="4"/>
      <c r="C347" s="4"/>
      <c r="D347" s="4"/>
      <c r="E347" s="4"/>
      <c r="F347" s="4"/>
      <c r="G347" s="4"/>
      <c r="H347" s="303"/>
      <c r="I347" s="4" t="s">
        <v>88</v>
      </c>
      <c r="P347" s="1459"/>
      <c r="Q347" s="1459"/>
      <c r="R347" s="1459"/>
      <c r="S347" s="1459"/>
      <c r="T347" s="1459"/>
      <c r="U347" s="1459"/>
      <c r="V347" s="1459"/>
      <c r="W347" s="1459"/>
      <c r="X347" s="1459"/>
      <c r="Y347" s="1459"/>
      <c r="Z347" s="1459"/>
      <c r="AA347" s="4" t="s">
        <v>205</v>
      </c>
      <c r="AB347" s="4"/>
      <c r="AC347" s="1439"/>
      <c r="AD347" s="1439"/>
      <c r="AE347" s="1439"/>
      <c r="AF347" s="303"/>
      <c r="AG347" s="4"/>
      <c r="AH347" s="4"/>
      <c r="AI347" s="4"/>
      <c r="AJ347" s="4"/>
      <c r="AK347" s="4"/>
    </row>
    <row r="348" spans="1:66" ht="12.95" customHeight="1">
      <c r="B348" s="4"/>
      <c r="C348" s="4"/>
      <c r="D348" s="4"/>
      <c r="E348" s="4"/>
      <c r="F348" s="4"/>
      <c r="G348" s="4"/>
      <c r="H348" s="303"/>
      <c r="I348" s="4" t="s">
        <v>89</v>
      </c>
      <c r="P348" s="1459"/>
      <c r="Q348" s="1459"/>
      <c r="R348" s="1459"/>
      <c r="S348" s="1459"/>
      <c r="T348" s="1459"/>
      <c r="U348" s="1459"/>
      <c r="V348" s="1459"/>
      <c r="W348" s="1459"/>
      <c r="X348" s="1459"/>
      <c r="Y348" s="1459"/>
      <c r="Z348" s="1459"/>
      <c r="AF348" s="303"/>
      <c r="AG348" s="4"/>
      <c r="AH348" s="4"/>
      <c r="AI348" s="35"/>
      <c r="AJ348" s="35"/>
      <c r="AK348" s="35"/>
    </row>
    <row r="349" spans="1:66" ht="12.95" customHeight="1">
      <c r="B349" s="4"/>
      <c r="C349" s="4"/>
      <c r="D349" s="4"/>
      <c r="E349" s="4"/>
      <c r="F349" s="4"/>
      <c r="G349" s="4"/>
      <c r="I349" s="4" t="s">
        <v>76</v>
      </c>
      <c r="P349" s="1425"/>
      <c r="Q349" s="1425"/>
      <c r="R349" s="1425"/>
      <c r="S349" s="1425"/>
      <c r="T349" s="1425"/>
      <c r="U349" s="1425"/>
      <c r="V349" s="1425"/>
      <c r="W349" s="1425"/>
      <c r="X349" s="1425"/>
      <c r="Y349" s="1425"/>
      <c r="Z349" s="1425"/>
      <c r="AA349" s="1425"/>
      <c r="AB349" s="1425"/>
      <c r="AC349" s="1425"/>
      <c r="AD349" s="1425"/>
      <c r="AE349" s="1425"/>
    </row>
    <row r="350" spans="1:66" ht="12.95" customHeight="1">
      <c r="T350" s="8"/>
      <c r="U350" s="8"/>
      <c r="V350" s="8"/>
      <c r="W350" s="8"/>
      <c r="X350" s="8"/>
      <c r="Y350" s="8"/>
      <c r="Z350" s="8"/>
      <c r="AU350" s="95"/>
      <c r="AV350" s="95"/>
      <c r="AW350" s="95"/>
      <c r="AX350" s="95"/>
      <c r="AY350" s="95"/>
    </row>
    <row r="351" spans="1:66" ht="12.95" customHeight="1">
      <c r="A351" s="1423" t="s">
        <v>542</v>
      </c>
      <c r="B351" s="1423"/>
      <c r="C351" s="1423"/>
      <c r="D351" s="1423"/>
      <c r="E351" s="1423"/>
      <c r="F351" s="1423"/>
      <c r="G351" s="1423"/>
      <c r="H351" s="1423"/>
      <c r="I351" s="1423"/>
      <c r="J351" s="1423"/>
      <c r="K351" s="1423"/>
      <c r="L351" s="1423"/>
      <c r="M351" s="1423"/>
      <c r="N351" s="1423"/>
      <c r="O351" s="1423"/>
      <c r="P351" s="1423"/>
      <c r="Q351" s="1423"/>
      <c r="R351" s="1423"/>
      <c r="S351" s="1423"/>
      <c r="T351" s="1423"/>
      <c r="U351" s="1423"/>
      <c r="V351" s="1423"/>
      <c r="W351" s="1423"/>
      <c r="X351" s="1423"/>
      <c r="Y351" s="1423"/>
      <c r="Z351" s="1423"/>
      <c r="AA351" s="1423"/>
      <c r="AB351" s="1423"/>
      <c r="AC351" s="1423"/>
      <c r="AD351" s="1423"/>
      <c r="AE351" s="1423"/>
      <c r="AF351" s="1423"/>
      <c r="AG351" s="1423"/>
      <c r="AH351" s="1423"/>
      <c r="AI351" s="1423"/>
      <c r="AJ351" s="1423"/>
      <c r="AK351" s="1423"/>
      <c r="AL351" s="1423"/>
      <c r="AM351" s="1423"/>
      <c r="AN351" s="1423"/>
      <c r="AO351" s="1423"/>
      <c r="AP351" s="1423"/>
      <c r="AQ351" s="1423"/>
      <c r="AR351" s="1423"/>
      <c r="AS351" s="1423"/>
      <c r="AT351" s="1423"/>
      <c r="AU351" s="95"/>
      <c r="AV351" s="95"/>
      <c r="AW351" s="95"/>
      <c r="AX351" s="95"/>
      <c r="AY351" s="95"/>
    </row>
    <row r="352" spans="1:66" ht="12.95" customHeight="1">
      <c r="A352" s="1423"/>
      <c r="B352" s="1423"/>
      <c r="C352" s="1423"/>
      <c r="D352" s="1423"/>
      <c r="E352" s="1423"/>
      <c r="F352" s="1423"/>
      <c r="G352" s="1423"/>
      <c r="H352" s="1423"/>
      <c r="I352" s="1423"/>
      <c r="J352" s="1423"/>
      <c r="K352" s="1423"/>
      <c r="L352" s="1423"/>
      <c r="M352" s="1423"/>
      <c r="N352" s="1423"/>
      <c r="O352" s="1423"/>
      <c r="P352" s="1423"/>
      <c r="Q352" s="1423"/>
      <c r="R352" s="1423"/>
      <c r="S352" s="1423"/>
      <c r="T352" s="1423"/>
      <c r="U352" s="1423"/>
      <c r="V352" s="1423"/>
      <c r="W352" s="1423"/>
      <c r="X352" s="1423"/>
      <c r="Y352" s="1423"/>
      <c r="Z352" s="1423"/>
      <c r="AA352" s="1423"/>
      <c r="AB352" s="1423"/>
      <c r="AC352" s="1423"/>
      <c r="AD352" s="1423"/>
      <c r="AE352" s="1423"/>
      <c r="AF352" s="1423"/>
      <c r="AG352" s="1423"/>
      <c r="AH352" s="1423"/>
      <c r="AI352" s="1423"/>
      <c r="AJ352" s="1423"/>
      <c r="AK352" s="1423"/>
      <c r="AL352" s="1423"/>
      <c r="AM352" s="1423"/>
      <c r="AN352" s="1423"/>
      <c r="AO352" s="1423"/>
      <c r="AP352" s="1423"/>
      <c r="AQ352" s="1423"/>
      <c r="AR352" s="1423"/>
      <c r="AS352" s="1423"/>
      <c r="AT352" s="1423"/>
      <c r="AU352" s="25"/>
      <c r="AV352" s="25"/>
      <c r="AW352" s="25"/>
      <c r="AX352" s="25"/>
      <c r="AY352" s="25"/>
    </row>
    <row r="353" spans="1:46" ht="12.95"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2.95" customHeight="1">
      <c r="A354" s="2" t="s">
        <v>318</v>
      </c>
      <c r="B354" s="2"/>
      <c r="C354" s="2" t="s">
        <v>782</v>
      </c>
    </row>
    <row r="355" spans="1:46" ht="12.95" customHeight="1">
      <c r="D355" s="3" t="s">
        <v>2099</v>
      </c>
      <c r="M355" s="1330" t="s">
        <v>545</v>
      </c>
      <c r="N355" s="1330"/>
      <c r="P355" t="s">
        <v>1649</v>
      </c>
      <c r="AJ355" s="1330" t="s">
        <v>669</v>
      </c>
      <c r="AK355" s="1330"/>
    </row>
    <row r="356" spans="1:46" ht="12.95" customHeight="1">
      <c r="D356" s="3" t="s">
        <v>1638</v>
      </c>
      <c r="M356" s="1330" t="s">
        <v>591</v>
      </c>
      <c r="N356" s="1330"/>
      <c r="P356" s="3" t="s">
        <v>1718</v>
      </c>
      <c r="AJ356" s="1447"/>
      <c r="AK356" s="1447"/>
    </row>
    <row r="357" spans="1:46" ht="12.95" customHeight="1">
      <c r="D357" s="3" t="s">
        <v>704</v>
      </c>
      <c r="M357" s="1330" t="s">
        <v>591</v>
      </c>
      <c r="N357" s="1330"/>
      <c r="P357" t="s">
        <v>1648</v>
      </c>
      <c r="AJ357" s="1330" t="s">
        <v>669</v>
      </c>
      <c r="AK357" s="1330"/>
    </row>
    <row r="358" spans="1:46" ht="12.95" customHeight="1">
      <c r="D358" s="3" t="s">
        <v>705</v>
      </c>
      <c r="M358" s="1330" t="s">
        <v>591</v>
      </c>
      <c r="N358" s="1330"/>
      <c r="Q358" s="4"/>
    </row>
    <row r="359" spans="1:46" ht="12.95" customHeight="1">
      <c r="Q359" s="4"/>
    </row>
    <row r="360" spans="1:46" ht="12.95" customHeight="1">
      <c r="Q360" s="4"/>
    </row>
    <row r="361" spans="1:46" ht="12.95" customHeight="1">
      <c r="A361" s="2" t="s">
        <v>576</v>
      </c>
      <c r="B361" s="2"/>
      <c r="C361" s="2" t="s">
        <v>552</v>
      </c>
      <c r="D361" s="2"/>
    </row>
    <row r="362" spans="1:46" ht="12.95" customHeight="1">
      <c r="D362" s="39" t="s">
        <v>184</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2.95" customHeight="1">
      <c r="D363" s="39" t="s">
        <v>185</v>
      </c>
      <c r="E363" s="40"/>
      <c r="F363" s="40"/>
      <c r="G363" s="40"/>
      <c r="H363" s="40"/>
      <c r="I363" s="40"/>
      <c r="J363" s="40"/>
      <c r="K363" s="40"/>
      <c r="L363" s="40"/>
      <c r="M363" s="40"/>
      <c r="N363" s="1330" t="s">
        <v>591</v>
      </c>
      <c r="O363" s="1330"/>
      <c r="P363" s="40"/>
      <c r="Q363" s="40"/>
      <c r="R363" s="40"/>
      <c r="S363" s="40"/>
      <c r="T363" s="40"/>
      <c r="U363" s="40"/>
      <c r="V363" s="40"/>
      <c r="W363" s="40"/>
      <c r="X363" s="40"/>
      <c r="Y363" s="40"/>
      <c r="Z363" s="40"/>
      <c r="AC363" s="40"/>
      <c r="AD363" s="40"/>
      <c r="AE363" s="40"/>
    </row>
    <row r="364" spans="1:46" ht="12.95" customHeight="1">
      <c r="E364" t="s">
        <v>369</v>
      </c>
      <c r="Y364" s="1330" t="s">
        <v>591</v>
      </c>
      <c r="Z364" s="1330"/>
    </row>
    <row r="365" spans="1:46" ht="12.95" customHeight="1">
      <c r="D365" s="4" t="s">
        <v>977</v>
      </c>
      <c r="Q365" s="1425" t="s">
        <v>591</v>
      </c>
      <c r="R365" s="1425"/>
      <c r="S365" s="1425"/>
      <c r="T365" s="1425"/>
      <c r="U365" s="1425"/>
      <c r="V365" s="1425"/>
      <c r="W365" s="1425"/>
      <c r="X365" s="1425"/>
      <c r="Y365" s="1425"/>
      <c r="Z365" s="1425"/>
      <c r="AA365" s="1425"/>
      <c r="AB365" s="1425"/>
      <c r="AC365" s="1425"/>
      <c r="AD365" s="1425"/>
      <c r="AE365" s="1425"/>
      <c r="AF365" s="1425"/>
      <c r="AG365" s="1425"/>
    </row>
    <row r="366" spans="1:46" ht="12.95" customHeight="1">
      <c r="D366" t="s">
        <v>186</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2.95" customHeight="1">
      <c r="D367" t="s">
        <v>187</v>
      </c>
      <c r="E367" s="40"/>
      <c r="F367" s="40"/>
      <c r="G367" s="40"/>
      <c r="H367" s="40"/>
      <c r="I367" s="40"/>
      <c r="J367" s="1330" t="s">
        <v>591</v>
      </c>
      <c r="K367" s="1330"/>
      <c r="L367" s="40"/>
      <c r="M367" s="40"/>
      <c r="N367" s="40"/>
      <c r="O367" s="40"/>
      <c r="P367" s="40"/>
      <c r="Q367" s="40"/>
      <c r="R367" s="40"/>
      <c r="S367" s="40"/>
      <c r="T367" s="40"/>
      <c r="U367" s="40"/>
      <c r="V367" s="40"/>
      <c r="W367" s="40"/>
      <c r="X367" s="40"/>
      <c r="Y367" s="40"/>
      <c r="Z367" s="40"/>
      <c r="AC367" s="40"/>
      <c r="AD367" s="40"/>
      <c r="AE367" s="40"/>
    </row>
    <row r="368" spans="1:46" ht="12.95" customHeight="1">
      <c r="E368" s="1415" t="s">
        <v>706</v>
      </c>
      <c r="F368" s="1415"/>
      <c r="G368" s="1415"/>
      <c r="H368" s="1415"/>
      <c r="I368" s="1415"/>
      <c r="J368" s="1415"/>
      <c r="K368" s="1415"/>
      <c r="L368" s="1415"/>
      <c r="M368" s="1415"/>
      <c r="N368" s="1415"/>
      <c r="O368" s="1415"/>
      <c r="P368" s="1415"/>
      <c r="Q368" s="1415"/>
      <c r="R368" s="1415"/>
      <c r="S368" s="1415"/>
      <c r="T368" s="1415"/>
      <c r="U368" s="1415"/>
      <c r="V368" s="1415"/>
      <c r="W368" s="1415"/>
      <c r="X368" s="1415"/>
      <c r="Y368" s="1415"/>
      <c r="Z368" s="1415"/>
      <c r="AA368" s="1415"/>
      <c r="AB368" s="1415"/>
      <c r="AC368" s="1415"/>
      <c r="AD368" s="1415"/>
      <c r="AE368" s="1415"/>
      <c r="AF368" s="1415"/>
      <c r="AG368" s="1415"/>
      <c r="AH368" s="1415"/>
    </row>
    <row r="369" spans="1:34" ht="12.95" customHeight="1">
      <c r="E369" s="1415"/>
      <c r="F369" s="1415"/>
      <c r="G369" s="1415"/>
      <c r="H369" s="1415"/>
      <c r="I369" s="1415"/>
      <c r="J369" s="1415"/>
      <c r="K369" s="1415"/>
      <c r="L369" s="1415"/>
      <c r="M369" s="1415"/>
      <c r="N369" s="1415"/>
      <c r="O369" s="1415"/>
      <c r="P369" s="1415"/>
      <c r="Q369" s="1415"/>
      <c r="R369" s="1415"/>
      <c r="S369" s="1415"/>
      <c r="T369" s="1415"/>
      <c r="U369" s="1415"/>
      <c r="V369" s="1415"/>
      <c r="W369" s="1415"/>
      <c r="X369" s="1415"/>
      <c r="Y369" s="1415"/>
      <c r="Z369" s="1415"/>
      <c r="AA369" s="1415"/>
      <c r="AB369" s="1415"/>
      <c r="AC369" s="1415"/>
      <c r="AD369" s="1415"/>
      <c r="AE369" s="1415"/>
      <c r="AF369" s="1415"/>
      <c r="AG369" s="1415"/>
      <c r="AH369" s="1415"/>
    </row>
    <row r="370" spans="1:34" ht="12.95" customHeight="1">
      <c r="E370" s="4" t="s">
        <v>448</v>
      </c>
      <c r="F370" s="4"/>
      <c r="G370" s="4"/>
      <c r="H370" s="4"/>
      <c r="I370" s="4"/>
      <c r="J370" s="4"/>
      <c r="K370" s="4"/>
      <c r="L370" s="4"/>
      <c r="N370" s="1687"/>
      <c r="O370" s="1687"/>
      <c r="P370" s="1687"/>
      <c r="Q370" s="1687"/>
      <c r="R370" s="4"/>
      <c r="U370" s="4" t="s">
        <v>449</v>
      </c>
      <c r="V370" s="4"/>
      <c r="W370" s="4"/>
      <c r="X370" s="4"/>
      <c r="Y370" s="4"/>
      <c r="Z370" s="4"/>
      <c r="AA370" s="4"/>
      <c r="AB370" s="4"/>
      <c r="AC370" s="1687"/>
      <c r="AD370" s="1687"/>
      <c r="AE370" s="1687"/>
      <c r="AF370" s="1687"/>
    </row>
    <row r="371" spans="1:34" ht="12.95" customHeight="1">
      <c r="E371" s="4" t="s">
        <v>450</v>
      </c>
      <c r="F371" s="4"/>
      <c r="G371" s="4"/>
      <c r="H371" s="4"/>
      <c r="I371" s="4"/>
      <c r="J371" s="4"/>
      <c r="K371" s="4"/>
      <c r="L371" s="4"/>
      <c r="N371" s="1687"/>
      <c r="O371" s="1687"/>
      <c r="P371" s="1687"/>
      <c r="Q371" s="1687"/>
      <c r="R371" s="4"/>
      <c r="U371" s="4" t="s">
        <v>0</v>
      </c>
      <c r="V371" s="4"/>
      <c r="W371" s="4"/>
      <c r="X371" s="4"/>
      <c r="Y371" s="4"/>
      <c r="Z371" s="4"/>
      <c r="AA371" s="4"/>
      <c r="AB371" s="4"/>
      <c r="AC371" s="1687"/>
      <c r="AD371" s="1687"/>
      <c r="AE371" s="1687"/>
      <c r="AF371" s="1687"/>
    </row>
    <row r="372" spans="1:34" ht="12.95" customHeight="1">
      <c r="E372" s="4" t="s">
        <v>1</v>
      </c>
      <c r="F372" s="4"/>
      <c r="G372" s="4"/>
      <c r="H372" s="4"/>
      <c r="I372" s="4"/>
      <c r="J372" s="4"/>
      <c r="K372" s="4"/>
      <c r="L372" s="4"/>
      <c r="N372" s="1687"/>
      <c r="O372" s="1687"/>
      <c r="P372" s="1687"/>
      <c r="Q372" s="1687"/>
      <c r="R372" s="4"/>
      <c r="V372" s="4"/>
      <c r="W372" s="4"/>
      <c r="X372" s="4"/>
      <c r="Y372" s="4"/>
      <c r="Z372" s="4"/>
      <c r="AA372" s="4"/>
      <c r="AB372" s="4"/>
    </row>
    <row r="373" spans="1:34" ht="12.95" customHeight="1">
      <c r="E373" s="4" t="s">
        <v>2</v>
      </c>
      <c r="F373" s="4"/>
      <c r="G373" s="4"/>
      <c r="H373" s="4"/>
      <c r="I373" s="4"/>
      <c r="J373" s="4"/>
      <c r="K373" s="4"/>
      <c r="L373" s="4"/>
      <c r="N373" s="1838"/>
      <c r="O373" s="1838"/>
      <c r="P373" s="1838"/>
      <c r="Q373" s="1838"/>
      <c r="R373" s="1838"/>
      <c r="S373" s="1838"/>
      <c r="T373" s="1838"/>
      <c r="U373" s="1838"/>
      <c r="V373" s="1838"/>
      <c r="W373" s="1838"/>
      <c r="X373" s="1838"/>
      <c r="Y373" s="1838"/>
      <c r="Z373" s="1838"/>
      <c r="AA373" s="1838"/>
      <c r="AB373" s="1838"/>
      <c r="AC373" s="1838"/>
      <c r="AD373" s="1838"/>
      <c r="AE373" s="1838"/>
      <c r="AF373" s="1838"/>
    </row>
    <row r="374" spans="1:34" ht="12.95" customHeight="1">
      <c r="E374" s="4"/>
      <c r="F374" s="4"/>
      <c r="G374" s="4"/>
      <c r="H374" s="4"/>
      <c r="I374" s="4"/>
      <c r="J374" s="4"/>
      <c r="K374" s="4"/>
      <c r="L374" s="4"/>
      <c r="N374" s="1839"/>
      <c r="O374" s="1839"/>
      <c r="P374" s="1839"/>
      <c r="Q374" s="1839"/>
      <c r="R374" s="1839"/>
      <c r="S374" s="1839"/>
      <c r="T374" s="1839"/>
      <c r="U374" s="1839"/>
      <c r="V374" s="1839"/>
      <c r="W374" s="1839"/>
      <c r="X374" s="1839"/>
      <c r="Y374" s="1839"/>
      <c r="Z374" s="1839"/>
      <c r="AA374" s="1839"/>
      <c r="AB374" s="1839"/>
      <c r="AC374" s="1839"/>
      <c r="AD374" s="1839"/>
      <c r="AE374" s="1839"/>
      <c r="AF374" s="1839"/>
    </row>
    <row r="375" spans="1:34" ht="12.95" customHeight="1">
      <c r="C375" s="513"/>
      <c r="E375" s="4"/>
      <c r="F375" s="4"/>
      <c r="G375" s="4"/>
      <c r="H375" s="4"/>
      <c r="I375" s="4"/>
      <c r="J375" s="4"/>
      <c r="K375" s="4"/>
      <c r="L375" s="4"/>
    </row>
    <row r="376" spans="1:34" ht="12.95" customHeight="1">
      <c r="D376" s="2" t="s">
        <v>974</v>
      </c>
      <c r="E376" s="2"/>
      <c r="F376" s="4"/>
      <c r="G376" s="4"/>
      <c r="H376" s="4"/>
      <c r="I376" s="4"/>
      <c r="J376" s="4"/>
      <c r="K376" s="4"/>
      <c r="L376" s="4"/>
    </row>
    <row r="377" spans="1:34" ht="12.95" customHeight="1">
      <c r="E377" s="4" t="s">
        <v>2085</v>
      </c>
      <c r="F377" s="4"/>
      <c r="G377" s="4"/>
      <c r="H377" s="4"/>
      <c r="I377" s="4"/>
      <c r="J377" s="4"/>
      <c r="K377" s="4"/>
      <c r="L377" s="4"/>
      <c r="N377" t="s">
        <v>2080</v>
      </c>
      <c r="R377" s="27" t="s">
        <v>304</v>
      </c>
      <c r="S377" s="1824"/>
      <c r="T377" s="1824"/>
      <c r="U377" s="1" t="s">
        <v>305</v>
      </c>
      <c r="V377" s="1824"/>
      <c r="W377" s="1824"/>
      <c r="Y377" t="s">
        <v>2080</v>
      </c>
      <c r="AC377" s="27" t="s">
        <v>304</v>
      </c>
      <c r="AD377" s="1824"/>
      <c r="AE377" s="1824"/>
      <c r="AF377" s="1" t="s">
        <v>305</v>
      </c>
      <c r="AG377" s="1824"/>
      <c r="AH377" s="1824"/>
    </row>
    <row r="378" spans="1:34" ht="12.95" customHeight="1">
      <c r="E378" s="4" t="s">
        <v>986</v>
      </c>
      <c r="F378" s="4"/>
      <c r="G378" s="4"/>
      <c r="H378" s="4"/>
      <c r="I378" s="4"/>
      <c r="J378" s="4"/>
      <c r="K378" s="4"/>
      <c r="L378" s="4"/>
      <c r="N378" s="1824"/>
      <c r="O378" s="1824"/>
      <c r="P378" s="1824"/>
    </row>
    <row r="379" spans="1:34" ht="12.95" customHeight="1">
      <c r="E379" s="205" t="s">
        <v>2086</v>
      </c>
      <c r="F379" s="4"/>
      <c r="G379" s="4"/>
      <c r="H379" s="4"/>
      <c r="I379" s="4"/>
      <c r="J379" s="4"/>
      <c r="K379" s="4"/>
      <c r="L379" s="4"/>
      <c r="AG379" s="1679" t="s">
        <v>591</v>
      </c>
      <c r="AH379" s="1679"/>
    </row>
    <row r="380" spans="1:34" ht="12.95" customHeight="1">
      <c r="E380" s="4"/>
      <c r="F380" s="4"/>
      <c r="G380" s="4" t="s">
        <v>2087</v>
      </c>
      <c r="H380" s="4"/>
      <c r="I380" s="4"/>
      <c r="J380" s="4"/>
      <c r="K380" s="4"/>
      <c r="L380" s="4"/>
      <c r="AG380" s="1679" t="s">
        <v>591</v>
      </c>
      <c r="AH380" s="1679"/>
    </row>
    <row r="381" spans="1:34" ht="12.95" customHeight="1">
      <c r="E381" s="4"/>
      <c r="F381" s="4"/>
      <c r="G381" s="321" t="s">
        <v>987</v>
      </c>
      <c r="H381" s="4"/>
      <c r="I381" s="4"/>
      <c r="J381" s="4"/>
      <c r="K381" s="4"/>
      <c r="L381" s="4"/>
      <c r="V381" s="1330" t="s">
        <v>591</v>
      </c>
      <c r="W381" s="1330"/>
      <c r="Y381" s="22" t="s">
        <v>979</v>
      </c>
    </row>
    <row r="382" spans="1:34" ht="12.95" customHeight="1">
      <c r="E382" s="4" t="s">
        <v>980</v>
      </c>
      <c r="F382" s="4"/>
      <c r="G382" s="4"/>
      <c r="H382" s="4"/>
      <c r="I382" s="4"/>
      <c r="J382" s="4"/>
      <c r="K382" s="4"/>
      <c r="L382" s="4"/>
      <c r="V382" s="1330" t="s">
        <v>591</v>
      </c>
      <c r="W382" s="1330"/>
      <c r="Y382" s="4" t="s">
        <v>981</v>
      </c>
    </row>
    <row r="383" spans="1:34" ht="12.95" customHeight="1"/>
    <row r="384" spans="1:34" ht="12.95" customHeight="1">
      <c r="A384" s="2" t="s">
        <v>78</v>
      </c>
      <c r="B384" s="2"/>
    </row>
    <row r="385" spans="4:36" ht="12.95" customHeight="1">
      <c r="D385" t="s">
        <v>427</v>
      </c>
      <c r="J385" s="1425" t="s">
        <v>2652</v>
      </c>
      <c r="K385" s="1425"/>
      <c r="L385" s="1425"/>
      <c r="M385" s="1425"/>
      <c r="N385" s="1425"/>
      <c r="O385" s="1425"/>
      <c r="P385" s="1425"/>
      <c r="Q385" s="1425"/>
      <c r="R385" s="1425"/>
      <c r="S385" s="1425"/>
      <c r="T385" s="1425"/>
      <c r="U385" s="1425"/>
      <c r="V385" s="8" t="s">
        <v>83</v>
      </c>
      <c r="W385" s="8"/>
      <c r="X385" s="8"/>
      <c r="Y385" s="8"/>
      <c r="Z385" s="8"/>
      <c r="AA385" s="8"/>
      <c r="AB385" s="8"/>
      <c r="AC385" s="1425" t="s">
        <v>2653</v>
      </c>
      <c r="AD385" s="1425"/>
      <c r="AE385" s="1425"/>
      <c r="AF385" s="1425"/>
      <c r="AG385" s="1425"/>
      <c r="AH385" s="1425"/>
      <c r="AI385" s="1425"/>
      <c r="AJ385" s="1425"/>
    </row>
    <row r="386" spans="4:36" ht="12.95" customHeight="1">
      <c r="D386" s="3" t="s">
        <v>1181</v>
      </c>
      <c r="J386" s="1458" t="s">
        <v>2653</v>
      </c>
      <c r="K386" s="1458"/>
      <c r="L386" s="1458"/>
      <c r="M386" s="1458"/>
      <c r="N386" s="1458"/>
      <c r="O386" s="1458"/>
      <c r="P386" s="1458"/>
      <c r="Q386" s="1458"/>
      <c r="R386" s="1458"/>
      <c r="S386" s="1458"/>
      <c r="T386" s="1458"/>
      <c r="U386" s="1458"/>
      <c r="V386" s="3" t="s">
        <v>1181</v>
      </c>
      <c r="W386" s="8"/>
      <c r="X386" s="8"/>
      <c r="Y386" s="8"/>
      <c r="Z386" s="8"/>
      <c r="AA386" s="8"/>
      <c r="AB386" s="8"/>
      <c r="AC386" s="1425"/>
      <c r="AD386" s="1425"/>
      <c r="AE386" s="1425"/>
      <c r="AF386" s="1425"/>
      <c r="AG386" s="1425"/>
      <c r="AH386" s="1425"/>
      <c r="AI386" s="1425"/>
      <c r="AJ386" s="1425"/>
    </row>
    <row r="387" spans="4:36" ht="12.95" customHeight="1">
      <c r="D387" s="3" t="s">
        <v>441</v>
      </c>
      <c r="J387" s="1458" t="s">
        <v>2654</v>
      </c>
      <c r="K387" s="1458"/>
      <c r="L387" s="1458"/>
      <c r="M387" s="1458"/>
      <c r="N387" s="1458"/>
      <c r="O387" s="1458"/>
      <c r="P387" s="1458"/>
      <c r="Q387" s="1458"/>
      <c r="R387" s="1458"/>
      <c r="S387" s="1458"/>
      <c r="T387" s="1458"/>
      <c r="U387" s="1458"/>
      <c r="V387" s="3" t="s">
        <v>441</v>
      </c>
      <c r="W387" s="8"/>
      <c r="X387" s="8"/>
      <c r="Y387" s="8"/>
      <c r="Z387" s="8"/>
      <c r="AA387" s="8"/>
      <c r="AB387" s="8"/>
      <c r="AC387" s="1425"/>
      <c r="AD387" s="1425"/>
      <c r="AE387" s="1425"/>
      <c r="AF387" s="1425"/>
      <c r="AG387" s="1425"/>
      <c r="AH387" s="1425"/>
      <c r="AI387" s="1425"/>
      <c r="AJ387" s="1425"/>
    </row>
    <row r="388" spans="4:36" ht="12.95" customHeight="1">
      <c r="D388" t="s">
        <v>1177</v>
      </c>
      <c r="J388" s="1368" t="s">
        <v>2655</v>
      </c>
      <c r="K388" s="1368"/>
      <c r="L388" s="1368"/>
      <c r="M388" s="1368"/>
      <c r="N388" s="1368"/>
      <c r="O388" s="1368"/>
      <c r="P388" s="1368"/>
      <c r="Q388" s="1368"/>
      <c r="R388" s="1368"/>
      <c r="S388" s="1368"/>
      <c r="T388" s="1368"/>
      <c r="U388" s="1368"/>
      <c r="V388" s="1425"/>
      <c r="W388" s="1425"/>
      <c r="X388" s="1425"/>
      <c r="Y388" s="1425"/>
      <c r="Z388" s="1425"/>
      <c r="AA388" s="1425"/>
      <c r="AB388" s="1425"/>
      <c r="AC388" s="1425"/>
      <c r="AD388" s="1425"/>
      <c r="AE388" s="1425"/>
      <c r="AF388" s="1425"/>
      <c r="AG388" s="1425"/>
      <c r="AH388" s="1425"/>
      <c r="AI388" s="1425"/>
      <c r="AJ388" s="1425"/>
    </row>
    <row r="389" spans="4:36" ht="12.95" customHeight="1">
      <c r="D389" t="s">
        <v>4</v>
      </c>
      <c r="Q389" s="1830">
        <v>43886</v>
      </c>
      <c r="R389" s="1830"/>
      <c r="S389" s="1830"/>
      <c r="T389" s="1830"/>
      <c r="U389" s="1830"/>
      <c r="V389" t="s">
        <v>308</v>
      </c>
      <c r="AI389" s="1330" t="s">
        <v>669</v>
      </c>
      <c r="AJ389" s="1330"/>
    </row>
    <row r="390" spans="4:36" ht="12.95" customHeight="1">
      <c r="D390" t="s">
        <v>5</v>
      </c>
      <c r="Q390" s="1545"/>
      <c r="R390" s="1823"/>
      <c r="S390" s="1823"/>
      <c r="T390" s="1823"/>
      <c r="U390" s="1823"/>
      <c r="W390" s="21" t="s">
        <v>74</v>
      </c>
      <c r="AG390" s="1675"/>
      <c r="AH390" s="1675"/>
      <c r="AI390" s="1675"/>
      <c r="AJ390" s="1675"/>
    </row>
    <row r="391" spans="4:36" ht="12.95" customHeight="1">
      <c r="D391" t="s">
        <v>426</v>
      </c>
      <c r="Q391" s="1676">
        <v>7750000</v>
      </c>
      <c r="R391" s="1676"/>
      <c r="S391" s="1676"/>
      <c r="T391" s="1676"/>
      <c r="U391" s="1676"/>
      <c r="V391" s="3" t="s">
        <v>1180</v>
      </c>
      <c r="AG391" s="1832">
        <v>43893</v>
      </c>
      <c r="AH391" s="1832"/>
      <c r="AI391" s="1832"/>
      <c r="AJ391" s="1832"/>
    </row>
    <row r="392" spans="4:36" ht="12.95" customHeight="1">
      <c r="D392" t="s">
        <v>88</v>
      </c>
      <c r="I392" s="1424"/>
      <c r="J392" s="1424"/>
      <c r="K392" s="1424"/>
      <c r="L392" s="1424"/>
      <c r="M392" s="1424"/>
      <c r="N392" s="1424"/>
      <c r="Q392" s="4" t="s">
        <v>205</v>
      </c>
      <c r="S392" s="1689"/>
      <c r="T392" s="1689"/>
      <c r="U392" s="1689"/>
      <c r="V392" t="s">
        <v>73</v>
      </c>
      <c r="AI392" s="1330" t="s">
        <v>669</v>
      </c>
      <c r="AJ392" s="1330"/>
    </row>
    <row r="393" spans="4:36" ht="12.95" customHeight="1">
      <c r="D393" t="s">
        <v>309</v>
      </c>
      <c r="Q393" s="1377"/>
      <c r="R393" s="1377"/>
      <c r="S393" s="1377"/>
      <c r="T393" s="1377"/>
      <c r="U393" s="1377"/>
      <c r="V393" t="s">
        <v>310</v>
      </c>
      <c r="AG393" s="1675"/>
      <c r="AH393" s="1675"/>
      <c r="AI393" s="1675"/>
      <c r="AJ393" s="1675"/>
    </row>
    <row r="394" spans="4:36" ht="12.95" customHeight="1">
      <c r="D394" t="s">
        <v>311</v>
      </c>
      <c r="Q394" s="1754"/>
      <c r="R394" s="1754"/>
      <c r="S394" s="1754"/>
      <c r="T394" s="1754"/>
      <c r="U394" s="1754"/>
      <c r="V394" t="s">
        <v>1162</v>
      </c>
      <c r="AG394" s="1675"/>
      <c r="AH394" s="1675"/>
      <c r="AI394" s="1675"/>
      <c r="AJ394" s="1675"/>
    </row>
    <row r="395" spans="4:36" ht="12.95" customHeight="1">
      <c r="D395" t="s">
        <v>1161</v>
      </c>
      <c r="AG395" s="1675"/>
      <c r="AH395" s="1675"/>
      <c r="AI395" s="1675"/>
      <c r="AJ395" s="1675"/>
    </row>
    <row r="396" spans="4:36" ht="12.95" customHeight="1">
      <c r="AG396" s="457"/>
      <c r="AH396" s="457"/>
      <c r="AI396" s="457"/>
      <c r="AJ396" s="457"/>
    </row>
    <row r="397" spans="4:36" ht="12.95" customHeight="1">
      <c r="D397" s="3" t="s">
        <v>2143</v>
      </c>
      <c r="AG397" s="457"/>
      <c r="AH397" s="457"/>
      <c r="AI397" s="1330" t="s">
        <v>669</v>
      </c>
      <c r="AJ397" s="1330"/>
    </row>
    <row r="398" spans="4:36" ht="12.95" customHeight="1">
      <c r="D398" s="3" t="s">
        <v>1666</v>
      </c>
      <c r="T398" s="1750"/>
      <c r="U398" s="1750"/>
      <c r="V398" s="1750"/>
      <c r="W398" s="1750"/>
      <c r="X398" s="1750"/>
      <c r="Y398" s="1750"/>
      <c r="Z398" s="1750"/>
      <c r="AA398" s="1750"/>
      <c r="AB398" s="1750"/>
      <c r="AC398" s="1750"/>
      <c r="AD398" s="1750"/>
      <c r="AE398" s="1750"/>
      <c r="AF398" s="1750"/>
      <c r="AG398" s="1750"/>
      <c r="AH398" s="1750"/>
      <c r="AI398" s="1750"/>
      <c r="AJ398" s="1750"/>
    </row>
    <row r="399" spans="4:36" ht="12.95" customHeight="1">
      <c r="D399" s="3" t="s">
        <v>1665</v>
      </c>
      <c r="T399" s="1750"/>
      <c r="U399" s="1750"/>
      <c r="V399" s="1750"/>
      <c r="W399" s="1750"/>
      <c r="X399" s="1750"/>
      <c r="Y399" s="1750"/>
      <c r="Z399" s="1750"/>
      <c r="AA399" s="1750"/>
      <c r="AB399" s="1750"/>
      <c r="AC399" s="1750"/>
      <c r="AD399" s="1750"/>
      <c r="AE399" s="1750"/>
      <c r="AF399" s="1750"/>
      <c r="AG399" s="1750"/>
      <c r="AH399" s="1750"/>
      <c r="AI399" s="1750"/>
      <c r="AJ399" s="1750"/>
    </row>
    <row r="400" spans="4:36" ht="12.95" customHeight="1">
      <c r="AG400" s="457"/>
      <c r="AH400" s="457"/>
      <c r="AI400" s="457"/>
      <c r="AJ400" s="457"/>
    </row>
    <row r="401" spans="1:36" ht="12.95" customHeight="1">
      <c r="D401" s="3" t="s">
        <v>1659</v>
      </c>
      <c r="S401" s="1750" t="s">
        <v>545</v>
      </c>
      <c r="T401" s="1750"/>
      <c r="U401" s="1750"/>
      <c r="V401" t="s">
        <v>1660</v>
      </c>
      <c r="AG401" s="1833">
        <v>99</v>
      </c>
      <c r="AH401" s="1833"/>
      <c r="AI401" s="1833"/>
      <c r="AJ401" s="1833"/>
    </row>
    <row r="402" spans="1:36" ht="12.95" customHeight="1">
      <c r="D402" s="3" t="s">
        <v>1657</v>
      </c>
      <c r="S402" s="1750" t="s">
        <v>545</v>
      </c>
      <c r="T402" s="1750"/>
      <c r="U402" s="1750"/>
      <c r="V402" t="s">
        <v>1662</v>
      </c>
      <c r="AE402" s="1829">
        <f>'15 Year Pro Forma'!E24</f>
        <v>1099415</v>
      </c>
      <c r="AF402" s="1829"/>
      <c r="AG402" s="1829"/>
      <c r="AH402" s="1829"/>
      <c r="AI402" s="1829"/>
      <c r="AJ402" s="1829"/>
    </row>
    <row r="403" spans="1:36" ht="12.95" customHeight="1">
      <c r="D403" s="3" t="s">
        <v>1658</v>
      </c>
      <c r="K403" s="1804"/>
      <c r="L403" s="1804"/>
      <c r="M403" s="1804"/>
      <c r="N403" s="1804"/>
      <c r="O403" s="1804"/>
      <c r="P403" s="1804"/>
      <c r="Q403" s="1804"/>
      <c r="R403" s="1804"/>
      <c r="S403" s="1804"/>
      <c r="T403" s="1804"/>
      <c r="U403" s="1804"/>
      <c r="V403" s="1804"/>
      <c r="W403" s="1804"/>
      <c r="X403" s="1804"/>
      <c r="Y403" s="1804"/>
      <c r="Z403" s="1804"/>
      <c r="AA403" s="1804"/>
      <c r="AB403" s="1804"/>
      <c r="AC403" s="1804"/>
      <c r="AD403" s="1804"/>
      <c r="AE403" s="1804"/>
      <c r="AF403" s="1804"/>
      <c r="AG403" s="1804"/>
      <c r="AH403" s="1804"/>
      <c r="AI403" s="1804"/>
      <c r="AJ403" s="1804"/>
    </row>
    <row r="404" spans="1:36" ht="12.95" customHeight="1">
      <c r="D404" s="3" t="s">
        <v>1661</v>
      </c>
      <c r="K404" s="1804" t="s">
        <v>2661</v>
      </c>
      <c r="L404" s="1804"/>
      <c r="M404" s="1804"/>
      <c r="N404" s="1804"/>
      <c r="O404" s="1804"/>
      <c r="P404" s="1804"/>
      <c r="Q404" s="1804"/>
      <c r="R404" s="1804"/>
      <c r="S404" s="1804"/>
      <c r="T404" s="1804"/>
      <c r="U404" s="1804"/>
      <c r="V404" s="1804"/>
      <c r="W404" s="1804"/>
      <c r="X404" s="1804"/>
      <c r="Y404" s="1804"/>
      <c r="Z404" s="1804"/>
      <c r="AA404" s="1804"/>
      <c r="AB404" s="1804"/>
      <c r="AC404" s="1804"/>
      <c r="AD404" s="1804"/>
      <c r="AE404" s="1804"/>
      <c r="AF404" s="1804"/>
      <c r="AG404" s="1804"/>
      <c r="AH404" s="1804"/>
      <c r="AI404" s="1804"/>
      <c r="AJ404" s="1804"/>
    </row>
    <row r="405" spans="1:36" ht="12.95" customHeight="1">
      <c r="D405" s="3" t="s">
        <v>1664</v>
      </c>
      <c r="E405" s="478"/>
      <c r="F405" s="478"/>
      <c r="G405" s="478"/>
      <c r="H405" s="478"/>
      <c r="I405" s="478"/>
      <c r="J405" s="478"/>
      <c r="K405" s="478"/>
      <c r="L405" s="478"/>
      <c r="M405" s="478"/>
      <c r="N405" s="478"/>
      <c r="O405" s="478"/>
      <c r="P405" s="478"/>
      <c r="Q405" s="478"/>
      <c r="R405" s="478"/>
      <c r="S405" s="1827" t="s">
        <v>2656</v>
      </c>
      <c r="T405" s="1827"/>
      <c r="U405" s="1827"/>
      <c r="V405" s="1827"/>
      <c r="W405" s="1827"/>
      <c r="X405" s="1827"/>
      <c r="Y405" s="1827"/>
      <c r="Z405" s="1827"/>
      <c r="AA405" s="1827"/>
      <c r="AB405" s="1827"/>
      <c r="AC405" s="1827"/>
      <c r="AD405" s="1827"/>
      <c r="AE405" s="1827"/>
      <c r="AF405" s="1827"/>
      <c r="AG405" s="1827"/>
      <c r="AH405" s="1827"/>
      <c r="AI405" s="1827"/>
      <c r="AJ405" s="1827"/>
    </row>
    <row r="406" spans="1:36" ht="12.95" customHeight="1">
      <c r="D406" s="1265" t="s">
        <v>1663</v>
      </c>
      <c r="E406" s="1265"/>
      <c r="F406" s="1265"/>
      <c r="G406" s="1265"/>
      <c r="H406" s="1265"/>
      <c r="I406" s="1265"/>
      <c r="J406" s="1265"/>
      <c r="K406" s="1265"/>
      <c r="L406" s="1265"/>
      <c r="M406" s="1265"/>
      <c r="N406" s="1265"/>
      <c r="O406" s="1265"/>
      <c r="P406" s="1265"/>
      <c r="Q406" s="1265"/>
      <c r="R406" s="1265"/>
      <c r="S406" s="1265"/>
      <c r="T406" s="1265"/>
      <c r="U406" s="1265"/>
      <c r="V406" s="1265"/>
      <c r="W406" s="1265"/>
      <c r="X406" s="1265"/>
      <c r="Y406" s="1265"/>
      <c r="Z406" s="1265"/>
      <c r="AA406" s="1265"/>
      <c r="AB406" s="1265"/>
      <c r="AC406" s="1265"/>
      <c r="AD406" s="1265"/>
      <c r="AE406" s="1265"/>
      <c r="AF406" s="1265"/>
      <c r="AG406" s="1265"/>
      <c r="AH406" s="1265"/>
      <c r="AI406" s="1265"/>
      <c r="AJ406" s="1265"/>
    </row>
    <row r="407" spans="1:36" ht="12.95" customHeight="1">
      <c r="D407" s="1265"/>
      <c r="E407" s="1265"/>
      <c r="F407" s="1265"/>
      <c r="G407" s="1265"/>
      <c r="H407" s="1265"/>
      <c r="I407" s="1265"/>
      <c r="J407" s="1265"/>
      <c r="K407" s="1265"/>
      <c r="L407" s="1265"/>
      <c r="M407" s="1265"/>
      <c r="N407" s="1265"/>
      <c r="O407" s="1265"/>
      <c r="P407" s="1265"/>
      <c r="Q407" s="1265"/>
      <c r="R407" s="1265"/>
      <c r="S407" s="1265"/>
      <c r="T407" s="1265"/>
      <c r="U407" s="1265"/>
      <c r="V407" s="1265"/>
      <c r="W407" s="1265"/>
      <c r="X407" s="1265"/>
      <c r="Y407" s="1265"/>
      <c r="Z407" s="1265"/>
      <c r="AA407" s="1265"/>
      <c r="AB407" s="1265"/>
      <c r="AC407" s="1265"/>
      <c r="AD407" s="1265"/>
      <c r="AE407" s="1265"/>
      <c r="AF407" s="1265"/>
      <c r="AG407" s="1265"/>
      <c r="AH407" s="1265"/>
      <c r="AI407" s="1265"/>
      <c r="AJ407" s="1265"/>
    </row>
    <row r="408" spans="1:36" ht="12.95" customHeight="1">
      <c r="AG408" s="457"/>
      <c r="AH408" s="457"/>
      <c r="AI408" s="457"/>
      <c r="AJ408" s="457"/>
    </row>
    <row r="409" spans="1:36" ht="12.95" customHeight="1">
      <c r="A409" s="2" t="s">
        <v>589</v>
      </c>
      <c r="B409" s="2"/>
      <c r="C409" s="2" t="s">
        <v>111</v>
      </c>
    </row>
    <row r="410" spans="1:36" ht="12.95" customHeight="1">
      <c r="B410" s="2"/>
      <c r="C410" s="2"/>
      <c r="D410" s="2" t="s">
        <v>1203</v>
      </c>
      <c r="I410" s="1416" t="s">
        <v>2617</v>
      </c>
      <c r="J410" s="1416"/>
      <c r="K410" s="1416"/>
      <c r="L410" s="1416"/>
      <c r="M410" s="1416"/>
      <c r="N410" s="1416"/>
      <c r="O410" s="1416"/>
      <c r="P410" s="1416"/>
      <c r="Q410" s="1416"/>
      <c r="R410" s="1416"/>
      <c r="S410" s="1416"/>
      <c r="T410" s="1416"/>
      <c r="U410" s="1416"/>
      <c r="V410" s="1416"/>
      <c r="W410" s="1416"/>
      <c r="X410" s="1416"/>
      <c r="Y410" s="1416"/>
      <c r="Z410" s="1416"/>
      <c r="AA410" s="1416"/>
      <c r="AB410" s="1416"/>
      <c r="AC410" s="1416"/>
      <c r="AD410" s="1416"/>
      <c r="AE410" s="1416"/>
    </row>
    <row r="411" spans="1:36" ht="12.95" customHeight="1">
      <c r="E411" t="s">
        <v>106</v>
      </c>
      <c r="R411" s="1330" t="s">
        <v>545</v>
      </c>
      <c r="S411" s="1330"/>
      <c r="AC411" s="27" t="s">
        <v>570</v>
      </c>
      <c r="AD411" s="1687">
        <v>8</v>
      </c>
      <c r="AE411" s="1687"/>
    </row>
    <row r="412" spans="1:36" ht="12.95" customHeight="1">
      <c r="E412" t="s">
        <v>107</v>
      </c>
      <c r="R412" s="1330" t="s">
        <v>591</v>
      </c>
      <c r="S412" s="1330"/>
      <c r="AC412" s="27" t="s">
        <v>570</v>
      </c>
      <c r="AD412" s="1687"/>
      <c r="AE412" s="1687"/>
    </row>
    <row r="413" spans="1:36" ht="12.95" customHeight="1">
      <c r="E413" t="s">
        <v>108</v>
      </c>
      <c r="S413" s="1330" t="s">
        <v>591</v>
      </c>
      <c r="T413" s="1330"/>
    </row>
    <row r="414" spans="1:36" ht="12.95" customHeight="1">
      <c r="E414" t="s">
        <v>169</v>
      </c>
      <c r="H414" s="1755" t="s">
        <v>333</v>
      </c>
      <c r="I414" s="1755"/>
      <c r="J414" s="1755"/>
      <c r="K414" s="1755"/>
      <c r="L414" s="1755"/>
      <c r="M414" s="1755"/>
      <c r="N414" s="1755"/>
      <c r="O414" s="1755"/>
      <c r="P414" s="1755"/>
      <c r="Q414" s="1755"/>
      <c r="R414" s="1755"/>
      <c r="S414" s="1755"/>
      <c r="T414" s="1755"/>
      <c r="U414" s="1755"/>
      <c r="V414" s="1755"/>
      <c r="W414" s="1755"/>
      <c r="X414" s="1755"/>
      <c r="Y414" s="1755"/>
      <c r="Z414" s="1755"/>
      <c r="AA414" s="1755"/>
      <c r="AB414" s="1755"/>
      <c r="AC414" s="1755"/>
      <c r="AD414" s="1755"/>
      <c r="AE414" s="1755"/>
    </row>
    <row r="415" spans="1:36" ht="12.95" customHeight="1">
      <c r="H415" s="1756"/>
      <c r="I415" s="1756"/>
      <c r="J415" s="1756"/>
      <c r="K415" s="1756"/>
      <c r="L415" s="1756"/>
      <c r="M415" s="1756"/>
      <c r="N415" s="1756"/>
      <c r="O415" s="1756"/>
      <c r="P415" s="1756"/>
      <c r="Q415" s="1756"/>
      <c r="R415" s="1756"/>
      <c r="S415" s="1756"/>
      <c r="T415" s="1756"/>
      <c r="U415" s="1756"/>
      <c r="V415" s="1756"/>
      <c r="W415" s="1756"/>
      <c r="X415" s="1756"/>
      <c r="Y415" s="1756"/>
      <c r="Z415" s="1756"/>
      <c r="AA415" s="1756"/>
      <c r="AB415" s="1756"/>
      <c r="AC415" s="1756"/>
      <c r="AD415" s="1756"/>
      <c r="AE415" s="1756"/>
    </row>
    <row r="416" spans="1:36" ht="12.95" customHeight="1"/>
    <row r="417" spans="1:39" ht="12.95" customHeight="1">
      <c r="A417" s="2" t="s">
        <v>590</v>
      </c>
      <c r="B417" s="2"/>
      <c r="C417" s="2"/>
      <c r="D417" s="2" t="s">
        <v>114</v>
      </c>
      <c r="AF417" s="2" t="s">
        <v>957</v>
      </c>
    </row>
    <row r="418" spans="1:39" ht="12.95" customHeight="1">
      <c r="E418" s="1824"/>
      <c r="F418" s="1824"/>
      <c r="G418" s="1824"/>
      <c r="H418" s="13" t="s">
        <v>115</v>
      </c>
      <c r="I418" s="1824"/>
      <c r="J418" s="1824"/>
      <c r="K418" s="1824"/>
      <c r="L418" t="s">
        <v>116</v>
      </c>
      <c r="N418" s="27" t="s">
        <v>575</v>
      </c>
      <c r="P418" s="1842">
        <v>0.62</v>
      </c>
      <c r="Q418" s="1842"/>
      <c r="R418" s="1842"/>
      <c r="S418" t="s">
        <v>117</v>
      </c>
      <c r="W418" s="1826">
        <f>IF(E418&gt;0,(E418*I418),(P418*43560))</f>
        <v>27007.200000000001</v>
      </c>
      <c r="X418" s="1826"/>
      <c r="Y418" s="1826"/>
      <c r="Z418" t="s">
        <v>118</v>
      </c>
      <c r="AF418" s="1844">
        <f>IFERROR(IF(P418&gt;0,(AG437/P418),(AG437/(W418/43560))),0)</f>
        <v>374.19354838709677</v>
      </c>
      <c r="AG418" s="1844"/>
      <c r="AH418" s="1844"/>
      <c r="AM418" s="3"/>
    </row>
    <row r="419" spans="1:39" ht="12.95" customHeight="1">
      <c r="E419" t="s">
        <v>51</v>
      </c>
    </row>
    <row r="420" spans="1:39" ht="12.95" customHeight="1">
      <c r="E420" s="1828"/>
      <c r="F420" s="1828"/>
      <c r="G420" s="1828"/>
      <c r="H420" s="1828"/>
      <c r="I420" s="1828"/>
      <c r="J420" s="1828"/>
      <c r="K420" s="1828"/>
      <c r="L420" s="1828"/>
      <c r="M420" s="1828"/>
      <c r="N420" s="1828"/>
      <c r="O420" s="1828"/>
      <c r="P420" s="1828"/>
      <c r="Q420" s="1828"/>
      <c r="R420" s="1828"/>
      <c r="S420" s="1828"/>
      <c r="T420" s="1828"/>
      <c r="U420" s="1828"/>
      <c r="V420" s="1828"/>
      <c r="W420" s="1828"/>
      <c r="X420" s="1828"/>
      <c r="Y420" s="1828"/>
      <c r="Z420" s="1828"/>
      <c r="AA420" s="1828"/>
      <c r="AB420" s="1828"/>
      <c r="AC420" s="1828"/>
      <c r="AD420" s="1828"/>
      <c r="AE420" s="1828"/>
      <c r="AF420" s="1828"/>
      <c r="AG420" s="1828"/>
      <c r="AH420" s="1828"/>
      <c r="AI420" s="1828"/>
      <c r="AJ420" s="1828"/>
    </row>
    <row r="421" spans="1:39" ht="12.95" customHeight="1">
      <c r="E421" s="118" t="s">
        <v>1735</v>
      </c>
      <c r="F421" s="1014"/>
      <c r="G421" s="1014"/>
      <c r="H421" s="1014"/>
      <c r="I421" s="1841">
        <v>0.62</v>
      </c>
      <c r="J421" s="1841"/>
      <c r="K421" s="1841"/>
      <c r="L421" s="1014"/>
      <c r="M421" s="118"/>
      <c r="N421" s="1014"/>
      <c r="O421" s="1014"/>
      <c r="P421" s="1443">
        <f>(DU755+DU778+DU800)/I421</f>
        <v>527.41935483870964</v>
      </c>
      <c r="Q421" s="1443"/>
      <c r="R421" s="1443"/>
      <c r="S421" s="118" t="s">
        <v>1736</v>
      </c>
      <c r="T421" s="1014"/>
      <c r="U421" s="1014"/>
      <c r="V421" s="1014"/>
      <c r="W421" s="1014"/>
      <c r="X421" s="1014"/>
      <c r="Y421" s="1014"/>
      <c r="Z421" s="1014"/>
      <c r="AA421" s="1014"/>
      <c r="AB421" s="1014"/>
      <c r="AC421" s="1014"/>
      <c r="AD421" s="1014"/>
      <c r="AE421" s="1014"/>
      <c r="AF421" s="1014"/>
      <c r="AG421" s="1014"/>
      <c r="AH421" s="1014"/>
      <c r="AI421" s="1014"/>
      <c r="AJ421" s="1014"/>
    </row>
    <row r="422" spans="1:39" ht="12.95" customHeight="1"/>
    <row r="423" spans="1:39" ht="12.95" customHeight="1">
      <c r="A423" s="2" t="s">
        <v>592</v>
      </c>
      <c r="B423" s="2"/>
      <c r="C423" s="2"/>
      <c r="D423" s="2" t="s">
        <v>120</v>
      </c>
    </row>
    <row r="424" spans="1:39" ht="12.95" customHeight="1">
      <c r="E424" t="s">
        <v>121</v>
      </c>
      <c r="P424" s="1330">
        <v>1</v>
      </c>
      <c r="Q424" s="1330"/>
      <c r="S424" t="s">
        <v>188</v>
      </c>
      <c r="AE424" s="1330">
        <v>1</v>
      </c>
      <c r="AF424" s="1330"/>
    </row>
    <row r="425" spans="1:39" ht="12.95" customHeight="1">
      <c r="E425" t="s">
        <v>189</v>
      </c>
      <c r="P425" s="1330">
        <v>0</v>
      </c>
      <c r="Q425" s="1330"/>
      <c r="S425" t="s">
        <v>131</v>
      </c>
      <c r="AE425" s="1330" t="s">
        <v>591</v>
      </c>
      <c r="AF425" s="1330"/>
    </row>
    <row r="426" spans="1:39" ht="12.95" customHeight="1">
      <c r="F426" s="28" t="s">
        <v>132</v>
      </c>
    </row>
    <row r="427" spans="1:39" ht="12.95" customHeight="1">
      <c r="F427" s="1810"/>
      <c r="G427" s="1810"/>
      <c r="H427" s="1810"/>
      <c r="I427" s="1810"/>
      <c r="J427" s="1810"/>
      <c r="K427" s="1810"/>
      <c r="L427" s="1810"/>
      <c r="M427" s="1810"/>
      <c r="N427" s="1810"/>
      <c r="O427" s="1810"/>
      <c r="P427" s="1810"/>
      <c r="Q427" s="1810"/>
      <c r="R427" s="1810"/>
      <c r="S427" s="1810"/>
      <c r="T427" s="1810"/>
      <c r="U427" s="1810"/>
      <c r="V427" s="1810"/>
      <c r="W427" s="1810"/>
      <c r="X427" s="1810"/>
      <c r="Y427" s="1810"/>
      <c r="Z427" s="1810"/>
      <c r="AA427" s="1810"/>
      <c r="AB427" s="1810"/>
      <c r="AC427" s="1810"/>
      <c r="AD427" s="1810"/>
      <c r="AE427" s="1810"/>
      <c r="AF427" s="1810"/>
      <c r="AG427" s="1810"/>
      <c r="AH427" s="1810"/>
    </row>
    <row r="428" spans="1:39" ht="12.95" customHeight="1">
      <c r="F428" s="1769"/>
      <c r="G428" s="1769"/>
      <c r="H428" s="1769"/>
      <c r="I428" s="1769"/>
      <c r="J428" s="1769"/>
      <c r="K428" s="1769"/>
      <c r="L428" s="1769"/>
      <c r="M428" s="1769"/>
      <c r="N428" s="1769"/>
      <c r="O428" s="1769"/>
      <c r="P428" s="1769"/>
      <c r="Q428" s="1769"/>
      <c r="R428" s="1769"/>
      <c r="S428" s="1769"/>
      <c r="T428" s="1769"/>
      <c r="U428" s="1769"/>
      <c r="V428" s="1769"/>
      <c r="W428" s="1769"/>
      <c r="X428" s="1769"/>
      <c r="Y428" s="1769"/>
      <c r="Z428" s="1769"/>
      <c r="AA428" s="1769"/>
      <c r="AB428" s="1769"/>
      <c r="AC428" s="1769"/>
      <c r="AD428" s="1769"/>
      <c r="AE428" s="1769"/>
      <c r="AF428" s="1769"/>
      <c r="AG428" s="1769"/>
      <c r="AH428" s="1769"/>
    </row>
    <row r="429" spans="1:39" ht="12.95" customHeight="1">
      <c r="E429" t="s">
        <v>608</v>
      </c>
      <c r="P429" s="1"/>
      <c r="Q429" s="1330" t="s">
        <v>545</v>
      </c>
      <c r="R429" s="1330"/>
    </row>
    <row r="430" spans="1:39" ht="12.95" customHeight="1">
      <c r="F430" t="s">
        <v>609</v>
      </c>
      <c r="P430" s="1"/>
      <c r="Q430" s="1"/>
      <c r="AF430" s="1330" t="s">
        <v>591</v>
      </c>
      <c r="AG430" s="1840"/>
    </row>
    <row r="431" spans="1:39" ht="12.95" customHeight="1"/>
    <row r="432" spans="1:39" ht="12.95" customHeight="1">
      <c r="A432" s="2"/>
      <c r="B432" s="2"/>
      <c r="C432" s="2"/>
      <c r="E432" s="4" t="s">
        <v>307</v>
      </c>
      <c r="Z432" s="1330" t="s">
        <v>669</v>
      </c>
      <c r="AA432" s="1330"/>
    </row>
    <row r="433" spans="1:55" ht="12.95" customHeight="1">
      <c r="F433" s="39" t="s">
        <v>44</v>
      </c>
      <c r="G433" s="40"/>
      <c r="H433" s="40"/>
      <c r="I433" s="40"/>
      <c r="J433" s="40"/>
      <c r="K433" s="40"/>
      <c r="L433" s="40"/>
      <c r="M433" s="40"/>
      <c r="N433" s="40"/>
      <c r="O433" s="40"/>
      <c r="P433" s="40"/>
      <c r="Q433" s="40"/>
      <c r="R433" s="40"/>
      <c r="S433" s="40"/>
      <c r="T433" s="40"/>
      <c r="U433" s="40"/>
      <c r="V433" s="40"/>
      <c r="W433" s="40"/>
      <c r="AB433" s="40"/>
    </row>
    <row r="434" spans="1:55" ht="12.95" customHeight="1">
      <c r="F434" t="s">
        <v>707</v>
      </c>
      <c r="G434" s="40"/>
      <c r="I434" s="40"/>
      <c r="J434" s="40"/>
      <c r="K434" s="40"/>
      <c r="L434" s="40"/>
      <c r="M434" s="40"/>
      <c r="N434" s="40"/>
      <c r="O434" s="28"/>
      <c r="P434" s="40"/>
      <c r="Q434" s="40"/>
      <c r="R434" s="40"/>
      <c r="S434" s="40"/>
      <c r="T434" s="40"/>
      <c r="U434" s="40"/>
      <c r="V434" s="40"/>
      <c r="W434" s="40"/>
      <c r="Z434" s="1330" t="s">
        <v>591</v>
      </c>
      <c r="AA434" s="1330"/>
    </row>
    <row r="435" spans="1:55" ht="12.95" customHeight="1"/>
    <row r="436" spans="1:55" ht="12.95" customHeight="1">
      <c r="A436" s="2" t="s">
        <v>467</v>
      </c>
      <c r="B436" s="2"/>
      <c r="C436" s="2"/>
      <c r="D436" s="2" t="s">
        <v>764</v>
      </c>
      <c r="AF436" s="48"/>
    </row>
    <row r="437" spans="1:55" ht="12.95" customHeight="1">
      <c r="D437" s="1632" t="s">
        <v>43</v>
      </c>
      <c r="E437" s="1633"/>
      <c r="F437" s="1633"/>
      <c r="G437" s="1633"/>
      <c r="H437" s="1633"/>
      <c r="I437" s="1633"/>
      <c r="J437" s="1633"/>
      <c r="K437" s="1633"/>
      <c r="L437" s="1633"/>
      <c r="M437" s="1633"/>
      <c r="N437" s="1633"/>
      <c r="O437" s="1633"/>
      <c r="P437" s="1633"/>
      <c r="Q437" s="1633"/>
      <c r="R437" s="1633"/>
      <c r="S437" s="1633"/>
      <c r="T437" s="1633"/>
      <c r="U437" s="1633"/>
      <c r="V437" s="1633"/>
      <c r="W437" s="1633"/>
      <c r="X437" s="1633"/>
      <c r="Y437" s="1633"/>
      <c r="Z437" s="1633"/>
      <c r="AA437" s="1633"/>
      <c r="AB437" s="1633"/>
      <c r="AC437" s="1633"/>
      <c r="AD437" s="1633"/>
      <c r="AE437" s="1633"/>
      <c r="AF437" s="1825"/>
      <c r="AG437" s="1760">
        <v>232</v>
      </c>
      <c r="AH437" s="1760"/>
      <c r="AI437" s="1760"/>
      <c r="AJ437" s="1760"/>
    </row>
    <row r="438" spans="1:55" ht="12.95" customHeight="1">
      <c r="D438" s="1704" t="s">
        <v>1221</v>
      </c>
      <c r="E438" s="1705"/>
      <c r="F438" s="1705"/>
      <c r="G438" s="1705"/>
      <c r="H438" s="1705"/>
      <c r="I438" s="1705"/>
      <c r="J438" s="1705"/>
      <c r="K438" s="1705"/>
      <c r="L438" s="1705"/>
      <c r="M438" s="1705"/>
      <c r="N438" s="1705"/>
      <c r="O438" s="1705"/>
      <c r="P438" s="1705"/>
      <c r="Q438" s="1705"/>
      <c r="R438" s="1705"/>
      <c r="S438" s="1705"/>
      <c r="T438" s="1705"/>
      <c r="U438" s="1705"/>
      <c r="V438" s="1705"/>
      <c r="W438" s="1705"/>
      <c r="X438" s="1705"/>
      <c r="Y438" s="1705"/>
      <c r="Z438" s="1705"/>
      <c r="AA438" s="1705"/>
      <c r="AB438" s="1705"/>
      <c r="AC438" s="1705"/>
      <c r="AD438" s="1705"/>
      <c r="AE438" s="1705"/>
      <c r="AF438" s="1706"/>
      <c r="AG438" s="1843">
        <v>0</v>
      </c>
      <c r="AH438" s="1609"/>
      <c r="AI438" s="1609"/>
      <c r="AJ438" s="1609"/>
    </row>
    <row r="439" spans="1:55" ht="12.95" customHeight="1">
      <c r="D439" s="1704" t="s">
        <v>1030</v>
      </c>
      <c r="E439" s="1705"/>
      <c r="F439" s="1705"/>
      <c r="G439" s="1705"/>
      <c r="H439" s="1705"/>
      <c r="I439" s="1705"/>
      <c r="J439" s="1705"/>
      <c r="K439" s="1705"/>
      <c r="L439" s="1705"/>
      <c r="M439" s="1705"/>
      <c r="N439" s="1705"/>
      <c r="O439" s="1705"/>
      <c r="P439" s="1705"/>
      <c r="Q439" s="1705"/>
      <c r="R439" s="1705"/>
      <c r="S439" s="1705"/>
      <c r="T439" s="1705"/>
      <c r="U439" s="1705"/>
      <c r="V439" s="1705"/>
      <c r="W439" s="1705"/>
      <c r="X439" s="1705"/>
      <c r="Y439" s="1705"/>
      <c r="Z439" s="1705"/>
      <c r="AA439" s="1705"/>
      <c r="AB439" s="1705"/>
      <c r="AC439" s="1705"/>
      <c r="AD439" s="1705"/>
      <c r="AE439" s="1705"/>
      <c r="AF439" s="1706"/>
      <c r="AG439" s="1760">
        <v>230</v>
      </c>
      <c r="AH439" s="1760"/>
      <c r="AI439" s="1760"/>
      <c r="AJ439" s="1760"/>
    </row>
    <row r="440" spans="1:55" ht="12.95" customHeight="1">
      <c r="D440" s="1704" t="s">
        <v>1031</v>
      </c>
      <c r="E440" s="1705"/>
      <c r="F440" s="1705"/>
      <c r="G440" s="1705"/>
      <c r="H440" s="1705"/>
      <c r="I440" s="1705"/>
      <c r="J440" s="1705"/>
      <c r="K440" s="1705"/>
      <c r="L440" s="1705"/>
      <c r="M440" s="1705"/>
      <c r="N440" s="1705"/>
      <c r="O440" s="1705"/>
      <c r="P440" s="1705"/>
      <c r="Q440" s="1705"/>
      <c r="R440" s="1705"/>
      <c r="S440" s="1705"/>
      <c r="T440" s="1705"/>
      <c r="U440" s="1705"/>
      <c r="V440" s="1705"/>
      <c r="W440" s="1705"/>
      <c r="X440" s="1705"/>
      <c r="Y440" s="1705"/>
      <c r="Z440" s="1705"/>
      <c r="AA440" s="1705"/>
      <c r="AB440" s="1705"/>
      <c r="AC440" s="1705"/>
      <c r="AD440" s="1705"/>
      <c r="AE440" s="1705"/>
      <c r="AF440" s="1706"/>
      <c r="AG440" s="1760">
        <v>230</v>
      </c>
      <c r="AH440" s="1760"/>
      <c r="AI440" s="1760"/>
      <c r="AJ440" s="1760"/>
    </row>
    <row r="441" spans="1:55" ht="12.95" customHeight="1">
      <c r="D441" s="1704" t="s">
        <v>1033</v>
      </c>
      <c r="E441" s="1705"/>
      <c r="F441" s="1705"/>
      <c r="G441" s="1705"/>
      <c r="H441" s="1705"/>
      <c r="I441" s="1705"/>
      <c r="J441" s="1705"/>
      <c r="K441" s="1705"/>
      <c r="L441" s="1705"/>
      <c r="M441" s="1705"/>
      <c r="N441" s="1705"/>
      <c r="O441" s="1705"/>
      <c r="P441" s="1705"/>
      <c r="Q441" s="1705"/>
      <c r="R441" s="1705"/>
      <c r="S441" s="1705"/>
      <c r="T441" s="1705"/>
      <c r="U441" s="1705"/>
      <c r="V441" s="1705"/>
      <c r="W441" s="1705"/>
      <c r="X441" s="1705"/>
      <c r="Y441" s="1705"/>
      <c r="Z441" s="1705"/>
      <c r="AA441" s="1705"/>
      <c r="AB441" s="1705"/>
      <c r="AC441" s="1705"/>
      <c r="AD441" s="1705"/>
      <c r="AE441" s="1705"/>
      <c r="AF441" s="1706"/>
      <c r="AG441" s="1762">
        <f>IF(ISERROR(AG440/AG439),0,AG440/AG439)</f>
        <v>1</v>
      </c>
      <c r="AH441" s="1762"/>
      <c r="AI441" s="1762"/>
      <c r="AJ441" s="1762"/>
    </row>
    <row r="442" spans="1:55" ht="12.95" customHeight="1">
      <c r="D442" s="1704" t="s">
        <v>1032</v>
      </c>
      <c r="E442" s="1705"/>
      <c r="F442" s="1705"/>
      <c r="G442" s="1705"/>
      <c r="H442" s="1705"/>
      <c r="I442" s="1705"/>
      <c r="J442" s="1705"/>
      <c r="K442" s="1705"/>
      <c r="L442" s="1705"/>
      <c r="M442" s="1705"/>
      <c r="N442" s="1705"/>
      <c r="O442" s="1705"/>
      <c r="P442" s="1705"/>
      <c r="Q442" s="1705"/>
      <c r="R442" s="1705"/>
      <c r="S442" s="1705"/>
      <c r="T442" s="1705"/>
      <c r="U442" s="1705"/>
      <c r="V442" s="1705"/>
      <c r="W442" s="1705"/>
      <c r="X442" s="1705"/>
      <c r="Y442" s="1705"/>
      <c r="Z442" s="1705"/>
      <c r="AA442" s="1705"/>
      <c r="AB442" s="1705"/>
      <c r="AC442" s="1705"/>
      <c r="AD442" s="1705"/>
      <c r="AE442" s="1705"/>
      <c r="AF442" s="1706"/>
      <c r="AG442" s="1761">
        <f>34351+54565+16318-620-620</f>
        <v>103994</v>
      </c>
      <c r="AH442" s="1761"/>
      <c r="AI442" s="1761"/>
      <c r="AJ442" s="1761"/>
    </row>
    <row r="443" spans="1:55" ht="12.95" customHeight="1">
      <c r="D443" s="1704" t="s">
        <v>1034</v>
      </c>
      <c r="E443" s="1705"/>
      <c r="F443" s="1705"/>
      <c r="G443" s="1705"/>
      <c r="H443" s="1705"/>
      <c r="I443" s="1705"/>
      <c r="J443" s="1705"/>
      <c r="K443" s="1705"/>
      <c r="L443" s="1705"/>
      <c r="M443" s="1705"/>
      <c r="N443" s="1705"/>
      <c r="O443" s="1705"/>
      <c r="P443" s="1705"/>
      <c r="Q443" s="1705"/>
      <c r="R443" s="1705"/>
      <c r="S443" s="1705"/>
      <c r="T443" s="1705"/>
      <c r="U443" s="1705"/>
      <c r="V443" s="1705"/>
      <c r="W443" s="1705"/>
      <c r="X443" s="1705"/>
      <c r="Y443" s="1705"/>
      <c r="Z443" s="1705"/>
      <c r="AA443" s="1705"/>
      <c r="AB443" s="1705"/>
      <c r="AC443" s="1705"/>
      <c r="AD443" s="1705"/>
      <c r="AE443" s="1705"/>
      <c r="AF443" s="1706"/>
      <c r="AG443" s="1761">
        <v>103994</v>
      </c>
      <c r="AH443" s="1761"/>
      <c r="AI443" s="1761"/>
      <c r="AJ443" s="1761"/>
    </row>
    <row r="444" spans="1:55" ht="12.95" customHeight="1">
      <c r="D444" s="1704" t="s">
        <v>1035</v>
      </c>
      <c r="E444" s="1705"/>
      <c r="F444" s="1705"/>
      <c r="G444" s="1705"/>
      <c r="H444" s="1705"/>
      <c r="I444" s="1705"/>
      <c r="J444" s="1705"/>
      <c r="K444" s="1705"/>
      <c r="L444" s="1705"/>
      <c r="M444" s="1705"/>
      <c r="N444" s="1705"/>
      <c r="O444" s="1705"/>
      <c r="P444" s="1705"/>
      <c r="Q444" s="1705"/>
      <c r="R444" s="1705"/>
      <c r="S444" s="1705"/>
      <c r="T444" s="1705"/>
      <c r="U444" s="1705"/>
      <c r="V444" s="1705"/>
      <c r="W444" s="1705"/>
      <c r="X444" s="1705"/>
      <c r="Y444" s="1705"/>
      <c r="Z444" s="1705"/>
      <c r="AA444" s="1705"/>
      <c r="AB444" s="1705"/>
      <c r="AC444" s="1705"/>
      <c r="AD444" s="1705"/>
      <c r="AE444" s="1705"/>
      <c r="AF444" s="1706"/>
      <c r="AG444" s="1762">
        <f>IF(ISERROR(AG443/AG442),0,AG443/AG442)</f>
        <v>1</v>
      </c>
      <c r="AH444" s="1762"/>
      <c r="AI444" s="1762"/>
      <c r="AJ444" s="1762"/>
    </row>
    <row r="445" spans="1:55" ht="12.95" customHeight="1">
      <c r="D445" s="1704" t="s">
        <v>1036</v>
      </c>
      <c r="E445" s="1705"/>
      <c r="F445" s="1705"/>
      <c r="G445" s="1705"/>
      <c r="H445" s="1705"/>
      <c r="I445" s="1705"/>
      <c r="J445" s="1705"/>
      <c r="K445" s="1705"/>
      <c r="L445" s="1705"/>
      <c r="M445" s="1705"/>
      <c r="N445" s="1705"/>
      <c r="O445" s="1705"/>
      <c r="P445" s="1705"/>
      <c r="Q445" s="1705"/>
      <c r="R445" s="1705"/>
      <c r="S445" s="1705"/>
      <c r="T445" s="1705"/>
      <c r="U445" s="1705"/>
      <c r="V445" s="1705"/>
      <c r="W445" s="1705"/>
      <c r="X445" s="1705"/>
      <c r="Y445" s="1705"/>
      <c r="Z445" s="1705"/>
      <c r="AA445" s="1705"/>
      <c r="AB445" s="1705"/>
      <c r="AC445" s="1705"/>
      <c r="AD445" s="1705"/>
      <c r="AE445" s="1705"/>
      <c r="AF445" s="1706"/>
      <c r="AG445" s="1762">
        <f>MIN(IF(AG441&gt;AG444,AG444,AG441),1)</f>
        <v>1</v>
      </c>
      <c r="AH445" s="1762"/>
      <c r="AI445" s="1762"/>
      <c r="AJ445" s="1762"/>
    </row>
    <row r="446" spans="1:55" ht="12.95" customHeight="1">
      <c r="D446" s="1704" t="s">
        <v>2088</v>
      </c>
      <c r="E446" s="1633"/>
      <c r="F446" s="1633"/>
      <c r="G446" s="1633"/>
      <c r="H446" s="1633"/>
      <c r="I446" s="1633"/>
      <c r="J446" s="1633"/>
      <c r="K446" s="1633"/>
      <c r="L446" s="1633"/>
      <c r="M446" s="1633"/>
      <c r="N446" s="1633"/>
      <c r="O446" s="1633"/>
      <c r="P446" s="1633"/>
      <c r="Q446" s="1633"/>
      <c r="R446" s="1633"/>
      <c r="S446" s="1633"/>
      <c r="T446" s="1633"/>
      <c r="U446" s="1633"/>
      <c r="V446" s="1633"/>
      <c r="W446" s="1633"/>
      <c r="X446" s="1633"/>
      <c r="Y446" s="1633"/>
      <c r="Z446" s="1633"/>
      <c r="AA446" s="1633"/>
      <c r="AB446" s="1633"/>
      <c r="AC446" s="1633"/>
      <c r="AD446" s="1633"/>
      <c r="AE446" s="1633"/>
      <c r="AF446" s="1825"/>
      <c r="AG446" s="1761">
        <f>1331+230</f>
        <v>1561</v>
      </c>
      <c r="AH446" s="1761"/>
      <c r="AI446" s="1761"/>
      <c r="AJ446" s="1761"/>
      <c r="AZ446" s="34"/>
      <c r="BA446" s="34"/>
      <c r="BB446" s="34"/>
      <c r="BC446" s="34"/>
    </row>
    <row r="447" spans="1:55" ht="12.95" customHeight="1">
      <c r="D447" s="1632" t="s">
        <v>569</v>
      </c>
      <c r="E447" s="1633"/>
      <c r="F447" s="1633"/>
      <c r="G447" s="1633"/>
      <c r="H447" s="1633"/>
      <c r="I447" s="1633"/>
      <c r="J447" s="1633"/>
      <c r="K447" s="1633"/>
      <c r="L447" s="1633"/>
      <c r="M447" s="1633"/>
      <c r="N447" s="1633"/>
      <c r="O447" s="1633"/>
      <c r="P447" s="1633"/>
      <c r="Q447" s="1633"/>
      <c r="R447" s="1633"/>
      <c r="S447" s="1633"/>
      <c r="T447" s="1633"/>
      <c r="U447" s="1633"/>
      <c r="V447" s="1633"/>
      <c r="W447" s="1633"/>
      <c r="X447" s="1633"/>
      <c r="Y447" s="1633"/>
      <c r="Z447" s="1633"/>
      <c r="AA447" s="1633"/>
      <c r="AB447" s="1633"/>
      <c r="AC447" s="1633"/>
      <c r="AD447" s="1633"/>
      <c r="AE447" s="1633"/>
      <c r="AF447" s="1825"/>
      <c r="AG447" s="1761">
        <v>0</v>
      </c>
      <c r="AH447" s="1761"/>
      <c r="AI447" s="1761"/>
      <c r="AJ447" s="1761"/>
      <c r="AZ447" s="3"/>
      <c r="BA447" s="3"/>
      <c r="BB447" s="3"/>
      <c r="BC447" s="3"/>
    </row>
    <row r="448" spans="1:55" ht="12.95" customHeight="1">
      <c r="D448" s="1704" t="s">
        <v>1204</v>
      </c>
      <c r="E448" s="1633"/>
      <c r="F448" s="1633"/>
      <c r="G448" s="1633"/>
      <c r="H448" s="1633"/>
      <c r="I448" s="1633"/>
      <c r="J448" s="1633"/>
      <c r="K448" s="1633"/>
      <c r="L448" s="1633"/>
      <c r="M448" s="1633"/>
      <c r="N448" s="1633"/>
      <c r="O448" s="1633"/>
      <c r="P448" s="1633"/>
      <c r="Q448" s="1633"/>
      <c r="R448" s="1633"/>
      <c r="S448" s="1633"/>
      <c r="T448" s="1633"/>
      <c r="U448" s="1633"/>
      <c r="V448" s="1633"/>
      <c r="W448" s="1633"/>
      <c r="X448" s="1633"/>
      <c r="Y448" s="1633"/>
      <c r="Z448" s="1633"/>
      <c r="AA448" s="1633"/>
      <c r="AB448" s="1633"/>
      <c r="AC448" s="1633"/>
      <c r="AD448" s="1633"/>
      <c r="AE448" s="1633"/>
      <c r="AF448" s="1825"/>
      <c r="AG448" s="1761">
        <f>133303-105555</f>
        <v>27748</v>
      </c>
      <c r="AH448" s="1761"/>
      <c r="AI448" s="1761"/>
      <c r="AJ448" s="1761"/>
      <c r="AZ448" s="3"/>
      <c r="BA448" s="3"/>
      <c r="BB448" s="3"/>
      <c r="BC448" s="3"/>
    </row>
    <row r="449" spans="1:55" ht="12.95" customHeight="1">
      <c r="D449" s="1704" t="s">
        <v>1037</v>
      </c>
      <c r="E449" s="1633"/>
      <c r="F449" s="1633"/>
      <c r="G449" s="1633"/>
      <c r="H449" s="1633"/>
      <c r="I449" s="1633"/>
      <c r="J449" s="1633"/>
      <c r="K449" s="1633"/>
      <c r="L449" s="1633"/>
      <c r="M449" s="1633"/>
      <c r="N449" s="1633"/>
      <c r="O449" s="1633"/>
      <c r="P449" s="1633"/>
      <c r="Q449" s="1633"/>
      <c r="R449" s="1633"/>
      <c r="S449" s="1633"/>
      <c r="T449" s="1633"/>
      <c r="U449" s="1633"/>
      <c r="V449" s="1633"/>
      <c r="W449" s="1633"/>
      <c r="X449" s="1633"/>
      <c r="Y449" s="1633"/>
      <c r="Z449" s="1633"/>
      <c r="AA449" s="1633"/>
      <c r="AB449" s="1633"/>
      <c r="AC449" s="1633"/>
      <c r="AD449" s="1633"/>
      <c r="AE449" s="1633"/>
      <c r="AF449" s="1825"/>
      <c r="AG449" s="1761">
        <v>0</v>
      </c>
      <c r="AH449" s="1761"/>
      <c r="AI449" s="1761"/>
      <c r="AJ449" s="1761"/>
      <c r="BB449" s="3"/>
      <c r="BC449" s="3"/>
    </row>
    <row r="450" spans="1:55" ht="12.95" customHeight="1">
      <c r="D450" s="1780" t="s">
        <v>1038</v>
      </c>
      <c r="E450" s="1781"/>
      <c r="F450" s="1781"/>
      <c r="G450" s="1781"/>
      <c r="H450" s="1781"/>
      <c r="I450" s="1781"/>
      <c r="J450" s="1781"/>
      <c r="K450" s="1781"/>
      <c r="L450" s="1781"/>
      <c r="M450" s="1781"/>
      <c r="N450" s="1781"/>
      <c r="O450" s="1781"/>
      <c r="P450" s="1781"/>
      <c r="Q450" s="1781"/>
      <c r="R450" s="1781"/>
      <c r="S450" s="1781"/>
      <c r="T450" s="1781"/>
      <c r="U450" s="1781"/>
      <c r="V450" s="1781"/>
      <c r="W450" s="1781"/>
      <c r="X450" s="1781"/>
      <c r="Y450" s="1781"/>
      <c r="Z450" s="1781"/>
      <c r="AA450" s="1781"/>
      <c r="AB450" s="1781"/>
      <c r="AC450" s="1781"/>
      <c r="AD450" s="1781"/>
      <c r="AE450" s="1781"/>
      <c r="AF450" s="1782"/>
      <c r="AG450" s="1846">
        <f>AG442+AG446+AG448+AG449</f>
        <v>133303</v>
      </c>
      <c r="AH450" s="1846"/>
      <c r="AI450" s="1846"/>
      <c r="AJ450" s="1846"/>
      <c r="AZ450" s="3"/>
      <c r="BA450" s="3"/>
      <c r="BB450" s="3"/>
      <c r="BC450" s="3"/>
    </row>
    <row r="451" spans="1:55" ht="12.95" customHeight="1">
      <c r="D451" s="1745" t="s">
        <v>1205</v>
      </c>
      <c r="E451" s="1745"/>
      <c r="F451" s="1745"/>
      <c r="G451" s="1745"/>
      <c r="H451" s="1745"/>
      <c r="I451" s="1745"/>
      <c r="J451" s="1745"/>
      <c r="K451" s="1745"/>
      <c r="L451" s="1745"/>
      <c r="M451" s="1745"/>
      <c r="N451" s="1745"/>
      <c r="O451" s="1745"/>
      <c r="P451" s="1745"/>
      <c r="Q451" s="1745"/>
      <c r="R451" s="1745"/>
      <c r="S451" s="1745"/>
      <c r="T451" s="1745"/>
      <c r="U451" s="1745"/>
      <c r="V451" s="1745"/>
      <c r="W451" s="1745"/>
      <c r="X451" s="1745"/>
      <c r="Y451" s="1745"/>
      <c r="Z451" s="1745"/>
      <c r="AA451" s="1745"/>
      <c r="AB451" s="1745"/>
      <c r="AC451" s="1745"/>
      <c r="AD451" s="1745"/>
      <c r="AE451" s="1745"/>
      <c r="AF451" s="1745"/>
      <c r="AG451" s="1745"/>
      <c r="AH451" s="1745"/>
      <c r="AI451" s="1745"/>
      <c r="AJ451" s="1745"/>
      <c r="AZ451" s="3"/>
      <c r="BA451" s="3"/>
      <c r="BB451" s="3"/>
      <c r="BC451" s="3"/>
    </row>
    <row r="452" spans="1:55" ht="12.95" customHeight="1">
      <c r="D452" s="1746"/>
      <c r="E452" s="1746"/>
      <c r="F452" s="1746"/>
      <c r="G452" s="1746"/>
      <c r="H452" s="1746"/>
      <c r="I452" s="1746"/>
      <c r="J452" s="1746"/>
      <c r="K452" s="1746"/>
      <c r="L452" s="1746"/>
      <c r="M452" s="1746"/>
      <c r="N452" s="1746"/>
      <c r="O452" s="1746"/>
      <c r="P452" s="1746"/>
      <c r="Q452" s="1746"/>
      <c r="R452" s="1746"/>
      <c r="S452" s="1746"/>
      <c r="T452" s="1746"/>
      <c r="U452" s="1746"/>
      <c r="V452" s="1746"/>
      <c r="W452" s="1746"/>
      <c r="X452" s="1746"/>
      <c r="Y452" s="1746"/>
      <c r="Z452" s="1746"/>
      <c r="AA452" s="1746"/>
      <c r="AB452" s="1746"/>
      <c r="AC452" s="1746"/>
      <c r="AD452" s="1746"/>
      <c r="AE452" s="1746"/>
      <c r="AF452" s="1746"/>
      <c r="AG452" s="1746"/>
      <c r="AH452" s="1746"/>
      <c r="AI452" s="1746"/>
      <c r="AJ452" s="1746"/>
      <c r="AZ452" s="3"/>
      <c r="BA452" s="3"/>
      <c r="BB452" s="3"/>
      <c r="BC452" s="3"/>
    </row>
    <row r="453" spans="1:55" ht="12.95" customHeight="1">
      <c r="D453" s="532"/>
      <c r="E453" s="177"/>
      <c r="F453" s="177"/>
      <c r="G453" s="177"/>
      <c r="H453" s="177"/>
      <c r="I453" s="177"/>
      <c r="J453" s="177"/>
      <c r="K453" s="177"/>
      <c r="L453" s="177"/>
      <c r="M453" s="177"/>
      <c r="N453" s="177"/>
      <c r="O453" s="177"/>
      <c r="P453" s="177"/>
      <c r="Q453" s="177"/>
      <c r="R453" s="177"/>
      <c r="S453" s="177"/>
      <c r="T453" s="177"/>
      <c r="U453" s="177"/>
      <c r="V453" s="177"/>
      <c r="W453" s="177"/>
      <c r="X453" s="177"/>
      <c r="Y453" s="177"/>
      <c r="Z453" s="177"/>
      <c r="AA453" s="177"/>
      <c r="AB453" s="177"/>
      <c r="AC453" s="177"/>
      <c r="AD453" s="177"/>
      <c r="AE453" s="177"/>
      <c r="AF453" s="177"/>
      <c r="AG453" s="177"/>
      <c r="AH453" s="177"/>
      <c r="AI453" s="177"/>
      <c r="AJ453" s="183"/>
      <c r="AZ453" s="3"/>
      <c r="BA453" s="3" t="str">
        <f>N575</f>
        <v>Yes</v>
      </c>
      <c r="BB453" s="3"/>
      <c r="BC453" s="3"/>
    </row>
    <row r="454" spans="1:55" ht="12.95" customHeight="1">
      <c r="D454" s="206" t="s">
        <v>814</v>
      </c>
      <c r="E454" s="177"/>
      <c r="F454" s="177"/>
      <c r="G454" s="177"/>
      <c r="H454" s="177"/>
      <c r="I454" s="177"/>
      <c r="J454" s="177"/>
      <c r="K454" s="177"/>
      <c r="L454" s="177"/>
      <c r="M454" s="177"/>
      <c r="N454" s="177"/>
      <c r="O454" s="177"/>
      <c r="P454" s="177"/>
      <c r="Q454" s="177"/>
      <c r="R454" s="177"/>
      <c r="S454" s="177"/>
      <c r="T454" s="177"/>
      <c r="U454" s="177"/>
      <c r="V454" s="177"/>
      <c r="W454" s="177"/>
      <c r="X454" s="177"/>
      <c r="Y454" s="177"/>
      <c r="Z454" s="177"/>
      <c r="AA454" s="177"/>
      <c r="AB454" s="177"/>
      <c r="AC454" s="1831">
        <f>IF(AG437=0,"",'Sources and Uses Budget'!B105/Application!AG437)</f>
        <v>371511.80172413791</v>
      </c>
      <c r="AD454" s="1831"/>
      <c r="AE454" s="1831"/>
      <c r="AF454" s="1831"/>
      <c r="AG454" s="177"/>
      <c r="AH454" s="177"/>
      <c r="AI454" s="177"/>
      <c r="AJ454" s="183"/>
      <c r="AZ454" s="3"/>
      <c r="BA454" s="3" t="str">
        <f>AG575</f>
        <v>Yes</v>
      </c>
      <c r="BB454" s="3"/>
      <c r="BC454" s="3"/>
    </row>
    <row r="455" spans="1:55" ht="12.95" customHeight="1">
      <c r="D455" s="206" t="s">
        <v>815</v>
      </c>
      <c r="E455" s="177"/>
      <c r="F455" s="177"/>
      <c r="G455" s="177"/>
      <c r="H455" s="177"/>
      <c r="I455" s="177"/>
      <c r="J455" s="177"/>
      <c r="K455" s="177"/>
      <c r="L455" s="177"/>
      <c r="M455" s="177"/>
      <c r="N455" s="177"/>
      <c r="O455" s="177"/>
      <c r="P455" s="177"/>
      <c r="Q455" s="177"/>
      <c r="R455" s="177"/>
      <c r="S455" s="177"/>
      <c r="T455" s="177"/>
      <c r="U455" s="177"/>
      <c r="V455" s="177"/>
      <c r="W455" s="177"/>
      <c r="X455" s="177"/>
      <c r="Y455" s="177"/>
      <c r="Z455" s="177"/>
      <c r="AA455" s="177"/>
      <c r="AB455" s="177"/>
      <c r="AC455" s="1831">
        <f>IF(AG437=0,"",'Sources and Uses Budget'!C105/Application!AG437)</f>
        <v>371511.80172413791</v>
      </c>
      <c r="AD455" s="1831"/>
      <c r="AE455" s="1831"/>
      <c r="AF455" s="1831"/>
      <c r="AG455" s="177"/>
      <c r="AH455" s="177"/>
      <c r="AI455" s="177"/>
      <c r="AJ455" s="183"/>
      <c r="AZ455" s="3"/>
      <c r="BA455" s="3"/>
      <c r="BB455" s="3"/>
      <c r="BC455" s="3"/>
    </row>
    <row r="456" spans="1:55" ht="12.95" customHeight="1">
      <c r="D456" s="206" t="s">
        <v>863</v>
      </c>
      <c r="E456" s="177"/>
      <c r="F456" s="177"/>
      <c r="G456" s="177"/>
      <c r="H456" s="177"/>
      <c r="I456" s="177"/>
      <c r="J456" s="177"/>
      <c r="K456" s="177"/>
      <c r="L456" s="177"/>
      <c r="M456" s="177"/>
      <c r="N456" s="177"/>
      <c r="O456" s="177"/>
      <c r="P456" s="177"/>
      <c r="Q456" s="177"/>
      <c r="R456" s="177"/>
      <c r="S456" s="177"/>
      <c r="T456" s="177"/>
      <c r="U456" s="177"/>
      <c r="V456" s="177"/>
      <c r="W456" s="177"/>
      <c r="X456" s="177"/>
      <c r="Y456" s="177"/>
      <c r="Z456" s="177"/>
      <c r="AA456" s="177"/>
      <c r="AB456" s="177"/>
      <c r="AC456" s="1831">
        <f>IF(AG437=0,"",('Sources and Uses Budget'!$S$107+'Sources and Uses Budget'!$T$107)/Application!AG437)</f>
        <v>307379.50431034481</v>
      </c>
      <c r="AD456" s="1831"/>
      <c r="AE456" s="1831"/>
      <c r="AF456" s="1831"/>
      <c r="AG456" s="177"/>
      <c r="AH456" s="177"/>
      <c r="AI456" s="177"/>
      <c r="AJ456" s="183"/>
      <c r="AZ456" s="3"/>
      <c r="BA456" s="3"/>
      <c r="BB456" s="3"/>
      <c r="BC456" s="3"/>
    </row>
    <row r="457" spans="1:55" ht="12.95" customHeight="1">
      <c r="D457" s="177"/>
      <c r="E457" s="177"/>
      <c r="F457" s="1729" t="str">
        <f>IFERROR(IF(AC454&gt;650000,"Please provide a justification of cost per unit in Tab 12 for all projects with per unit costs of greater than $650,000.",""),"")</f>
        <v/>
      </c>
      <c r="G457" s="1729"/>
      <c r="H457" s="1729"/>
      <c r="I457" s="1729"/>
      <c r="J457" s="1729"/>
      <c r="K457" s="1729"/>
      <c r="L457" s="1729"/>
      <c r="M457" s="1729"/>
      <c r="N457" s="1729"/>
      <c r="O457" s="1729"/>
      <c r="P457" s="1729"/>
      <c r="Q457" s="1729"/>
      <c r="R457" s="1729"/>
      <c r="S457" s="1729"/>
      <c r="T457" s="1729"/>
      <c r="U457" s="1729"/>
      <c r="V457" s="1729"/>
      <c r="W457" s="1729"/>
      <c r="X457" s="1729"/>
      <c r="Y457" s="1729"/>
      <c r="Z457" s="1729"/>
      <c r="AA457" s="1729"/>
      <c r="AB457" s="1729"/>
      <c r="AC457" s="516"/>
      <c r="AD457" s="177"/>
      <c r="AE457" s="177"/>
      <c r="AF457" s="177"/>
      <c r="AG457" s="177"/>
      <c r="AH457" s="177"/>
      <c r="AI457" s="177"/>
      <c r="AJ457" s="183"/>
      <c r="AZ457" s="3"/>
      <c r="BA457" s="3"/>
      <c r="BB457" s="3"/>
      <c r="BC457" s="3"/>
    </row>
    <row r="458" spans="1:55" ht="12.95" customHeight="1">
      <c r="A458" s="2"/>
      <c r="D458" s="2"/>
      <c r="E458" s="177"/>
      <c r="F458" s="1729"/>
      <c r="G458" s="1729"/>
      <c r="H458" s="1729"/>
      <c r="I458" s="1729"/>
      <c r="J458" s="1729"/>
      <c r="K458" s="1729"/>
      <c r="L458" s="1729"/>
      <c r="M458" s="1729"/>
      <c r="N458" s="1729"/>
      <c r="O458" s="1729"/>
      <c r="P458" s="1729"/>
      <c r="Q458" s="1729"/>
      <c r="R458" s="1729"/>
      <c r="S458" s="1729"/>
      <c r="T458" s="1729"/>
      <c r="U458" s="1729"/>
      <c r="V458" s="1729"/>
      <c r="W458" s="1729"/>
      <c r="X458" s="1729"/>
      <c r="Y458" s="1729"/>
      <c r="Z458" s="1729"/>
      <c r="AA458" s="1729"/>
      <c r="AB458" s="1729"/>
      <c r="AC458" s="177"/>
      <c r="AD458" s="177"/>
      <c r="AE458" s="177"/>
      <c r="AF458" s="177"/>
      <c r="AG458" s="177"/>
      <c r="AH458" s="177"/>
      <c r="AI458" s="177"/>
      <c r="AJ458" s="183"/>
      <c r="AZ458" s="3"/>
      <c r="BA458" s="3"/>
      <c r="BB458" s="3"/>
      <c r="BC458" s="3"/>
    </row>
    <row r="459" spans="1:55" ht="12.95" customHeight="1">
      <c r="A459" s="2" t="s">
        <v>613</v>
      </c>
      <c r="D459" s="2" t="s">
        <v>247</v>
      </c>
      <c r="E459" s="177"/>
      <c r="F459" s="177"/>
      <c r="G459" s="177"/>
      <c r="H459" s="177"/>
      <c r="I459" s="177"/>
      <c r="J459" s="177"/>
      <c r="K459" s="177"/>
      <c r="L459" s="177"/>
      <c r="M459" s="177"/>
      <c r="N459" s="177"/>
      <c r="O459" s="177"/>
      <c r="P459" s="177"/>
      <c r="Q459" s="177"/>
      <c r="R459" s="177"/>
      <c r="S459" s="177"/>
      <c r="T459" s="177"/>
      <c r="U459" s="177"/>
      <c r="V459" s="177"/>
      <c r="W459" s="177"/>
      <c r="X459" s="177"/>
      <c r="Y459" s="177"/>
      <c r="Z459" s="177"/>
      <c r="AA459" s="177"/>
      <c r="AB459" s="177"/>
      <c r="AC459" s="177"/>
      <c r="AD459" s="177"/>
      <c r="AE459" s="177"/>
      <c r="AF459" s="177"/>
      <c r="AG459" s="177"/>
      <c r="AH459" s="177"/>
      <c r="AI459" s="177"/>
      <c r="AJ459" s="183"/>
      <c r="AZ459" s="3"/>
      <c r="BA459" s="3"/>
      <c r="BB459" s="3"/>
      <c r="BC459" s="3"/>
    </row>
    <row r="460" spans="1:55" ht="12.95" customHeight="1">
      <c r="D460" s="184" t="s">
        <v>1875</v>
      </c>
      <c r="E460" s="177"/>
      <c r="F460" s="177"/>
      <c r="G460" s="177"/>
      <c r="H460" s="177"/>
      <c r="I460" s="177"/>
      <c r="J460" s="177"/>
      <c r="K460" s="177"/>
      <c r="L460" s="177"/>
      <c r="M460" s="177"/>
      <c r="N460" s="177"/>
      <c r="O460" s="177"/>
      <c r="P460" s="177"/>
      <c r="Q460" s="177"/>
      <c r="R460" s="177"/>
      <c r="S460" s="177"/>
      <c r="T460" s="177"/>
      <c r="U460" s="177"/>
      <c r="V460" s="177"/>
      <c r="W460" s="177"/>
      <c r="X460" s="177"/>
      <c r="Y460" s="177"/>
      <c r="Z460" s="177"/>
      <c r="AA460" s="177"/>
      <c r="AB460" s="177"/>
      <c r="AC460" s="177"/>
      <c r="AD460" s="177"/>
      <c r="AE460" s="177"/>
      <c r="AF460" s="177"/>
      <c r="AG460" s="177"/>
      <c r="AH460" s="177"/>
      <c r="AI460" s="177"/>
      <c r="AJ460" s="183"/>
      <c r="AZ460" s="3"/>
      <c r="BA460" s="3"/>
      <c r="BB460" s="3"/>
      <c r="BC460" s="3"/>
    </row>
    <row r="461" spans="1:55" ht="12.95" customHeight="1">
      <c r="D461" s="184" t="s">
        <v>1876</v>
      </c>
      <c r="E461" s="177"/>
      <c r="F461" s="177"/>
      <c r="G461" s="177"/>
      <c r="H461" s="177"/>
      <c r="I461" s="177"/>
      <c r="J461" s="177"/>
      <c r="K461" s="177"/>
      <c r="L461" s="177"/>
      <c r="M461" s="177"/>
      <c r="N461" s="177"/>
      <c r="O461" s="177"/>
      <c r="P461" s="177"/>
      <c r="Q461" s="177"/>
      <c r="R461" s="177"/>
      <c r="S461" s="177"/>
      <c r="T461" s="177"/>
      <c r="U461" s="177"/>
      <c r="V461" s="177"/>
      <c r="W461" s="177"/>
      <c r="X461" s="177"/>
      <c r="Y461" s="177"/>
      <c r="Z461" s="177"/>
      <c r="AA461" s="177"/>
      <c r="AB461" s="177"/>
      <c r="AC461" s="177"/>
      <c r="AD461" s="177"/>
      <c r="AE461" s="177"/>
      <c r="AF461" s="177"/>
      <c r="AG461" s="177"/>
      <c r="AH461" s="177"/>
      <c r="AI461" s="177"/>
      <c r="AJ461" s="183"/>
      <c r="AZ461" s="3"/>
      <c r="BA461" s="3" t="str">
        <f>N583</f>
        <v>Yes</v>
      </c>
      <c r="BB461" s="3"/>
      <c r="BC461" s="3"/>
    </row>
    <row r="462" spans="1:55" ht="12.95" customHeight="1">
      <c r="D462" s="184" t="s">
        <v>1877</v>
      </c>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AG583</f>
        <v>Yes</v>
      </c>
      <c r="BB462" s="3"/>
      <c r="BC462" s="3"/>
    </row>
    <row r="463" spans="1:55" ht="12.95" customHeight="1">
      <c r="D463" s="532"/>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77"/>
      <c r="AD463" s="177"/>
      <c r="AE463" s="177"/>
      <c r="AF463" s="177"/>
      <c r="AG463" s="177"/>
      <c r="AH463" s="177"/>
      <c r="AI463" s="177"/>
      <c r="AJ463" s="183"/>
      <c r="AZ463" s="3"/>
      <c r="BA463" s="3"/>
      <c r="BB463" s="3"/>
      <c r="BC463" s="3"/>
    </row>
    <row r="464" spans="1:55" ht="12.95" customHeight="1">
      <c r="A464" s="3"/>
      <c r="B464" s="3"/>
      <c r="C464" s="3"/>
      <c r="D464" s="185" t="s">
        <v>692</v>
      </c>
      <c r="E464" s="184"/>
      <c r="F464" s="184"/>
      <c r="G464" s="184"/>
      <c r="H464" s="184"/>
      <c r="I464" s="184"/>
      <c r="J464" s="184"/>
      <c r="K464" s="184"/>
      <c r="L464" s="184"/>
      <c r="M464" s="184"/>
      <c r="N464" s="184"/>
      <c r="O464" s="184"/>
      <c r="P464" s="184"/>
      <c r="Q464" s="184"/>
      <c r="R464" s="184"/>
      <c r="S464" s="184"/>
      <c r="T464" s="184"/>
      <c r="U464" s="184"/>
      <c r="V464" s="184"/>
      <c r="W464" s="184"/>
      <c r="X464" s="184"/>
      <c r="Y464" s="184"/>
      <c r="Z464" s="184"/>
      <c r="AA464" s="184"/>
      <c r="AB464" s="184"/>
      <c r="AC464" s="184"/>
      <c r="AD464" s="177"/>
      <c r="AE464" s="177"/>
      <c r="AF464" s="177"/>
      <c r="AG464" s="177"/>
      <c r="AH464" s="177"/>
      <c r="AI464" s="177"/>
      <c r="AJ464" s="183"/>
      <c r="AZ464" s="3"/>
      <c r="BA464" s="3"/>
      <c r="BB464" s="3"/>
      <c r="BC464" s="3"/>
    </row>
    <row r="465" spans="1:55" ht="12.95" customHeight="1">
      <c r="A465" s="3"/>
      <c r="B465" s="3"/>
      <c r="C465" s="3"/>
      <c r="D465" s="1763" t="s">
        <v>2100</v>
      </c>
      <c r="E465" s="1752"/>
      <c r="F465" s="1752"/>
      <c r="G465" s="1752"/>
      <c r="H465" s="1752"/>
      <c r="I465" s="1752"/>
      <c r="J465" s="1752"/>
      <c r="K465" s="1752"/>
      <c r="L465" s="1752"/>
      <c r="M465" s="1752"/>
      <c r="N465" s="1752"/>
      <c r="O465" s="1752"/>
      <c r="P465" s="1752"/>
      <c r="Q465" s="1752"/>
      <c r="R465" s="1752"/>
      <c r="S465" s="1752"/>
      <c r="T465" s="1752"/>
      <c r="U465" s="1752"/>
      <c r="V465" s="1753"/>
      <c r="W465" s="1683">
        <v>0</v>
      </c>
      <c r="X465" s="1684"/>
      <c r="Y465" s="1685"/>
      <c r="Z465" s="184"/>
      <c r="AA465" s="184"/>
      <c r="AB465" s="184"/>
      <c r="AC465" s="184"/>
      <c r="AD465" s="177"/>
      <c r="AE465" s="177"/>
      <c r="AF465" s="177"/>
      <c r="AG465" s="177"/>
      <c r="AH465" s="177"/>
      <c r="AI465" s="177"/>
      <c r="AJ465" s="183"/>
      <c r="AZ465" s="3"/>
      <c r="BA465" s="3"/>
      <c r="BB465" s="3"/>
      <c r="BC465" s="3"/>
    </row>
    <row r="466" spans="1:55" ht="12.95" customHeight="1">
      <c r="A466" s="3"/>
      <c r="B466" s="3"/>
      <c r="C466" s="3"/>
      <c r="D466" s="1751" t="s">
        <v>693</v>
      </c>
      <c r="E466" s="1752"/>
      <c r="F466" s="1752"/>
      <c r="G466" s="1752"/>
      <c r="H466" s="1752"/>
      <c r="I466" s="1752"/>
      <c r="J466" s="1752"/>
      <c r="K466" s="1752"/>
      <c r="L466" s="1752"/>
      <c r="M466" s="1752"/>
      <c r="N466" s="1752"/>
      <c r="O466" s="1752"/>
      <c r="P466" s="1752"/>
      <c r="Q466" s="1752"/>
      <c r="R466" s="1752"/>
      <c r="S466" s="1752"/>
      <c r="T466" s="1752"/>
      <c r="U466" s="1752"/>
      <c r="V466" s="1753"/>
      <c r="W466" s="1683">
        <v>0</v>
      </c>
      <c r="X466" s="1684"/>
      <c r="Y466" s="1685"/>
      <c r="Z466" s="184"/>
      <c r="AA466" s="184"/>
      <c r="AB466" s="184"/>
      <c r="AC466" s="184"/>
      <c r="AD466" s="177"/>
      <c r="AE466" s="177"/>
      <c r="AF466" s="177"/>
      <c r="AG466" s="177"/>
      <c r="AH466" s="177"/>
      <c r="AI466" s="177"/>
      <c r="AJ466" s="183"/>
      <c r="AZ466" s="3"/>
      <c r="BA466" s="3"/>
      <c r="BB466" s="3"/>
      <c r="BC466" s="3"/>
    </row>
    <row r="467" spans="1:55" ht="12.95" customHeight="1">
      <c r="A467" s="3"/>
      <c r="B467" s="3"/>
      <c r="C467" s="3"/>
      <c r="D467" s="1751" t="s">
        <v>694</v>
      </c>
      <c r="E467" s="1752"/>
      <c r="F467" s="1752"/>
      <c r="G467" s="1752"/>
      <c r="H467" s="1752"/>
      <c r="I467" s="1752"/>
      <c r="J467" s="1752"/>
      <c r="K467" s="1752"/>
      <c r="L467" s="1752"/>
      <c r="M467" s="1752"/>
      <c r="N467" s="1752"/>
      <c r="O467" s="1752"/>
      <c r="P467" s="1752"/>
      <c r="Q467" s="1752"/>
      <c r="R467" s="1752"/>
      <c r="S467" s="1752"/>
      <c r="T467" s="1752"/>
      <c r="U467" s="1752"/>
      <c r="V467" s="1753"/>
      <c r="W467" s="1683">
        <v>0</v>
      </c>
      <c r="X467" s="1684"/>
      <c r="Y467" s="1685"/>
      <c r="Z467" s="184"/>
      <c r="AA467" s="184"/>
      <c r="AB467" s="184"/>
      <c r="AC467" s="184"/>
      <c r="AD467" s="177"/>
      <c r="AE467" s="177"/>
      <c r="AF467" s="177"/>
      <c r="AG467" s="177"/>
      <c r="AH467" s="177"/>
      <c r="AI467" s="177"/>
      <c r="AJ467" s="183"/>
      <c r="AZ467" s="3"/>
      <c r="BA467" s="3"/>
      <c r="BB467" s="3"/>
      <c r="BC467" s="3"/>
    </row>
    <row r="468" spans="1:55" ht="12.95" customHeight="1">
      <c r="A468" s="3"/>
      <c r="B468" s="3"/>
      <c r="C468" s="3"/>
      <c r="D468" s="1751" t="s">
        <v>695</v>
      </c>
      <c r="E468" s="1752"/>
      <c r="F468" s="1752"/>
      <c r="G468" s="1752"/>
      <c r="H468" s="1752"/>
      <c r="I468" s="1752"/>
      <c r="J468" s="1752"/>
      <c r="K468" s="1752"/>
      <c r="L468" s="1752"/>
      <c r="M468" s="1752"/>
      <c r="N468" s="1752"/>
      <c r="O468" s="1752"/>
      <c r="P468" s="1752"/>
      <c r="Q468" s="1752"/>
      <c r="R468" s="1752"/>
      <c r="S468" s="1752"/>
      <c r="T468" s="1752"/>
      <c r="U468" s="1752"/>
      <c r="V468" s="1753"/>
      <c r="W468" s="1683">
        <v>0</v>
      </c>
      <c r="X468" s="1684"/>
      <c r="Y468" s="1685"/>
      <c r="Z468" s="184"/>
      <c r="AA468" s="184"/>
      <c r="AB468" s="184"/>
      <c r="AC468" s="184"/>
      <c r="AD468" s="177"/>
      <c r="AE468" s="177"/>
      <c r="AF468" s="177"/>
      <c r="AG468" s="177"/>
      <c r="AH468" s="177"/>
      <c r="AI468" s="177"/>
      <c r="AJ468" s="183"/>
      <c r="AZ468" s="3"/>
      <c r="BA468" s="3"/>
      <c r="BB468" s="3"/>
      <c r="BC468" s="3"/>
    </row>
    <row r="469" spans="1:55" ht="12.95" customHeight="1">
      <c r="A469" s="3"/>
      <c r="B469" s="3"/>
      <c r="C469" s="3"/>
      <c r="D469" s="1751" t="s">
        <v>881</v>
      </c>
      <c r="E469" s="1752"/>
      <c r="F469" s="1752"/>
      <c r="G469" s="1752"/>
      <c r="H469" s="1752"/>
      <c r="I469" s="1752"/>
      <c r="J469" s="1752"/>
      <c r="K469" s="1752"/>
      <c r="L469" s="1752"/>
      <c r="M469" s="1752"/>
      <c r="N469" s="1752"/>
      <c r="O469" s="1752"/>
      <c r="P469" s="1752"/>
      <c r="Q469" s="1752"/>
      <c r="R469" s="1752"/>
      <c r="S469" s="1752"/>
      <c r="T469" s="1752"/>
      <c r="U469" s="1752"/>
      <c r="V469" s="1753"/>
      <c r="W469" s="1683">
        <v>0</v>
      </c>
      <c r="X469" s="1684"/>
      <c r="Y469" s="1685"/>
      <c r="Z469" s="184"/>
      <c r="AA469" s="184"/>
      <c r="AB469" s="184"/>
      <c r="AC469" s="184"/>
      <c r="AD469" s="177"/>
      <c r="AE469" s="177"/>
      <c r="AF469" s="177"/>
      <c r="AG469" s="177"/>
      <c r="AH469" s="177"/>
      <c r="AI469" s="177"/>
      <c r="AJ469" s="183"/>
      <c r="AZ469" s="3"/>
      <c r="BA469" s="3" t="str">
        <f>N591</f>
        <v>Yes</v>
      </c>
      <c r="BB469" s="3"/>
      <c r="BC469" s="3"/>
    </row>
    <row r="470" spans="1:55" ht="12.95" customHeight="1">
      <c r="A470" s="3"/>
      <c r="B470" s="3"/>
      <c r="C470" s="3"/>
      <c r="D470" s="1751" t="s">
        <v>696</v>
      </c>
      <c r="E470" s="1752"/>
      <c r="F470" s="1752"/>
      <c r="G470" s="1752"/>
      <c r="H470" s="1752"/>
      <c r="I470" s="1752"/>
      <c r="J470" s="1752"/>
      <c r="K470" s="1752"/>
      <c r="L470" s="1752"/>
      <c r="M470" s="1752"/>
      <c r="N470" s="1752"/>
      <c r="O470" s="1752"/>
      <c r="P470" s="1752"/>
      <c r="Q470" s="1752"/>
      <c r="R470" s="1752"/>
      <c r="S470" s="1752"/>
      <c r="T470" s="1752"/>
      <c r="U470" s="1752"/>
      <c r="V470" s="1753"/>
      <c r="W470" s="1683">
        <v>0</v>
      </c>
      <c r="X470" s="1684"/>
      <c r="Y470" s="1685"/>
      <c r="Z470" s="184"/>
      <c r="AA470" s="184"/>
      <c r="AB470" s="184"/>
      <c r="AC470" s="184"/>
      <c r="AD470" s="177"/>
      <c r="AE470" s="177"/>
      <c r="AF470" s="177"/>
      <c r="AG470" s="177"/>
      <c r="AH470" s="177"/>
      <c r="AI470" s="177"/>
      <c r="AJ470" s="183"/>
      <c r="AZ470" s="3"/>
      <c r="BA470" s="3" t="str">
        <f>AG591</f>
        <v>Yes</v>
      </c>
      <c r="BB470" s="3"/>
      <c r="BC470" s="3"/>
    </row>
    <row r="471" spans="1:55" ht="12.95" customHeight="1">
      <c r="A471" s="3"/>
      <c r="B471" s="3"/>
      <c r="C471" s="3"/>
      <c r="D471" s="1751" t="s">
        <v>1011</v>
      </c>
      <c r="E471" s="1752"/>
      <c r="F471" s="1752"/>
      <c r="G471" s="1752"/>
      <c r="H471" s="1752"/>
      <c r="I471" s="1752"/>
      <c r="J471" s="1752"/>
      <c r="K471" s="1752"/>
      <c r="L471" s="1752"/>
      <c r="M471" s="1752"/>
      <c r="N471" s="1752"/>
      <c r="O471" s="1752"/>
      <c r="P471" s="1752"/>
      <c r="Q471" s="1752"/>
      <c r="R471" s="1752"/>
      <c r="S471" s="1752"/>
      <c r="T471" s="1752"/>
      <c r="U471" s="1752"/>
      <c r="V471" s="1753"/>
      <c r="W471" s="1683">
        <v>0</v>
      </c>
      <c r="X471" s="1684"/>
      <c r="Y471" s="1685"/>
      <c r="Z471" s="184"/>
      <c r="AA471" s="184"/>
      <c r="AB471" s="184"/>
      <c r="AC471" s="184"/>
      <c r="AD471" s="177"/>
      <c r="AE471" s="177"/>
      <c r="AF471" s="177"/>
      <c r="AG471" s="177"/>
      <c r="AH471" s="177"/>
      <c r="AI471" s="177"/>
      <c r="AJ471" s="183"/>
      <c r="AZ471" s="3"/>
      <c r="BA471" s="3"/>
      <c r="BB471" s="3"/>
      <c r="BC471" s="3"/>
    </row>
    <row r="472" spans="1:55" ht="12.95" customHeight="1">
      <c r="A472" s="3"/>
      <c r="B472" s="3"/>
      <c r="C472" s="3"/>
      <c r="D472" s="1763" t="s">
        <v>2191</v>
      </c>
      <c r="E472" s="1847"/>
      <c r="F472" s="1847"/>
      <c r="G472" s="1847"/>
      <c r="H472" s="1847"/>
      <c r="I472" s="1847"/>
      <c r="J472" s="1847"/>
      <c r="K472" s="1847"/>
      <c r="L472" s="1847"/>
      <c r="M472" s="1847"/>
      <c r="N472" s="1847"/>
      <c r="O472" s="1847"/>
      <c r="P472" s="1847"/>
      <c r="Q472" s="1847"/>
      <c r="R472" s="1847"/>
      <c r="S472" s="1847"/>
      <c r="T472" s="1847"/>
      <c r="U472" s="1847"/>
      <c r="V472" s="1848"/>
      <c r="W472" s="1683">
        <v>0</v>
      </c>
      <c r="X472" s="1684"/>
      <c r="Y472" s="1685"/>
      <c r="Z472" s="184"/>
      <c r="AA472" s="184"/>
      <c r="AB472" s="184"/>
      <c r="AC472" s="184"/>
      <c r="AD472" s="177"/>
      <c r="AE472" s="177"/>
      <c r="AF472" s="177"/>
      <c r="AG472" s="177"/>
      <c r="AH472" s="177"/>
      <c r="AI472" s="177"/>
      <c r="AJ472" s="183"/>
      <c r="AZ472" s="3"/>
      <c r="BA472" s="3"/>
      <c r="BB472" s="3"/>
      <c r="BC472" s="3"/>
    </row>
    <row r="473" spans="1:55" ht="12.95" customHeight="1">
      <c r="A473" s="3"/>
      <c r="B473" s="3"/>
      <c r="C473" s="3"/>
      <c r="D473" s="1763" t="s">
        <v>1653</v>
      </c>
      <c r="E473" s="1752"/>
      <c r="F473" s="1752"/>
      <c r="G473" s="1752"/>
      <c r="H473" s="1752"/>
      <c r="I473" s="1752"/>
      <c r="J473" s="1752"/>
      <c r="K473" s="1752"/>
      <c r="L473" s="1752"/>
      <c r="M473" s="1752"/>
      <c r="N473" s="1752"/>
      <c r="O473" s="1752"/>
      <c r="P473" s="1752"/>
      <c r="Q473" s="1752"/>
      <c r="R473" s="1752"/>
      <c r="S473" s="1752"/>
      <c r="T473" s="1752"/>
      <c r="U473" s="1752"/>
      <c r="V473" s="1753"/>
      <c r="W473" s="1683">
        <v>0</v>
      </c>
      <c r="X473" s="1684"/>
      <c r="Y473" s="1685"/>
      <c r="Z473" s="184"/>
      <c r="AA473" s="184"/>
      <c r="AB473" s="184"/>
      <c r="AC473" s="184"/>
      <c r="AD473" s="177"/>
      <c r="AE473" s="177"/>
      <c r="AF473" s="177"/>
      <c r="AG473" s="177"/>
      <c r="AH473" s="177"/>
      <c r="AI473" s="177"/>
      <c r="AJ473" s="183"/>
      <c r="AZ473" s="3"/>
      <c r="BA473" s="3"/>
      <c r="BB473" s="3"/>
      <c r="BC473" s="3"/>
    </row>
    <row r="474" spans="1:55" ht="12.95" customHeight="1">
      <c r="A474" s="3"/>
      <c r="B474" s="3"/>
      <c r="C474" s="3"/>
      <c r="D474" s="244" t="s">
        <v>169</v>
      </c>
      <c r="E474" s="245"/>
      <c r="F474" s="246"/>
      <c r="G474" s="1741"/>
      <c r="H474" s="1742"/>
      <c r="I474" s="1742"/>
      <c r="J474" s="1742"/>
      <c r="K474" s="1742"/>
      <c r="L474" s="1742"/>
      <c r="M474" s="1742"/>
      <c r="N474" s="1742"/>
      <c r="O474" s="1742"/>
      <c r="P474" s="1742"/>
      <c r="Q474" s="1742"/>
      <c r="R474" s="1742"/>
      <c r="S474" s="1742"/>
      <c r="T474" s="1742"/>
      <c r="U474" s="1742"/>
      <c r="V474" s="1743"/>
      <c r="W474" s="1683">
        <v>0</v>
      </c>
      <c r="X474" s="1684"/>
      <c r="Y474" s="1685"/>
      <c r="Z474" s="184"/>
      <c r="AA474" s="184"/>
      <c r="AB474" s="184"/>
      <c r="AC474" s="184"/>
      <c r="AD474" s="177"/>
      <c r="AE474" s="177"/>
      <c r="AF474" s="177"/>
      <c r="AG474" s="177"/>
      <c r="AH474" s="177"/>
      <c r="AI474" s="177"/>
      <c r="AJ474" s="183"/>
      <c r="AZ474" s="3"/>
      <c r="BA474" s="3"/>
      <c r="BB474" s="3"/>
      <c r="BC474" s="3"/>
    </row>
    <row r="475" spans="1:55" ht="12.95" customHeight="1">
      <c r="A475" s="3"/>
      <c r="B475" s="3"/>
      <c r="C475" s="3"/>
      <c r="D475" s="247" t="s">
        <v>882</v>
      </c>
      <c r="E475" s="248"/>
      <c r="F475" s="248"/>
      <c r="G475" s="185"/>
      <c r="H475" s="185"/>
      <c r="I475" s="185"/>
      <c r="J475" s="185"/>
      <c r="K475" s="185"/>
      <c r="L475" s="185"/>
      <c r="M475" s="185"/>
      <c r="N475" s="185"/>
      <c r="O475" s="185"/>
      <c r="P475" s="185"/>
      <c r="Q475" s="185"/>
      <c r="R475" s="185"/>
      <c r="S475" s="185"/>
      <c r="T475" s="185"/>
      <c r="U475" s="185"/>
      <c r="V475" s="185"/>
      <c r="W475" s="249"/>
      <c r="X475" s="249"/>
      <c r="Y475" s="250"/>
      <c r="Z475" s="184"/>
      <c r="AA475" s="184"/>
      <c r="AB475" s="184"/>
      <c r="AC475" s="184"/>
      <c r="AD475" s="177"/>
      <c r="AE475" s="177"/>
      <c r="AF475" s="177"/>
      <c r="AG475" s="177"/>
      <c r="AH475" s="177"/>
      <c r="AI475" s="177"/>
      <c r="AJ475" s="183"/>
      <c r="AZ475" s="3"/>
      <c r="BA475" s="3"/>
      <c r="BB475" s="3"/>
      <c r="BC475" s="3"/>
    </row>
    <row r="476" spans="1:55" ht="12.95" customHeight="1">
      <c r="A476" s="3"/>
      <c r="B476" s="3"/>
      <c r="C476" s="3"/>
      <c r="D476" s="251"/>
      <c r="E476" s="252"/>
      <c r="F476" s="252"/>
      <c r="G476" s="252"/>
      <c r="H476" s="252"/>
      <c r="I476" s="252"/>
      <c r="J476" s="252"/>
      <c r="K476" s="252"/>
      <c r="L476" s="252"/>
      <c r="M476" s="252"/>
      <c r="N476" s="252"/>
      <c r="O476" s="252"/>
      <c r="P476" s="252"/>
      <c r="Q476" s="252"/>
      <c r="R476" s="252"/>
      <c r="S476" s="252"/>
      <c r="T476" s="252"/>
      <c r="U476" s="252"/>
      <c r="V476" s="252"/>
      <c r="W476" s="253"/>
      <c r="X476" s="253"/>
      <c r="Y476" s="254"/>
      <c r="Z476" s="184"/>
      <c r="AA476" s="184"/>
      <c r="AB476" s="184"/>
      <c r="AC476" s="184"/>
      <c r="AD476" s="177"/>
      <c r="AE476" s="177"/>
      <c r="AF476" s="177"/>
      <c r="AG476" s="177"/>
      <c r="AH476" s="177"/>
      <c r="AI476" s="177"/>
      <c r="AJ476" s="183"/>
      <c r="AZ476" s="3"/>
      <c r="BA476" s="3"/>
      <c r="BB476" s="3"/>
      <c r="BC476" s="3"/>
    </row>
    <row r="477" spans="1:55" ht="12.95" customHeight="1">
      <c r="A477" s="3"/>
      <c r="B477" s="3"/>
      <c r="C477" s="3"/>
      <c r="D477" s="251"/>
      <c r="E477" s="252"/>
      <c r="F477" s="252"/>
      <c r="G477" s="252"/>
      <c r="H477" s="252"/>
      <c r="I477" s="252"/>
      <c r="J477" s="252"/>
      <c r="K477" s="252"/>
      <c r="L477" s="252"/>
      <c r="M477" s="252"/>
      <c r="N477" s="252"/>
      <c r="O477" s="252"/>
      <c r="P477" s="252"/>
      <c r="Q477" s="252"/>
      <c r="R477" s="252"/>
      <c r="S477" s="252"/>
      <c r="T477" s="252"/>
      <c r="U477" s="252"/>
      <c r="V477" s="252"/>
      <c r="W477" s="253"/>
      <c r="X477" s="253"/>
      <c r="Y477" s="254"/>
      <c r="Z477" s="184"/>
      <c r="AA477" s="184"/>
      <c r="AB477" s="184"/>
      <c r="AC477" s="184"/>
      <c r="AD477" s="177"/>
      <c r="AE477" s="177"/>
      <c r="AF477" s="177"/>
      <c r="AG477" s="177"/>
      <c r="AH477" s="177"/>
      <c r="AI477" s="177"/>
      <c r="AJ477" s="183"/>
      <c r="AZ477" s="3"/>
      <c r="BA477" s="3"/>
      <c r="BB477" s="3"/>
      <c r="BC477" s="3"/>
    </row>
    <row r="478" spans="1:55" ht="12.95" customHeight="1">
      <c r="A478" s="3"/>
      <c r="B478" s="3"/>
      <c r="C478" s="3"/>
      <c r="D478" s="251"/>
      <c r="E478" s="252"/>
      <c r="F478" s="252"/>
      <c r="G478" s="252"/>
      <c r="H478" s="252"/>
      <c r="I478" s="252"/>
      <c r="J478" s="252"/>
      <c r="K478" s="252"/>
      <c r="L478" s="252"/>
      <c r="M478" s="252"/>
      <c r="N478" s="252"/>
      <c r="O478" s="252"/>
      <c r="P478" s="252"/>
      <c r="Q478" s="252"/>
      <c r="R478" s="252"/>
      <c r="S478" s="252"/>
      <c r="T478" s="252"/>
      <c r="U478" s="252"/>
      <c r="V478" s="252"/>
      <c r="W478" s="253"/>
      <c r="X478" s="253"/>
      <c r="Y478" s="254"/>
      <c r="Z478" s="184"/>
      <c r="AA478" s="184"/>
      <c r="AB478" s="184"/>
      <c r="AC478" s="184"/>
      <c r="AD478" s="177"/>
      <c r="AE478" s="177"/>
      <c r="AF478" s="177"/>
      <c r="AG478" s="177"/>
      <c r="AH478" s="177"/>
      <c r="AI478" s="177"/>
      <c r="AJ478" s="183"/>
      <c r="AZ478" s="3"/>
      <c r="BA478" s="3" t="str">
        <f>N599</f>
        <v>Yes</v>
      </c>
      <c r="BB478" s="3"/>
      <c r="BC478" s="3"/>
    </row>
    <row r="479" spans="1:55" ht="12.95" customHeight="1">
      <c r="AU479" s="95"/>
      <c r="AV479" s="95"/>
      <c r="AW479" s="95"/>
      <c r="AX479" s="95"/>
      <c r="AY479" s="95"/>
      <c r="AZ479" s="3"/>
      <c r="BA479" s="3" t="str">
        <f>AG599</f>
        <v>Yes</v>
      </c>
      <c r="BB479" s="3"/>
      <c r="BC479" s="3"/>
    </row>
    <row r="480" spans="1:55" ht="12.95" customHeight="1">
      <c r="A480" s="1423" t="s">
        <v>810</v>
      </c>
      <c r="B480" s="1423"/>
      <c r="C480" s="1423"/>
      <c r="D480" s="1423"/>
      <c r="E480" s="1423"/>
      <c r="F480" s="1423"/>
      <c r="G480" s="1423"/>
      <c r="H480" s="1423"/>
      <c r="I480" s="1423"/>
      <c r="J480" s="1423"/>
      <c r="K480" s="1423"/>
      <c r="L480" s="1423"/>
      <c r="M480" s="1423"/>
      <c r="N480" s="1423"/>
      <c r="O480" s="1423"/>
      <c r="P480" s="1423"/>
      <c r="Q480" s="1423"/>
      <c r="R480" s="1423"/>
      <c r="S480" s="1423"/>
      <c r="T480" s="1423"/>
      <c r="U480" s="1423"/>
      <c r="V480" s="1423"/>
      <c r="W480" s="1423"/>
      <c r="X480" s="1423"/>
      <c r="Y480" s="1423"/>
      <c r="Z480" s="1423"/>
      <c r="AA480" s="1423"/>
      <c r="AB480" s="1423"/>
      <c r="AC480" s="1423"/>
      <c r="AD480" s="1423"/>
      <c r="AE480" s="1423"/>
      <c r="AF480" s="1423"/>
      <c r="AG480" s="1423"/>
      <c r="AH480" s="1423"/>
      <c r="AI480" s="1423"/>
      <c r="AJ480" s="1423"/>
      <c r="AK480" s="1423"/>
      <c r="AL480" s="1423"/>
      <c r="AM480" s="1423"/>
      <c r="AN480" s="1423"/>
      <c r="AO480" s="1423"/>
      <c r="AP480" s="1423"/>
      <c r="AQ480" s="1423"/>
      <c r="AR480" s="1423"/>
      <c r="AS480" s="1423"/>
      <c r="AT480" s="1423"/>
      <c r="AU480" s="95"/>
      <c r="AV480" s="95"/>
      <c r="AW480" s="95"/>
      <c r="AX480" s="95"/>
      <c r="AY480" s="95"/>
      <c r="AZ480" s="3"/>
      <c r="BB480" s="3"/>
      <c r="BC480" s="3"/>
    </row>
    <row r="481" spans="1:55" ht="12.95" customHeight="1">
      <c r="A481" s="1423"/>
      <c r="B481" s="1423"/>
      <c r="C481" s="1423"/>
      <c r="D481" s="1423"/>
      <c r="E481" s="1423"/>
      <c r="F481" s="1423"/>
      <c r="G481" s="1423"/>
      <c r="H481" s="1423"/>
      <c r="I481" s="1423"/>
      <c r="J481" s="1423"/>
      <c r="K481" s="1423"/>
      <c r="L481" s="1423"/>
      <c r="M481" s="1423"/>
      <c r="N481" s="1423"/>
      <c r="O481" s="1423"/>
      <c r="P481" s="1423"/>
      <c r="Q481" s="1423"/>
      <c r="R481" s="1423"/>
      <c r="S481" s="1423"/>
      <c r="T481" s="1423"/>
      <c r="U481" s="1423"/>
      <c r="V481" s="1423"/>
      <c r="W481" s="1423"/>
      <c r="X481" s="1423"/>
      <c r="Y481" s="1423"/>
      <c r="Z481" s="1423"/>
      <c r="AA481" s="1423"/>
      <c r="AB481" s="1423"/>
      <c r="AC481" s="1423"/>
      <c r="AD481" s="1423"/>
      <c r="AE481" s="1423"/>
      <c r="AF481" s="1423"/>
      <c r="AG481" s="1423"/>
      <c r="AH481" s="1423"/>
      <c r="AI481" s="1423"/>
      <c r="AJ481" s="1423"/>
      <c r="AK481" s="1423"/>
      <c r="AL481" s="1423"/>
      <c r="AM481" s="1423"/>
      <c r="AN481" s="1423"/>
      <c r="AO481" s="1423"/>
      <c r="AP481" s="1423"/>
      <c r="AQ481" s="1423"/>
      <c r="AR481" s="1423"/>
      <c r="AS481" s="1423"/>
      <c r="AT481" s="1423"/>
      <c r="AZ481" s="3"/>
      <c r="BB481" s="3"/>
      <c r="BC481" s="3"/>
    </row>
    <row r="482" spans="1:55" ht="12.95" customHeight="1">
      <c r="AZ482" s="3"/>
      <c r="BB482" s="3"/>
      <c r="BC482" s="3"/>
    </row>
    <row r="483" spans="1:55" ht="12.95" customHeight="1">
      <c r="A483" s="2" t="s">
        <v>318</v>
      </c>
      <c r="C483" s="2" t="s">
        <v>808</v>
      </c>
      <c r="AZ483" s="3"/>
      <c r="BB483" s="3"/>
      <c r="BC483" s="3"/>
    </row>
    <row r="484" spans="1:55" ht="12.95" customHeight="1">
      <c r="AZ484" s="3"/>
      <c r="BB484" s="3"/>
      <c r="BC484" s="3"/>
    </row>
    <row r="485" spans="1:55" ht="12.95" customHeight="1">
      <c r="B485" s="45"/>
      <c r="C485" s="5"/>
      <c r="D485" s="5"/>
      <c r="E485" s="5"/>
      <c r="F485" s="5"/>
      <c r="G485" s="5"/>
      <c r="H485" s="5"/>
      <c r="I485" s="5"/>
      <c r="J485" s="5"/>
      <c r="K485" s="5"/>
      <c r="L485" s="5"/>
      <c r="M485" s="5"/>
      <c r="N485" s="5"/>
      <c r="O485" s="5"/>
      <c r="P485" s="46"/>
      <c r="Q485" s="1777" t="s">
        <v>392</v>
      </c>
      <c r="R485" s="1778"/>
      <c r="S485" s="1778"/>
      <c r="T485" s="1778"/>
      <c r="U485" s="1778"/>
      <c r="V485" s="1778"/>
      <c r="W485" s="1778"/>
      <c r="X485" s="1778"/>
      <c r="Y485" s="1778"/>
      <c r="Z485" s="1778"/>
      <c r="AA485" s="1778"/>
      <c r="AB485" s="1778"/>
      <c r="AC485" s="1778"/>
      <c r="AD485" s="1778"/>
      <c r="AE485" s="1778"/>
      <c r="AF485" s="1778"/>
      <c r="AG485" s="1778"/>
      <c r="AH485" s="1778"/>
      <c r="AI485" s="1778"/>
      <c r="AJ485" s="1778"/>
      <c r="AK485" s="1779"/>
      <c r="AZ485" s="3"/>
      <c r="BB485" s="3"/>
      <c r="BC485" s="3"/>
    </row>
    <row r="486" spans="1:55" ht="12.95" customHeight="1">
      <c r="B486" s="45" t="s">
        <v>393</v>
      </c>
      <c r="C486" s="5"/>
      <c r="D486" s="5"/>
      <c r="E486" s="5"/>
      <c r="F486" s="5"/>
      <c r="G486" s="5"/>
      <c r="H486" s="5"/>
      <c r="I486" s="5"/>
      <c r="J486" s="5"/>
      <c r="K486" s="5"/>
      <c r="L486" s="5"/>
      <c r="M486" s="5"/>
      <c r="N486" s="5"/>
      <c r="O486" s="5"/>
      <c r="P486" s="5"/>
      <c r="Q486" s="1573" t="s">
        <v>2657</v>
      </c>
      <c r="R486" s="1458"/>
      <c r="S486" s="1458"/>
      <c r="T486" s="1458"/>
      <c r="U486" s="1458"/>
      <c r="V486" s="1458"/>
      <c r="W486" s="1458"/>
      <c r="X486" s="1458"/>
      <c r="Y486" s="1458"/>
      <c r="Z486" s="1458"/>
      <c r="AA486" s="1458"/>
      <c r="AB486" s="1458"/>
      <c r="AC486" s="1458"/>
      <c r="AD486" s="1458"/>
      <c r="AE486" s="1458"/>
      <c r="AF486" s="1458"/>
      <c r="AG486" s="1458"/>
      <c r="AH486" s="1458"/>
      <c r="AI486" s="1458"/>
      <c r="AJ486" s="1458"/>
      <c r="AK486" s="1574"/>
      <c r="AZ486" s="3"/>
      <c r="BB486" s="3"/>
      <c r="BC486" s="3"/>
    </row>
    <row r="487" spans="1:55" ht="12.95" customHeight="1">
      <c r="B487" s="45" t="s">
        <v>394</v>
      </c>
      <c r="C487" s="5"/>
      <c r="D487" s="5"/>
      <c r="E487" s="5"/>
      <c r="F487" s="5"/>
      <c r="G487" s="5"/>
      <c r="H487" s="5"/>
      <c r="I487" s="5"/>
      <c r="J487" s="5"/>
      <c r="K487" s="5"/>
      <c r="L487" s="5"/>
      <c r="M487" s="5"/>
      <c r="N487" s="5"/>
      <c r="O487" s="5"/>
      <c r="P487" s="5"/>
      <c r="Q487" s="1573" t="s">
        <v>2658</v>
      </c>
      <c r="R487" s="1458"/>
      <c r="S487" s="1458"/>
      <c r="T487" s="1458"/>
      <c r="U487" s="1458"/>
      <c r="V487" s="1458"/>
      <c r="W487" s="1458"/>
      <c r="X487" s="1458"/>
      <c r="Y487" s="1458"/>
      <c r="Z487" s="1458"/>
      <c r="AA487" s="1458"/>
      <c r="AB487" s="1458"/>
      <c r="AC487" s="1458"/>
      <c r="AD487" s="1458"/>
      <c r="AE487" s="1458"/>
      <c r="AF487" s="1458"/>
      <c r="AG487" s="1458"/>
      <c r="AH487" s="1458"/>
      <c r="AI487" s="1458"/>
      <c r="AJ487" s="1458"/>
      <c r="AK487" s="1574"/>
      <c r="AZ487" s="3"/>
      <c r="BB487" s="3"/>
      <c r="BC487" s="3"/>
    </row>
    <row r="488" spans="1:55" ht="12.95" customHeight="1">
      <c r="B488" s="45" t="s">
        <v>395</v>
      </c>
      <c r="C488" s="5"/>
      <c r="D488" s="5"/>
      <c r="E488" s="5"/>
      <c r="F488" s="5"/>
      <c r="G488" s="5"/>
      <c r="H488" s="5"/>
      <c r="I488" s="5"/>
      <c r="J488" s="5"/>
      <c r="K488" s="5"/>
      <c r="L488" s="5"/>
      <c r="M488" s="5"/>
      <c r="N488" s="5"/>
      <c r="O488" s="5"/>
      <c r="P488" s="5"/>
      <c r="Q488" s="1573" t="s">
        <v>2658</v>
      </c>
      <c r="R488" s="1458"/>
      <c r="S488" s="1458"/>
      <c r="T488" s="1458"/>
      <c r="U488" s="1458"/>
      <c r="V488" s="1458"/>
      <c r="W488" s="1458"/>
      <c r="X488" s="1458"/>
      <c r="Y488" s="1458"/>
      <c r="Z488" s="1458"/>
      <c r="AA488" s="1458"/>
      <c r="AB488" s="1458"/>
      <c r="AC488" s="1458"/>
      <c r="AD488" s="1458"/>
      <c r="AE488" s="1458"/>
      <c r="AF488" s="1458"/>
      <c r="AG488" s="1458"/>
      <c r="AH488" s="1458"/>
      <c r="AI488" s="1458"/>
      <c r="AJ488" s="1458"/>
      <c r="AK488" s="1574"/>
      <c r="AZ488" s="3"/>
      <c r="BA488" s="3"/>
      <c r="BB488" s="3"/>
      <c r="BC488" s="3"/>
    </row>
    <row r="489" spans="1:55" ht="12.95" customHeight="1">
      <c r="B489" s="1771" t="s">
        <v>396</v>
      </c>
      <c r="C489" s="1772"/>
      <c r="D489" s="1772"/>
      <c r="E489" s="1772"/>
      <c r="F489" s="1772"/>
      <c r="G489" s="1772"/>
      <c r="H489" s="1772"/>
      <c r="I489" s="1772"/>
      <c r="J489" s="1772"/>
      <c r="K489" s="1772"/>
      <c r="L489" s="1772"/>
      <c r="M489" s="1772"/>
      <c r="N489" s="1772"/>
      <c r="O489" s="1772"/>
      <c r="P489" s="1773"/>
      <c r="Q489" s="1834" t="s">
        <v>545</v>
      </c>
      <c r="R489" s="1835"/>
      <c r="S489" s="1765" t="s">
        <v>2660</v>
      </c>
      <c r="T489" s="1766"/>
      <c r="U489" s="1766"/>
      <c r="V489" s="1766"/>
      <c r="W489" s="1766"/>
      <c r="X489" s="1766"/>
      <c r="Y489" s="1766"/>
      <c r="Z489" s="1766"/>
      <c r="AA489" s="1766"/>
      <c r="AB489" s="1766"/>
      <c r="AC489" s="1766"/>
      <c r="AD489" s="1766"/>
      <c r="AE489" s="1766"/>
      <c r="AF489" s="1766"/>
      <c r="AG489" s="1766"/>
      <c r="AH489" s="1766"/>
      <c r="AI489" s="1766"/>
      <c r="AJ489" s="1766"/>
      <c r="AK489" s="1767"/>
      <c r="AZ489" s="3"/>
      <c r="BA489" s="3"/>
      <c r="BB489" s="3"/>
      <c r="BC489" s="3"/>
    </row>
    <row r="490" spans="1:55" ht="12.95" customHeight="1">
      <c r="B490" s="1774"/>
      <c r="C490" s="1775"/>
      <c r="D490" s="1775"/>
      <c r="E490" s="1775"/>
      <c r="F490" s="1775"/>
      <c r="G490" s="1775"/>
      <c r="H490" s="1775"/>
      <c r="I490" s="1775"/>
      <c r="J490" s="1775"/>
      <c r="K490" s="1775"/>
      <c r="L490" s="1775"/>
      <c r="M490" s="1775"/>
      <c r="N490" s="1775"/>
      <c r="O490" s="1775"/>
      <c r="P490" s="1776"/>
      <c r="Q490" s="1836"/>
      <c r="R490" s="1837"/>
      <c r="S490" s="1768"/>
      <c r="T490" s="1769"/>
      <c r="U490" s="1769"/>
      <c r="V490" s="1769"/>
      <c r="W490" s="1769"/>
      <c r="X490" s="1769"/>
      <c r="Y490" s="1769"/>
      <c r="Z490" s="1769"/>
      <c r="AA490" s="1769"/>
      <c r="AB490" s="1769"/>
      <c r="AC490" s="1769"/>
      <c r="AD490" s="1769"/>
      <c r="AE490" s="1769"/>
      <c r="AF490" s="1769"/>
      <c r="AG490" s="1769"/>
      <c r="AH490" s="1769"/>
      <c r="AI490" s="1769"/>
      <c r="AJ490" s="1769"/>
      <c r="AK490" s="1770"/>
      <c r="AZ490" s="3"/>
      <c r="BA490" s="3"/>
      <c r="BB490" s="3"/>
      <c r="BC490" s="3"/>
    </row>
    <row r="491" spans="1:55" ht="12.95" customHeight="1">
      <c r="B491" s="896" t="s">
        <v>1670</v>
      </c>
      <c r="C491" s="874"/>
      <c r="D491" s="874"/>
      <c r="E491" s="874"/>
      <c r="F491" s="874"/>
      <c r="G491" s="874"/>
      <c r="H491" s="874"/>
      <c r="I491" s="874"/>
      <c r="J491" s="874"/>
      <c r="K491" s="874"/>
      <c r="L491" s="874"/>
      <c r="M491" s="874"/>
      <c r="N491" s="874"/>
      <c r="O491" s="874"/>
      <c r="P491" s="874"/>
      <c r="Q491" s="1849" t="s">
        <v>669</v>
      </c>
      <c r="R491" s="1850"/>
      <c r="S491" s="1850"/>
      <c r="T491" s="1850"/>
      <c r="U491" s="1850"/>
      <c r="V491" s="1850"/>
      <c r="W491" s="1850"/>
      <c r="X491" s="1850"/>
      <c r="Y491" s="1850"/>
      <c r="Z491" s="1850"/>
      <c r="AA491" s="1850"/>
      <c r="AB491" s="1850"/>
      <c r="AC491" s="1850"/>
      <c r="AD491" s="1850"/>
      <c r="AE491" s="1850"/>
      <c r="AF491" s="1850"/>
      <c r="AG491" s="1850"/>
      <c r="AH491" s="1850"/>
      <c r="AI491" s="1850"/>
      <c r="AJ491" s="1850"/>
      <c r="AK491" s="1851"/>
      <c r="AZ491" s="3"/>
      <c r="BA491" s="3"/>
      <c r="BB491" s="3"/>
      <c r="BC491" s="3"/>
    </row>
    <row r="492" spans="1:55" ht="12.95" customHeight="1">
      <c r="B492" s="45" t="s">
        <v>397</v>
      </c>
      <c r="C492" s="5"/>
      <c r="D492" s="5"/>
      <c r="E492" s="5"/>
      <c r="F492" s="5"/>
      <c r="G492" s="5"/>
      <c r="H492" s="5"/>
      <c r="I492" s="5"/>
      <c r="J492" s="5"/>
      <c r="K492" s="5"/>
      <c r="L492" s="5"/>
      <c r="M492" s="5"/>
      <c r="N492" s="5"/>
      <c r="O492" s="5"/>
      <c r="P492" s="5"/>
      <c r="Q492" s="1573" t="s">
        <v>2737</v>
      </c>
      <c r="R492" s="1458"/>
      <c r="S492" s="1458"/>
      <c r="T492" s="1458"/>
      <c r="U492" s="1458"/>
      <c r="V492" s="1458"/>
      <c r="W492" s="1458"/>
      <c r="X492" s="1458"/>
      <c r="Y492" s="1458"/>
      <c r="Z492" s="1458"/>
      <c r="AA492" s="1458"/>
      <c r="AB492" s="1458"/>
      <c r="AC492" s="1458"/>
      <c r="AD492" s="1458"/>
      <c r="AE492" s="1458"/>
      <c r="AF492" s="1458"/>
      <c r="AG492" s="1458"/>
      <c r="AH492" s="1458"/>
      <c r="AI492" s="1458"/>
      <c r="AJ492" s="1458"/>
      <c r="AK492" s="1574"/>
      <c r="AZ492" s="3"/>
      <c r="BA492" s="3"/>
      <c r="BB492" s="3"/>
      <c r="BC492" s="3"/>
    </row>
    <row r="493" spans="1:55" ht="12.95" customHeight="1">
      <c r="B493" s="45" t="s">
        <v>398</v>
      </c>
      <c r="C493" s="5"/>
      <c r="D493" s="5"/>
      <c r="E493" s="5"/>
      <c r="F493" s="5"/>
      <c r="G493" s="5"/>
      <c r="H493" s="5"/>
      <c r="I493" s="5"/>
      <c r="J493" s="5"/>
      <c r="K493" s="5"/>
      <c r="L493" s="5"/>
      <c r="M493" s="5"/>
      <c r="N493" s="5"/>
      <c r="O493" s="5"/>
      <c r="P493" s="5"/>
      <c r="Q493" s="1573" t="s">
        <v>2659</v>
      </c>
      <c r="R493" s="1458"/>
      <c r="S493" s="1458"/>
      <c r="T493" s="1458"/>
      <c r="U493" s="1458"/>
      <c r="V493" s="1458"/>
      <c r="W493" s="1458"/>
      <c r="X493" s="1458"/>
      <c r="Y493" s="1458"/>
      <c r="Z493" s="1458"/>
      <c r="AA493" s="1458"/>
      <c r="AB493" s="1458"/>
      <c r="AC493" s="1458"/>
      <c r="AD493" s="1458"/>
      <c r="AE493" s="1458"/>
      <c r="AF493" s="1458"/>
      <c r="AG493" s="1458"/>
      <c r="AH493" s="1458"/>
      <c r="AI493" s="1458"/>
      <c r="AJ493" s="1458"/>
      <c r="AK493" s="1574"/>
      <c r="AZ493" s="3"/>
      <c r="BA493" s="3"/>
      <c r="BB493" s="3"/>
      <c r="BC493" s="3"/>
    </row>
    <row r="494" spans="1:55" ht="12.95" customHeight="1">
      <c r="B494" s="121" t="s">
        <v>1667</v>
      </c>
      <c r="C494" s="5"/>
      <c r="D494" s="5"/>
      <c r="E494" s="5"/>
      <c r="F494" s="5"/>
      <c r="G494" s="5"/>
      <c r="H494" s="5"/>
      <c r="I494" s="5"/>
      <c r="J494" s="5"/>
      <c r="K494" s="5"/>
      <c r="L494" s="5"/>
      <c r="M494" s="5"/>
      <c r="N494" s="5"/>
      <c r="O494" s="5"/>
      <c r="P494" s="5"/>
      <c r="Q494" s="1573">
        <v>0</v>
      </c>
      <c r="R494" s="1458"/>
      <c r="S494" s="1458"/>
      <c r="T494" s="1458"/>
      <c r="U494" s="1458"/>
      <c r="V494" s="1458"/>
      <c r="W494" s="1458"/>
      <c r="X494" s="1458"/>
      <c r="Y494" s="1458"/>
      <c r="Z494" s="1458"/>
      <c r="AA494" s="1458"/>
      <c r="AB494" s="1458"/>
      <c r="AC494" s="1458"/>
      <c r="AD494" s="1458"/>
      <c r="AE494" s="1458"/>
      <c r="AF494" s="1458"/>
      <c r="AG494" s="1458"/>
      <c r="AH494" s="1458"/>
      <c r="AI494" s="1458"/>
      <c r="AJ494" s="1458"/>
      <c r="AK494" s="1574"/>
      <c r="AZ494" s="3"/>
      <c r="BA494" s="3"/>
      <c r="BB494" s="3"/>
      <c r="BC494" s="3"/>
    </row>
    <row r="495" spans="1:55" ht="12.95" customHeight="1">
      <c r="B495" s="121" t="s">
        <v>1668</v>
      </c>
      <c r="C495" s="5"/>
      <c r="D495" s="5"/>
      <c r="E495" s="5"/>
      <c r="F495" s="5"/>
      <c r="G495" s="5"/>
      <c r="H495" s="5"/>
      <c r="I495" s="5"/>
      <c r="J495" s="5"/>
      <c r="K495" s="5"/>
      <c r="L495" s="5"/>
      <c r="M495" s="1446">
        <v>0</v>
      </c>
      <c r="N495" s="1447"/>
      <c r="O495" s="1447"/>
      <c r="P495" s="1448"/>
      <c r="Q495" s="121" t="s">
        <v>1669</v>
      </c>
      <c r="R495" s="5"/>
      <c r="S495" s="5"/>
      <c r="T495" s="5"/>
      <c r="U495" s="5"/>
      <c r="V495" s="5"/>
      <c r="W495" s="5"/>
      <c r="X495" s="5"/>
      <c r="Y495" s="5"/>
      <c r="Z495" s="5"/>
      <c r="AA495" s="5"/>
      <c r="AB495" s="5"/>
      <c r="AC495" s="5"/>
      <c r="AD495" s="5"/>
      <c r="AE495" s="5"/>
      <c r="AF495" s="5"/>
      <c r="AG495" s="5"/>
      <c r="AH495" s="1446">
        <v>0</v>
      </c>
      <c r="AI495" s="1447"/>
      <c r="AJ495" s="1447"/>
      <c r="AK495" s="1448"/>
      <c r="AZ495" s="3"/>
      <c r="BA495" s="3"/>
      <c r="BB495" s="3"/>
      <c r="BC495" s="3"/>
    </row>
    <row r="496" spans="1:55" ht="12.95" customHeight="1">
      <c r="B496" s="513"/>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row>
    <row r="497" spans="1:66" ht="12.95" customHeight="1">
      <c r="A497" s="2" t="s">
        <v>576</v>
      </c>
      <c r="C497" s="2" t="s">
        <v>399</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row>
    <row r="498" spans="1:66" ht="12.95" customHeight="1">
      <c r="B498" s="529"/>
      <c r="C498" s="513"/>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row>
    <row r="499" spans="1:66" ht="12.95"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777" t="s">
        <v>400</v>
      </c>
      <c r="AD499" s="1778"/>
      <c r="AE499" s="1778"/>
      <c r="AF499" s="1778"/>
      <c r="AG499" s="1778"/>
      <c r="AH499" s="1778"/>
      <c r="AI499" s="1778"/>
      <c r="AJ499" s="1778"/>
      <c r="AK499" s="1779"/>
      <c r="AZ499" s="3"/>
      <c r="BA499" s="3"/>
      <c r="BB499" s="3"/>
      <c r="BC499" s="3"/>
      <c r="BD499" s="3"/>
      <c r="BE499" s="3"/>
      <c r="BF499" s="3"/>
      <c r="BG499" s="3"/>
      <c r="BH499" s="3"/>
      <c r="BI499" s="3"/>
      <c r="BJ499" s="3"/>
      <c r="BK499" s="3"/>
      <c r="BL499" s="3"/>
      <c r="BM499" s="3"/>
      <c r="BN499" s="3"/>
    </row>
    <row r="500" spans="1:66" ht="12.95"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777" t="s">
        <v>401</v>
      </c>
      <c r="AD500" s="1778"/>
      <c r="AE500" s="1778"/>
      <c r="AF500" s="1778"/>
      <c r="AG500" s="50" t="s">
        <v>402</v>
      </c>
      <c r="AH500" s="1778" t="s">
        <v>403</v>
      </c>
      <c r="AI500" s="1778"/>
      <c r="AJ500" s="1778"/>
      <c r="AK500" s="1779"/>
      <c r="AZ500" s="3"/>
      <c r="BA500" s="3"/>
      <c r="BB500" s="3"/>
      <c r="BC500" s="3"/>
      <c r="BD500" s="3"/>
      <c r="BE500" s="3"/>
      <c r="BF500" s="3"/>
      <c r="BG500" s="3"/>
      <c r="BH500" s="3"/>
      <c r="BI500" s="3"/>
      <c r="BJ500" s="3"/>
      <c r="BK500" s="3"/>
      <c r="BL500" s="3"/>
      <c r="BM500" s="3"/>
      <c r="BN500" s="3"/>
    </row>
    <row r="501" spans="1:66" ht="12.95" customHeight="1">
      <c r="B501" s="1672" t="s">
        <v>404</v>
      </c>
      <c r="C501" s="1433"/>
      <c r="D501" s="1433"/>
      <c r="E501" s="1433"/>
      <c r="F501" s="1433"/>
      <c r="G501" s="1433"/>
      <c r="H501" s="1434"/>
      <c r="I501" s="42" t="s">
        <v>405</v>
      </c>
      <c r="J501" s="42"/>
      <c r="K501" s="42"/>
      <c r="L501" s="42"/>
      <c r="M501" s="42"/>
      <c r="N501" s="42"/>
      <c r="O501" s="42"/>
      <c r="P501" s="42"/>
      <c r="Q501" s="42"/>
      <c r="R501" s="42"/>
      <c r="S501" s="42"/>
      <c r="T501" s="42"/>
      <c r="U501" s="42"/>
      <c r="V501" s="42"/>
      <c r="W501" s="42"/>
      <c r="AC501" s="1686" t="s">
        <v>591</v>
      </c>
      <c r="AD501" s="1687"/>
      <c r="AE501" s="1687"/>
      <c r="AF501" s="1687"/>
      <c r="AG501" s="13" t="s">
        <v>402</v>
      </c>
      <c r="AH501" s="1368">
        <v>0</v>
      </c>
      <c r="AI501" s="1368"/>
      <c r="AJ501" s="1368"/>
      <c r="AK501" s="1369"/>
      <c r="AZ501" s="3"/>
      <c r="BA501" s="3"/>
      <c r="BB501" s="3"/>
      <c r="BC501" s="3"/>
      <c r="BD501" s="3"/>
      <c r="BE501" s="3"/>
      <c r="BF501" s="3"/>
      <c r="BG501" s="3"/>
      <c r="BH501" s="3"/>
      <c r="BI501" s="3"/>
      <c r="BJ501" s="3"/>
      <c r="BK501" s="3"/>
      <c r="BL501" s="3"/>
      <c r="BM501" s="3"/>
      <c r="BN501" s="3"/>
    </row>
    <row r="502" spans="1:66" ht="12.95" customHeight="1">
      <c r="B502" s="1673"/>
      <c r="C502" s="1435"/>
      <c r="D502" s="1435"/>
      <c r="E502" s="1435"/>
      <c r="F502" s="1435"/>
      <c r="G502" s="1435"/>
      <c r="H502" s="1436"/>
      <c r="I502" s="48" t="s">
        <v>406</v>
      </c>
      <c r="J502" s="48"/>
      <c r="K502" s="48"/>
      <c r="L502" s="48"/>
      <c r="M502" s="48"/>
      <c r="N502" s="48"/>
      <c r="O502" s="48"/>
      <c r="P502" s="48"/>
      <c r="Q502" s="48"/>
      <c r="R502" s="48"/>
      <c r="S502" s="48"/>
      <c r="T502" s="48"/>
      <c r="U502" s="48"/>
      <c r="V502" s="48"/>
      <c r="W502" s="48"/>
      <c r="X502" s="48"/>
      <c r="Y502" s="48"/>
      <c r="Z502" s="48"/>
      <c r="AA502" s="48"/>
      <c r="AB502" s="48"/>
      <c r="AC502" s="1686">
        <v>3</v>
      </c>
      <c r="AD502" s="1687"/>
      <c r="AE502" s="1687"/>
      <c r="AF502" s="1687"/>
      <c r="AG502" s="38" t="s">
        <v>402</v>
      </c>
      <c r="AH502" s="1368">
        <v>2020</v>
      </c>
      <c r="AI502" s="1368"/>
      <c r="AJ502" s="1368"/>
      <c r="AK502" s="1369"/>
      <c r="AZ502" s="3"/>
      <c r="BA502" s="3"/>
      <c r="BB502" s="3"/>
      <c r="BC502" s="3"/>
      <c r="BD502" s="3"/>
      <c r="BE502" s="3"/>
      <c r="BF502" s="3"/>
      <c r="BG502" s="3"/>
      <c r="BH502" s="3"/>
      <c r="BI502" s="3"/>
      <c r="BJ502" s="3"/>
      <c r="BK502" s="3"/>
      <c r="BL502" s="3"/>
      <c r="BM502" s="3"/>
      <c r="BN502" s="3"/>
    </row>
    <row r="503" spans="1:66" ht="12.95" customHeight="1">
      <c r="B503" s="1672" t="s">
        <v>407</v>
      </c>
      <c r="C503" s="1433"/>
      <c r="D503" s="1433"/>
      <c r="E503" s="1433"/>
      <c r="F503" s="1433"/>
      <c r="G503" s="1433"/>
      <c r="H503" s="1434"/>
      <c r="I503" s="42" t="s">
        <v>408</v>
      </c>
      <c r="J503" s="42"/>
      <c r="K503" s="42"/>
      <c r="L503" s="42"/>
      <c r="M503" s="42"/>
      <c r="N503" s="42"/>
      <c r="O503" s="42"/>
      <c r="P503" s="42"/>
      <c r="Q503" s="42"/>
      <c r="R503" s="42"/>
      <c r="S503" s="42"/>
      <c r="T503" s="42"/>
      <c r="U503" s="42"/>
      <c r="V503" s="42"/>
      <c r="W503" s="42"/>
      <c r="AC503" s="1686" t="s">
        <v>591</v>
      </c>
      <c r="AD503" s="1687"/>
      <c r="AE503" s="1687"/>
      <c r="AF503" s="1687"/>
      <c r="AG503" s="13" t="s">
        <v>402</v>
      </c>
      <c r="AH503" s="1368"/>
      <c r="AI503" s="1368"/>
      <c r="AJ503" s="1368"/>
      <c r="AK503" s="1369"/>
      <c r="AZ503" s="3"/>
      <c r="BA503" s="3"/>
      <c r="BB503" s="3"/>
      <c r="BC503" s="3"/>
      <c r="BD503" s="3"/>
      <c r="BE503" s="3"/>
      <c r="BF503" s="3"/>
      <c r="BG503" s="3"/>
      <c r="BH503" s="3"/>
      <c r="BI503" s="3"/>
      <c r="BJ503" s="3"/>
      <c r="BK503" s="3"/>
      <c r="BL503" s="3"/>
      <c r="BM503" s="3"/>
      <c r="BN503" s="3"/>
    </row>
    <row r="504" spans="1:66" ht="12.95" customHeight="1">
      <c r="B504" s="1673"/>
      <c r="C504" s="1435"/>
      <c r="D504" s="1435"/>
      <c r="E504" s="1435"/>
      <c r="F504" s="1435"/>
      <c r="G504" s="1435"/>
      <c r="H504" s="1436"/>
      <c r="I504" t="s">
        <v>409</v>
      </c>
      <c r="AC504" s="1686" t="s">
        <v>591</v>
      </c>
      <c r="AD504" s="1687"/>
      <c r="AE504" s="1687"/>
      <c r="AF504" s="1687"/>
      <c r="AG504" s="13" t="s">
        <v>402</v>
      </c>
      <c r="AH504" s="1368"/>
      <c r="AI504" s="1368"/>
      <c r="AJ504" s="1368"/>
      <c r="AK504" s="1369"/>
      <c r="AZ504" s="3"/>
      <c r="BA504" s="3"/>
      <c r="BB504" s="3"/>
      <c r="BC504" s="3"/>
      <c r="BD504" s="3"/>
      <c r="BE504" s="3"/>
      <c r="BF504" s="3"/>
      <c r="BG504" s="3"/>
      <c r="BH504" s="3"/>
      <c r="BI504" s="3"/>
      <c r="BJ504" s="3"/>
      <c r="BK504" s="3"/>
      <c r="BL504" s="3"/>
      <c r="BM504" s="3"/>
      <c r="BN504" s="3"/>
    </row>
    <row r="505" spans="1:66" ht="12.95" customHeight="1">
      <c r="B505" s="1673"/>
      <c r="C505" s="1435"/>
      <c r="D505" s="1435"/>
      <c r="E505" s="1435"/>
      <c r="F505" s="1435"/>
      <c r="G505" s="1435"/>
      <c r="H505" s="1436"/>
      <c r="I505" t="s">
        <v>410</v>
      </c>
      <c r="AC505" s="1686">
        <v>11</v>
      </c>
      <c r="AD505" s="1687"/>
      <c r="AE505" s="1687"/>
      <c r="AF505" s="1687"/>
      <c r="AG505" s="13" t="s">
        <v>402</v>
      </c>
      <c r="AH505" s="1368">
        <v>2024</v>
      </c>
      <c r="AI505" s="1368"/>
      <c r="AJ505" s="1368"/>
      <c r="AK505" s="1369"/>
      <c r="AZ505" s="3"/>
      <c r="BA505" s="3"/>
      <c r="BB505" s="3"/>
      <c r="BC505" s="3"/>
      <c r="BD505" s="3"/>
      <c r="BE505" s="3"/>
      <c r="BF505" s="3"/>
      <c r="BG505" s="3"/>
      <c r="BH505" s="3"/>
      <c r="BI505" s="3"/>
      <c r="BJ505" s="3"/>
      <c r="BK505" s="3"/>
      <c r="BL505" s="3"/>
      <c r="BM505" s="3"/>
      <c r="BN505" s="3"/>
    </row>
    <row r="506" spans="1:66" ht="12.95" customHeight="1">
      <c r="B506" s="1673"/>
      <c r="C506" s="1435"/>
      <c r="D506" s="1435"/>
      <c r="E506" s="1435"/>
      <c r="F506" s="1435"/>
      <c r="G506" s="1435"/>
      <c r="H506" s="1436"/>
      <c r="I506" t="s">
        <v>411</v>
      </c>
      <c r="AC506" s="1686">
        <v>9</v>
      </c>
      <c r="AD506" s="1687"/>
      <c r="AE506" s="1687"/>
      <c r="AF506" s="1687"/>
      <c r="AG506" s="13" t="s">
        <v>402</v>
      </c>
      <c r="AH506" s="1368">
        <v>2025</v>
      </c>
      <c r="AI506" s="1368"/>
      <c r="AJ506" s="1368"/>
      <c r="AK506" s="1369"/>
      <c r="AZ506" s="3"/>
      <c r="BA506" s="3"/>
      <c r="BB506" s="3"/>
      <c r="BC506" s="3"/>
      <c r="BD506" s="3"/>
      <c r="BE506" s="3"/>
      <c r="BF506" s="3"/>
      <c r="BG506" s="3"/>
      <c r="BH506" s="3"/>
      <c r="BI506" s="3"/>
      <c r="BJ506" s="3"/>
      <c r="BK506" s="3"/>
      <c r="BL506" s="3"/>
      <c r="BM506" s="3"/>
      <c r="BN506" s="3"/>
    </row>
    <row r="507" spans="1:66" ht="12.95" customHeight="1">
      <c r="B507" s="1673"/>
      <c r="C507" s="1435"/>
      <c r="D507" s="1435"/>
      <c r="E507" s="1435"/>
      <c r="F507" s="1435"/>
      <c r="G507" s="1435"/>
      <c r="H507" s="1436"/>
      <c r="I507" s="3" t="s">
        <v>412</v>
      </c>
      <c r="AC507" s="1355">
        <v>9</v>
      </c>
      <c r="AD507" s="1356"/>
      <c r="AE507" s="1356"/>
      <c r="AF507" s="1356"/>
      <c r="AG507" s="13" t="s">
        <v>402</v>
      </c>
      <c r="AH507" s="1368">
        <v>2025</v>
      </c>
      <c r="AI507" s="1368"/>
      <c r="AJ507" s="1368"/>
      <c r="AK507" s="1369"/>
      <c r="AZ507" s="3"/>
      <c r="BA507" s="3"/>
      <c r="BB507" s="3"/>
      <c r="BC507" s="3"/>
      <c r="BD507" s="3"/>
      <c r="BE507" s="3"/>
      <c r="BF507" s="3"/>
      <c r="BG507" s="3"/>
      <c r="BH507" s="3"/>
      <c r="BI507" s="3"/>
      <c r="BJ507" s="3"/>
      <c r="BK507" s="3"/>
      <c r="BL507" s="3"/>
      <c r="BM507" s="3"/>
      <c r="BN507" s="3"/>
    </row>
    <row r="508" spans="1:66" ht="12.95" customHeight="1">
      <c r="B508" s="1673"/>
      <c r="C508" s="1435"/>
      <c r="D508" s="1435"/>
      <c r="E508" s="1435"/>
      <c r="F508" s="1435"/>
      <c r="G508" s="1435"/>
      <c r="H508" s="1436"/>
      <c r="I508" s="897" t="s">
        <v>169</v>
      </c>
      <c r="J508" s="48"/>
      <c r="K508" s="48"/>
      <c r="L508" s="1749" t="s">
        <v>333</v>
      </c>
      <c r="M508" s="1750"/>
      <c r="N508" s="1750"/>
      <c r="O508" s="1750"/>
      <c r="P508" s="1750"/>
      <c r="Q508" s="1750"/>
      <c r="R508" s="1750"/>
      <c r="S508" s="1750"/>
      <c r="T508" s="1750"/>
      <c r="U508" s="1750"/>
      <c r="V508" s="1750"/>
      <c r="W508" s="1750"/>
      <c r="X508" s="1750"/>
      <c r="Y508" s="1750"/>
      <c r="Z508" s="1750"/>
      <c r="AA508" s="1750"/>
      <c r="AB508" s="1764"/>
      <c r="AC508" s="1686" t="s">
        <v>591</v>
      </c>
      <c r="AD508" s="1687"/>
      <c r="AE508" s="1687"/>
      <c r="AF508" s="1687"/>
      <c r="AG508" s="38" t="s">
        <v>402</v>
      </c>
      <c r="AH508" s="1368"/>
      <c r="AI508" s="1368"/>
      <c r="AJ508" s="1368"/>
      <c r="AK508" s="1369"/>
      <c r="AZ508" s="3"/>
      <c r="BA508" s="3"/>
      <c r="BB508" s="3"/>
      <c r="BC508" s="3"/>
      <c r="BD508" s="3"/>
      <c r="BE508" s="3"/>
      <c r="BF508" s="3"/>
      <c r="BG508" s="3"/>
      <c r="BH508" s="3"/>
      <c r="BI508" s="3"/>
      <c r="BJ508" s="3"/>
      <c r="BK508" s="3"/>
      <c r="BL508" s="3"/>
      <c r="BM508" s="3"/>
      <c r="BN508" s="3"/>
    </row>
    <row r="509" spans="1:66" ht="12.95" customHeight="1">
      <c r="B509" s="872"/>
      <c r="C509" s="130"/>
      <c r="D509" s="130"/>
      <c r="E509" s="130"/>
      <c r="F509" s="130"/>
      <c r="G509" s="130"/>
      <c r="H509" s="873"/>
      <c r="I509" s="3" t="s">
        <v>1674</v>
      </c>
      <c r="AC509" s="1760" t="s">
        <v>669</v>
      </c>
      <c r="AD509" s="1760"/>
      <c r="AE509" s="1760"/>
      <c r="AF509" s="1760"/>
      <c r="AG509" s="13"/>
      <c r="AH509" s="1333"/>
      <c r="AI509" s="1333"/>
      <c r="AJ509" s="1333"/>
      <c r="AK509" s="1688"/>
      <c r="AZ509" s="3"/>
      <c r="BA509" s="3"/>
      <c r="BB509" s="3"/>
      <c r="BC509" s="3"/>
      <c r="BD509" s="3"/>
      <c r="BE509" s="3"/>
      <c r="BF509" s="3"/>
      <c r="BG509" s="3"/>
      <c r="BH509" s="3"/>
      <c r="BI509" s="3"/>
      <c r="BJ509" s="3"/>
      <c r="BK509" s="3"/>
      <c r="BL509" s="3"/>
      <c r="BM509" s="3"/>
      <c r="BN509" s="3"/>
    </row>
    <row r="510" spans="1:66" ht="12.95" customHeight="1">
      <c r="B510" s="872"/>
      <c r="C510" s="130"/>
      <c r="D510" s="130"/>
      <c r="E510" s="130"/>
      <c r="F510" s="130"/>
      <c r="G510" s="130"/>
      <c r="H510" s="873"/>
      <c r="I510" t="s">
        <v>1671</v>
      </c>
      <c r="AC510" s="1355"/>
      <c r="AD510" s="1356"/>
      <c r="AE510" s="1356"/>
      <c r="AF510" s="1357"/>
      <c r="AG510" s="13"/>
      <c r="AH510" s="1333"/>
      <c r="AI510" s="1333"/>
      <c r="AJ510" s="1333"/>
      <c r="AK510" s="1688"/>
      <c r="AZ510" s="3"/>
      <c r="BA510" s="3"/>
      <c r="BB510" s="3"/>
      <c r="BC510" s="3"/>
      <c r="BD510" s="3"/>
      <c r="BE510" s="3"/>
      <c r="BF510" s="3"/>
      <c r="BG510" s="3"/>
      <c r="BH510" s="3"/>
      <c r="BI510" s="3"/>
      <c r="BJ510" s="3"/>
      <c r="BK510" s="3"/>
      <c r="BL510" s="3"/>
      <c r="BM510" s="3"/>
      <c r="BN510" s="3"/>
    </row>
    <row r="511" spans="1:66" ht="12.95" customHeight="1">
      <c r="B511" s="872"/>
      <c r="C511" s="130"/>
      <c r="D511" s="130"/>
      <c r="E511" s="130"/>
      <c r="F511" s="130"/>
      <c r="G511" s="130"/>
      <c r="H511" s="873"/>
      <c r="I511" t="s">
        <v>1672</v>
      </c>
      <c r="AC511" s="891"/>
      <c r="AD511" s="892"/>
      <c r="AE511" s="892"/>
      <c r="AF511" s="893"/>
      <c r="AG511" s="13"/>
      <c r="AH511" s="1"/>
      <c r="AI511" s="1"/>
      <c r="AJ511" s="1"/>
      <c r="AK511" s="1007"/>
      <c r="AZ511" s="3"/>
      <c r="BA511" s="3"/>
      <c r="BB511" s="3"/>
      <c r="BC511" s="3"/>
      <c r="BD511" s="3"/>
      <c r="BE511" s="3"/>
      <c r="BF511" s="3"/>
      <c r="BG511" s="3"/>
      <c r="BH511" s="3"/>
      <c r="BI511" s="3"/>
      <c r="BJ511" s="3"/>
      <c r="BK511" s="3"/>
      <c r="BL511" s="3"/>
      <c r="BM511" s="3"/>
      <c r="BN511" s="3"/>
    </row>
    <row r="512" spans="1:66" ht="12.95" customHeight="1">
      <c r="B512" s="872"/>
      <c r="C512" s="130"/>
      <c r="D512" s="130"/>
      <c r="E512" s="130"/>
      <c r="F512" s="130"/>
      <c r="G512" s="130"/>
      <c r="H512" s="873"/>
      <c r="I512" s="898" t="s">
        <v>1673</v>
      </c>
      <c r="J512" s="48"/>
      <c r="K512" s="48"/>
      <c r="L512" s="48"/>
      <c r="M512" s="48"/>
      <c r="N512" s="48"/>
      <c r="O512" s="48"/>
      <c r="P512" s="48"/>
      <c r="Q512" s="48"/>
      <c r="R512" s="48"/>
      <c r="S512" s="48"/>
      <c r="T512" s="48"/>
      <c r="U512" s="48"/>
      <c r="V512" s="48"/>
      <c r="W512" s="48"/>
      <c r="X512" s="48"/>
      <c r="Y512" s="48"/>
      <c r="Z512" s="48"/>
      <c r="AA512" s="48"/>
      <c r="AB512" s="48"/>
      <c r="AC512" s="1757">
        <v>0.25</v>
      </c>
      <c r="AD512" s="1758"/>
      <c r="AE512" s="1758"/>
      <c r="AF512" s="1759"/>
      <c r="AG512" s="38"/>
      <c r="AH512" s="1747"/>
      <c r="AI512" s="1747"/>
      <c r="AJ512" s="1747"/>
      <c r="AK512" s="1748"/>
      <c r="AZ512" s="3"/>
      <c r="BA512" s="3"/>
      <c r="BB512" s="3"/>
      <c r="BC512" s="3"/>
      <c r="BD512" s="3"/>
      <c r="BE512" s="3"/>
      <c r="BF512" s="3"/>
      <c r="BG512" s="3"/>
      <c r="BH512" s="3"/>
      <c r="BI512" s="3"/>
      <c r="BJ512" s="3"/>
      <c r="BK512" s="3"/>
      <c r="BL512" s="3"/>
      <c r="BM512" s="3"/>
      <c r="BN512" s="3" t="s">
        <v>1183</v>
      </c>
    </row>
    <row r="513" spans="2:66" ht="12.95" customHeight="1">
      <c r="B513" s="872"/>
      <c r="C513" s="130"/>
      <c r="D513" s="130"/>
      <c r="E513" s="130"/>
      <c r="F513" s="130"/>
      <c r="G513" s="130"/>
      <c r="H513" s="873"/>
      <c r="I513" s="3"/>
      <c r="L513" s="8"/>
      <c r="M513" s="8"/>
      <c r="N513" s="8"/>
      <c r="O513" s="8"/>
      <c r="P513" s="8"/>
      <c r="Q513" s="8"/>
      <c r="R513" s="8"/>
      <c r="S513" s="8"/>
      <c r="T513" s="8"/>
      <c r="U513" s="8"/>
      <c r="V513" s="8"/>
      <c r="W513" s="8"/>
      <c r="X513" s="1008"/>
      <c r="Y513" s="1008"/>
      <c r="Z513" s="1008"/>
      <c r="AA513" s="1008"/>
      <c r="AB513" s="1015"/>
      <c r="AC513" s="1744" t="s">
        <v>401</v>
      </c>
      <c r="AD513" s="1643"/>
      <c r="AE513" s="1643"/>
      <c r="AF513" s="1643"/>
      <c r="AG513" s="38" t="s">
        <v>402</v>
      </c>
      <c r="AH513" s="1643" t="s">
        <v>403</v>
      </c>
      <c r="AI513" s="1643"/>
      <c r="AJ513" s="1643"/>
      <c r="AK513" s="1845"/>
      <c r="AZ513" s="3"/>
      <c r="BA513" s="3"/>
      <c r="BB513" s="3"/>
      <c r="BC513" s="3"/>
      <c r="BD513" s="3"/>
      <c r="BE513" s="3"/>
      <c r="BF513" s="3"/>
      <c r="BG513" s="3"/>
      <c r="BH513" s="3"/>
      <c r="BI513" s="3"/>
      <c r="BJ513" s="3"/>
      <c r="BK513" s="3"/>
      <c r="BL513" s="3"/>
      <c r="BM513" s="3"/>
      <c r="BN513" s="3" t="s">
        <v>2105</v>
      </c>
    </row>
    <row r="514" spans="2:66" ht="12.95" customHeight="1">
      <c r="B514" s="1672" t="s">
        <v>413</v>
      </c>
      <c r="C514" s="1433"/>
      <c r="D514" s="1433"/>
      <c r="E514" s="1433"/>
      <c r="F514" s="1433"/>
      <c r="G514" s="1433"/>
      <c r="H514" s="1434"/>
      <c r="I514" s="42" t="s">
        <v>414</v>
      </c>
      <c r="J514" s="42"/>
      <c r="K514" s="42"/>
      <c r="L514" s="42"/>
      <c r="M514" s="42"/>
      <c r="N514" s="42"/>
      <c r="O514" s="42"/>
      <c r="P514" s="42"/>
      <c r="Q514" s="42"/>
      <c r="R514" s="42"/>
      <c r="S514" s="42"/>
      <c r="T514" s="42"/>
      <c r="U514" s="42"/>
      <c r="V514" s="42"/>
      <c r="W514" s="42"/>
      <c r="AC514" s="1686">
        <v>1</v>
      </c>
      <c r="AD514" s="1687"/>
      <c r="AE514" s="1687"/>
      <c r="AF514" s="1687"/>
      <c r="AG514" s="13" t="s">
        <v>402</v>
      </c>
      <c r="AH514" s="1368">
        <v>2025</v>
      </c>
      <c r="AI514" s="1368"/>
      <c r="AJ514" s="1368"/>
      <c r="AK514" s="1369"/>
      <c r="AZ514" s="3"/>
      <c r="BA514" s="3"/>
      <c r="BB514" s="3"/>
      <c r="BC514" s="3"/>
      <c r="BD514" s="3"/>
      <c r="BE514" s="3"/>
      <c r="BF514" s="3"/>
      <c r="BG514" s="3"/>
      <c r="BH514" s="3"/>
      <c r="BI514" s="3"/>
      <c r="BJ514" s="3"/>
      <c r="BK514" s="3"/>
      <c r="BL514" s="3"/>
      <c r="BM514" s="3"/>
      <c r="BN514" s="3" t="s">
        <v>2106</v>
      </c>
    </row>
    <row r="515" spans="2:66" ht="12.95" customHeight="1">
      <c r="B515" s="1673"/>
      <c r="C515" s="1435"/>
      <c r="D515" s="1435"/>
      <c r="E515" s="1435"/>
      <c r="F515" s="1435"/>
      <c r="G515" s="1435"/>
      <c r="H515" s="1436"/>
      <c r="I515" t="s">
        <v>415</v>
      </c>
      <c r="AC515" s="1686">
        <v>1</v>
      </c>
      <c r="AD515" s="1687"/>
      <c r="AE515" s="1687"/>
      <c r="AF515" s="1687"/>
      <c r="AG515" s="13" t="s">
        <v>402</v>
      </c>
      <c r="AH515" s="1368">
        <v>2025</v>
      </c>
      <c r="AI515" s="1368"/>
      <c r="AJ515" s="1368"/>
      <c r="AK515" s="1369"/>
      <c r="AZ515" s="3"/>
      <c r="BA515" s="3"/>
      <c r="BB515" s="3"/>
      <c r="BC515" s="3"/>
      <c r="BD515" s="3"/>
      <c r="BE515" s="3"/>
      <c r="BF515" s="3"/>
      <c r="BG515" s="3"/>
      <c r="BH515" s="3"/>
      <c r="BI515" s="3"/>
      <c r="BJ515" s="3"/>
      <c r="BK515" s="3"/>
      <c r="BL515" s="3"/>
      <c r="BM515" s="3"/>
      <c r="BN515" s="3" t="s">
        <v>2107</v>
      </c>
    </row>
    <row r="516" spans="2:66" ht="12.95" customHeight="1">
      <c r="B516" s="1673"/>
      <c r="C516" s="1435"/>
      <c r="D516" s="1435"/>
      <c r="E516" s="1435"/>
      <c r="F516" s="1435"/>
      <c r="G516" s="1435"/>
      <c r="H516" s="1436"/>
      <c r="I516" s="48" t="s">
        <v>416</v>
      </c>
      <c r="J516" s="48"/>
      <c r="K516" s="48"/>
      <c r="L516" s="48"/>
      <c r="M516" s="48"/>
      <c r="N516" s="48"/>
      <c r="O516" s="48"/>
      <c r="P516" s="48"/>
      <c r="Q516" s="48"/>
      <c r="R516" s="48"/>
      <c r="S516" s="48"/>
      <c r="T516" s="48"/>
      <c r="U516" s="48"/>
      <c r="V516" s="48"/>
      <c r="W516" s="48"/>
      <c r="X516" s="48"/>
      <c r="Y516" s="48"/>
      <c r="Z516" s="48"/>
      <c r="AA516" s="48"/>
      <c r="AB516" s="48"/>
      <c r="AC516" s="1686">
        <v>9</v>
      </c>
      <c r="AD516" s="1687"/>
      <c r="AE516" s="1687"/>
      <c r="AF516" s="1687"/>
      <c r="AG516" s="38" t="s">
        <v>402</v>
      </c>
      <c r="AH516" s="1368">
        <v>2025</v>
      </c>
      <c r="AI516" s="1368"/>
      <c r="AJ516" s="1368"/>
      <c r="AK516" s="1369"/>
      <c r="AZ516" s="3"/>
      <c r="BA516" s="3"/>
      <c r="BB516" s="3"/>
      <c r="BC516" s="3"/>
      <c r="BD516" s="3"/>
      <c r="BE516" s="3"/>
      <c r="BF516" s="3"/>
      <c r="BG516" s="3"/>
      <c r="BH516" s="3"/>
      <c r="BI516" s="3"/>
      <c r="BJ516" s="3"/>
      <c r="BK516" s="3"/>
      <c r="BL516" s="3"/>
      <c r="BM516" s="3"/>
      <c r="BN516" s="3" t="s">
        <v>2108</v>
      </c>
    </row>
    <row r="517" spans="2:66" ht="12.95" customHeight="1">
      <c r="B517" s="1672" t="s">
        <v>417</v>
      </c>
      <c r="C517" s="1433"/>
      <c r="D517" s="1433"/>
      <c r="E517" s="1433"/>
      <c r="F517" s="1433"/>
      <c r="G517" s="1433"/>
      <c r="H517" s="1434"/>
      <c r="I517" s="42" t="s">
        <v>414</v>
      </c>
      <c r="J517" s="42"/>
      <c r="K517" s="42"/>
      <c r="L517" s="42"/>
      <c r="M517" s="42"/>
      <c r="N517" s="42"/>
      <c r="O517" s="42"/>
      <c r="P517" s="42"/>
      <c r="Q517" s="42"/>
      <c r="R517" s="42"/>
      <c r="S517" s="42"/>
      <c r="T517" s="42"/>
      <c r="U517" s="42"/>
      <c r="V517" s="42"/>
      <c r="W517" s="42"/>
      <c r="X517" s="42"/>
      <c r="Y517" s="42"/>
      <c r="Z517" s="42"/>
      <c r="AA517" s="42"/>
      <c r="AB517" s="42"/>
      <c r="AC517" s="1355">
        <v>1</v>
      </c>
      <c r="AD517" s="1356"/>
      <c r="AE517" s="1356"/>
      <c r="AF517" s="1356"/>
      <c r="AG517" s="129" t="s">
        <v>402</v>
      </c>
      <c r="AH517" s="1368">
        <v>2025</v>
      </c>
      <c r="AI517" s="1368"/>
      <c r="AJ517" s="1368"/>
      <c r="AK517" s="1369"/>
      <c r="AZ517" s="3"/>
      <c r="BB517" s="3"/>
      <c r="BC517" s="3"/>
      <c r="BD517" s="3"/>
      <c r="BE517" s="3"/>
      <c r="BF517" s="3"/>
      <c r="BG517" s="3"/>
      <c r="BH517" s="3"/>
      <c r="BI517" s="3"/>
      <c r="BJ517" s="3"/>
      <c r="BK517" s="3"/>
      <c r="BL517" s="3"/>
      <c r="BM517" s="3"/>
      <c r="BN517" s="3" t="s">
        <v>2109</v>
      </c>
    </row>
    <row r="518" spans="2:66" ht="12.95" customHeight="1">
      <c r="B518" s="1673"/>
      <c r="C518" s="1435"/>
      <c r="D518" s="1435"/>
      <c r="E518" s="1435"/>
      <c r="F518" s="1435"/>
      <c r="G518" s="1435"/>
      <c r="H518" s="1436"/>
      <c r="I518" t="s">
        <v>415</v>
      </c>
      <c r="AC518" s="1686">
        <v>1</v>
      </c>
      <c r="AD518" s="1687"/>
      <c r="AE518" s="1687"/>
      <c r="AF518" s="1687"/>
      <c r="AG518" s="13" t="s">
        <v>402</v>
      </c>
      <c r="AH518" s="1368">
        <v>2025</v>
      </c>
      <c r="AI518" s="1368"/>
      <c r="AJ518" s="1368"/>
      <c r="AK518" s="1369"/>
      <c r="BB518" s="3"/>
      <c r="BC518" s="3"/>
      <c r="BD518" s="3"/>
      <c r="BE518" s="3"/>
      <c r="BF518" s="3"/>
      <c r="BG518" s="3"/>
      <c r="BH518" s="3"/>
      <c r="BI518" s="3"/>
      <c r="BJ518" s="3"/>
      <c r="BK518" s="3"/>
      <c r="BL518" s="3"/>
      <c r="BM518" s="3"/>
      <c r="BN518" s="3" t="s">
        <v>2110</v>
      </c>
    </row>
    <row r="519" spans="2:66" ht="12.95" customHeight="1">
      <c r="B519" s="1674"/>
      <c r="C519" s="1437"/>
      <c r="D519" s="1437"/>
      <c r="E519" s="1437"/>
      <c r="F519" s="1437"/>
      <c r="G519" s="1437"/>
      <c r="H519" s="1438"/>
      <c r="I519" s="48" t="s">
        <v>416</v>
      </c>
      <c r="J519" s="48"/>
      <c r="K519" s="48"/>
      <c r="L519" s="48"/>
      <c r="M519" s="48"/>
      <c r="N519" s="48"/>
      <c r="O519" s="48"/>
      <c r="P519" s="48"/>
      <c r="Q519" s="48"/>
      <c r="R519" s="48"/>
      <c r="S519" s="48"/>
      <c r="T519" s="48"/>
      <c r="U519" s="48"/>
      <c r="V519" s="48"/>
      <c r="W519" s="48"/>
      <c r="X519" s="48"/>
      <c r="Y519" s="48"/>
      <c r="Z519" s="48"/>
      <c r="AA519" s="48"/>
      <c r="AB519" s="48"/>
      <c r="AC519" s="1686">
        <v>9</v>
      </c>
      <c r="AD519" s="1687"/>
      <c r="AE519" s="1687"/>
      <c r="AF519" s="1687"/>
      <c r="AG519" s="38" t="s">
        <v>402</v>
      </c>
      <c r="AH519" s="1368">
        <v>2025</v>
      </c>
      <c r="AI519" s="1368"/>
      <c r="AJ519" s="1368"/>
      <c r="AK519" s="1369"/>
      <c r="BB519" s="3"/>
      <c r="BC519" s="3"/>
      <c r="BD519" s="3"/>
      <c r="BE519" s="3"/>
      <c r="BF519" s="3"/>
      <c r="BG519" s="3"/>
      <c r="BH519" s="3"/>
      <c r="BI519" s="3"/>
      <c r="BJ519" s="3"/>
      <c r="BK519" s="3"/>
      <c r="BL519" s="3"/>
      <c r="BM519" s="3"/>
      <c r="BN519" s="3" t="s">
        <v>2111</v>
      </c>
    </row>
    <row r="520" spans="2:66" ht="12.95" customHeight="1">
      <c r="B520" s="1672" t="s">
        <v>418</v>
      </c>
      <c r="C520" s="1433"/>
      <c r="D520" s="1433"/>
      <c r="E520" s="1433"/>
      <c r="F520" s="1433"/>
      <c r="G520" s="1433"/>
      <c r="H520" s="1434"/>
      <c r="I520" s="41" t="s">
        <v>419</v>
      </c>
      <c r="J520" s="42"/>
      <c r="K520" s="42"/>
      <c r="L520" s="42"/>
      <c r="M520" s="42"/>
      <c r="N520" s="42"/>
      <c r="O520" s="1749" t="s">
        <v>2661</v>
      </c>
      <c r="P520" s="1750"/>
      <c r="Q520" s="1750"/>
      <c r="R520" s="1750"/>
      <c r="S520" s="1750"/>
      <c r="T520" s="1750"/>
      <c r="U520" s="1750"/>
      <c r="V520" s="1750"/>
      <c r="W520" s="1750"/>
      <c r="X520" s="1750"/>
      <c r="Y520" s="1750"/>
      <c r="Z520" s="1750"/>
      <c r="AA520" s="1750"/>
      <c r="AB520" s="58"/>
      <c r="AC520" s="1355" t="s">
        <v>591</v>
      </c>
      <c r="AD520" s="1356"/>
      <c r="AE520" s="1356"/>
      <c r="AF520" s="1356"/>
      <c r="AG520" s="129" t="s">
        <v>402</v>
      </c>
      <c r="AH520" s="1368"/>
      <c r="AI520" s="1368"/>
      <c r="AJ520" s="1368"/>
      <c r="AK520" s="1369"/>
      <c r="AZ520" s="3"/>
      <c r="BB520" s="3"/>
      <c r="BC520" s="3"/>
      <c r="BD520" s="3"/>
      <c r="BE520" s="3"/>
      <c r="BF520" s="3"/>
      <c r="BG520" s="3"/>
      <c r="BH520" s="3"/>
      <c r="BI520" s="3"/>
      <c r="BJ520" s="3"/>
      <c r="BK520" s="3"/>
      <c r="BL520" s="3"/>
      <c r="BM520" s="3"/>
      <c r="BN520" s="3" t="s">
        <v>2112</v>
      </c>
    </row>
    <row r="521" spans="2:66" ht="12.95" customHeight="1">
      <c r="B521" s="1673"/>
      <c r="C521" s="1435"/>
      <c r="D521" s="1435"/>
      <c r="E521" s="1435"/>
      <c r="F521" s="1435"/>
      <c r="G521" s="1435"/>
      <c r="H521" s="1436"/>
      <c r="I521" s="114" t="s">
        <v>420</v>
      </c>
      <c r="AB521" s="65"/>
      <c r="AC521" s="1686">
        <v>1</v>
      </c>
      <c r="AD521" s="1687"/>
      <c r="AE521" s="1687"/>
      <c r="AF521" s="1687"/>
      <c r="AG521" s="13" t="s">
        <v>402</v>
      </c>
      <c r="AH521" s="1368">
        <v>2025</v>
      </c>
      <c r="AI521" s="1368"/>
      <c r="AJ521" s="1368"/>
      <c r="AK521" s="1369"/>
      <c r="AZ521" s="3"/>
      <c r="BB521" s="3"/>
      <c r="BC521" s="3"/>
      <c r="BD521" s="3"/>
      <c r="BE521" s="3"/>
      <c r="BF521" s="3"/>
      <c r="BG521" s="3"/>
      <c r="BH521" s="3"/>
      <c r="BI521" s="3"/>
      <c r="BJ521" s="3"/>
      <c r="BK521" s="3"/>
      <c r="BL521" s="3"/>
      <c r="BM521" s="3"/>
      <c r="BN521" s="3" t="s">
        <v>2113</v>
      </c>
    </row>
    <row r="522" spans="2:66" ht="12.95" customHeight="1">
      <c r="B522" s="1673"/>
      <c r="C522" s="1435"/>
      <c r="D522" s="1435"/>
      <c r="E522" s="1435"/>
      <c r="F522" s="1435"/>
      <c r="G522" s="1435"/>
      <c r="H522" s="1436"/>
      <c r="I522" s="47" t="s">
        <v>421</v>
      </c>
      <c r="J522" s="48"/>
      <c r="K522" s="48"/>
      <c r="L522" s="48"/>
      <c r="M522" s="48"/>
      <c r="N522" s="48"/>
      <c r="O522" s="48"/>
      <c r="P522" s="48"/>
      <c r="Q522" s="48"/>
      <c r="R522" s="48"/>
      <c r="S522" s="48"/>
      <c r="T522" s="48"/>
      <c r="U522" s="48"/>
      <c r="V522" s="48"/>
      <c r="W522" s="48"/>
      <c r="X522" s="48"/>
      <c r="Y522" s="48"/>
      <c r="Z522" s="48"/>
      <c r="AA522" s="48"/>
      <c r="AB522" s="49"/>
      <c r="AC522" s="1686">
        <v>9</v>
      </c>
      <c r="AD522" s="1687"/>
      <c r="AE522" s="1687"/>
      <c r="AF522" s="1687"/>
      <c r="AG522" s="38" t="s">
        <v>402</v>
      </c>
      <c r="AH522" s="1368">
        <v>2025</v>
      </c>
      <c r="AI522" s="1368"/>
      <c r="AJ522" s="1368"/>
      <c r="AK522" s="1369"/>
      <c r="AZ522" s="3"/>
      <c r="BA522" s="3"/>
      <c r="BB522" s="3"/>
      <c r="BC522" s="3"/>
      <c r="BD522" s="3"/>
      <c r="BE522" s="3"/>
      <c r="BF522" s="3"/>
      <c r="BG522" s="3"/>
      <c r="BH522" s="3"/>
      <c r="BI522" s="3"/>
      <c r="BJ522" s="3"/>
      <c r="BK522" s="3"/>
      <c r="BL522" s="3"/>
      <c r="BM522" s="3"/>
      <c r="BN522" s="3" t="s">
        <v>2114</v>
      </c>
    </row>
    <row r="523" spans="2:66" ht="12.95" customHeight="1">
      <c r="B523" s="1673"/>
      <c r="C523" s="1435"/>
      <c r="D523" s="1435"/>
      <c r="E523" s="1435"/>
      <c r="F523" s="1435"/>
      <c r="G523" s="1435"/>
      <c r="H523" s="1436"/>
      <c r="I523" s="42" t="s">
        <v>422</v>
      </c>
      <c r="J523" s="42"/>
      <c r="K523" s="42"/>
      <c r="L523" s="42"/>
      <c r="M523" s="42"/>
      <c r="N523" s="42"/>
      <c r="O523" s="1749" t="s">
        <v>2700</v>
      </c>
      <c r="P523" s="1750"/>
      <c r="Q523" s="1750"/>
      <c r="R523" s="1750"/>
      <c r="S523" s="1750"/>
      <c r="T523" s="1750"/>
      <c r="U523" s="1750"/>
      <c r="V523" s="1750"/>
      <c r="W523" s="1750"/>
      <c r="X523" s="1750"/>
      <c r="Y523" s="1750"/>
      <c r="Z523" s="1750"/>
      <c r="AA523" s="1750"/>
      <c r="AC523" s="1686" t="s">
        <v>591</v>
      </c>
      <c r="AD523" s="1687"/>
      <c r="AE523" s="1687"/>
      <c r="AF523" s="1687"/>
      <c r="AG523" s="13" t="s">
        <v>402</v>
      </c>
      <c r="AH523" s="1368"/>
      <c r="AI523" s="1368"/>
      <c r="AJ523" s="1368"/>
      <c r="AK523" s="1369"/>
      <c r="AZ523" s="3"/>
      <c r="BA523" s="3"/>
      <c r="BB523" s="3"/>
      <c r="BC523" s="3"/>
      <c r="BD523" s="3"/>
      <c r="BE523" s="3"/>
      <c r="BF523" s="3"/>
      <c r="BG523" s="3"/>
      <c r="BH523" s="3"/>
      <c r="BI523" s="3"/>
      <c r="BJ523" s="3"/>
      <c r="BK523" s="3"/>
      <c r="BL523" s="3"/>
      <c r="BM523" s="3"/>
      <c r="BN523" s="3" t="s">
        <v>2115</v>
      </c>
    </row>
    <row r="524" spans="2:66" ht="12.95" customHeight="1">
      <c r="B524" s="1673"/>
      <c r="C524" s="1435"/>
      <c r="D524" s="1435"/>
      <c r="E524" s="1435"/>
      <c r="F524" s="1435"/>
      <c r="G524" s="1435"/>
      <c r="H524" s="1436"/>
      <c r="I524" t="s">
        <v>420</v>
      </c>
      <c r="AC524" s="1686" t="s">
        <v>591</v>
      </c>
      <c r="AD524" s="1687"/>
      <c r="AE524" s="1687"/>
      <c r="AF524" s="1687"/>
      <c r="AG524" s="13" t="s">
        <v>402</v>
      </c>
      <c r="AH524" s="1368"/>
      <c r="AI524" s="1368"/>
      <c r="AJ524" s="1368"/>
      <c r="AK524" s="1369"/>
      <c r="AZ524" s="3"/>
      <c r="BA524" s="3"/>
      <c r="BB524" s="3"/>
      <c r="BC524" s="3"/>
      <c r="BD524" s="3"/>
      <c r="BE524" s="3"/>
      <c r="BF524" s="3"/>
      <c r="BG524" s="3"/>
      <c r="BH524" s="3"/>
      <c r="BI524" s="3"/>
      <c r="BJ524" s="3"/>
      <c r="BK524" s="3"/>
      <c r="BL524" s="3"/>
      <c r="BM524" s="3"/>
      <c r="BN524" s="3" t="s">
        <v>2116</v>
      </c>
    </row>
    <row r="525" spans="2:66" ht="12.95" customHeight="1">
      <c r="B525" s="1673"/>
      <c r="C525" s="1435"/>
      <c r="D525" s="1435"/>
      <c r="E525" s="1435"/>
      <c r="F525" s="1435"/>
      <c r="G525" s="1435"/>
      <c r="H525" s="1436"/>
      <c r="I525" s="48" t="s">
        <v>421</v>
      </c>
      <c r="J525" s="48"/>
      <c r="K525" s="48"/>
      <c r="L525" s="48"/>
      <c r="M525" s="48"/>
      <c r="N525" s="48"/>
      <c r="O525" s="48"/>
      <c r="P525" s="48"/>
      <c r="Q525" s="48"/>
      <c r="R525" s="48"/>
      <c r="S525" s="48"/>
      <c r="T525" s="48"/>
      <c r="U525" s="48"/>
      <c r="V525" s="48"/>
      <c r="W525" s="48"/>
      <c r="X525" s="48"/>
      <c r="Y525" s="48"/>
      <c r="Z525" s="48"/>
      <c r="AA525" s="48"/>
      <c r="AB525" s="48"/>
      <c r="AC525" s="1686">
        <v>9</v>
      </c>
      <c r="AD525" s="1687"/>
      <c r="AE525" s="1687"/>
      <c r="AF525" s="1687"/>
      <c r="AG525" s="38" t="s">
        <v>402</v>
      </c>
      <c r="AH525" s="1368">
        <v>2025</v>
      </c>
      <c r="AI525" s="1368"/>
      <c r="AJ525" s="1368"/>
      <c r="AK525" s="1369"/>
      <c r="AZ525" s="3"/>
      <c r="BA525" s="3"/>
      <c r="BB525" s="3"/>
      <c r="BC525" s="3"/>
      <c r="BD525" s="3"/>
      <c r="BE525" s="3"/>
      <c r="BF525" s="3"/>
      <c r="BG525" s="3"/>
      <c r="BH525" s="3"/>
      <c r="BI525" s="3"/>
      <c r="BJ525" s="3"/>
      <c r="BK525" s="3"/>
      <c r="BL525" s="3"/>
      <c r="BM525" s="3"/>
      <c r="BN525" s="3" t="s">
        <v>2117</v>
      </c>
    </row>
    <row r="526" spans="2:66" ht="12.95" customHeight="1">
      <c r="B526" s="1673"/>
      <c r="C526" s="1435"/>
      <c r="D526" s="1435"/>
      <c r="E526" s="1435"/>
      <c r="F526" s="1435"/>
      <c r="G526" s="1435"/>
      <c r="H526" s="1436"/>
      <c r="I526" s="42" t="s">
        <v>422</v>
      </c>
      <c r="J526" s="42"/>
      <c r="K526" s="42"/>
      <c r="L526" s="42"/>
      <c r="M526" s="42"/>
      <c r="N526" s="42"/>
      <c r="O526" s="1749" t="s">
        <v>333</v>
      </c>
      <c r="P526" s="1750"/>
      <c r="Q526" s="1750"/>
      <c r="R526" s="1750"/>
      <c r="S526" s="1750"/>
      <c r="T526" s="1750"/>
      <c r="U526" s="1750"/>
      <c r="V526" s="1750"/>
      <c r="W526" s="1750"/>
      <c r="X526" s="1750"/>
      <c r="Y526" s="1750"/>
      <c r="Z526" s="1750"/>
      <c r="AA526" s="1750"/>
      <c r="AC526" s="1686" t="s">
        <v>591</v>
      </c>
      <c r="AD526" s="1687"/>
      <c r="AE526" s="1687"/>
      <c r="AF526" s="1687"/>
      <c r="AG526" s="13" t="s">
        <v>402</v>
      </c>
      <c r="AH526" s="1368"/>
      <c r="AI526" s="1368"/>
      <c r="AJ526" s="1368"/>
      <c r="AK526" s="1369"/>
      <c r="AZ526" s="3"/>
      <c r="BA526" s="3"/>
      <c r="BB526" s="3"/>
      <c r="BC526" s="3"/>
      <c r="BD526" s="3"/>
      <c r="BE526" s="3"/>
      <c r="BF526" s="3"/>
      <c r="BG526" s="3"/>
      <c r="BH526" s="3"/>
      <c r="BI526" s="3"/>
      <c r="BJ526" s="3"/>
      <c r="BK526" s="3"/>
      <c r="BL526" s="3"/>
      <c r="BM526" s="3"/>
      <c r="BN526" s="3" t="s">
        <v>2118</v>
      </c>
    </row>
    <row r="527" spans="2:66" ht="12.95" customHeight="1">
      <c r="B527" s="1673"/>
      <c r="C527" s="1435"/>
      <c r="D527" s="1435"/>
      <c r="E527" s="1435"/>
      <c r="F527" s="1435"/>
      <c r="G527" s="1435"/>
      <c r="H527" s="1436"/>
      <c r="I527" t="s">
        <v>420</v>
      </c>
      <c r="AC527" s="1686" t="s">
        <v>591</v>
      </c>
      <c r="AD527" s="1687"/>
      <c r="AE527" s="1687"/>
      <c r="AF527" s="1687"/>
      <c r="AG527" s="13" t="s">
        <v>402</v>
      </c>
      <c r="AH527" s="1368"/>
      <c r="AI527" s="1368"/>
      <c r="AJ527" s="1368"/>
      <c r="AK527" s="1369"/>
      <c r="AZ527" s="3"/>
      <c r="BA527" s="3"/>
      <c r="BB527" s="3"/>
      <c r="BC527" s="3"/>
      <c r="BD527" s="3"/>
      <c r="BE527" s="3"/>
      <c r="BF527" s="3"/>
      <c r="BG527" s="3"/>
      <c r="BH527" s="3"/>
      <c r="BI527" s="3"/>
      <c r="BJ527" s="3"/>
      <c r="BK527" s="3"/>
      <c r="BL527" s="3"/>
      <c r="BM527" s="3"/>
      <c r="BN527" s="3" t="s">
        <v>2119</v>
      </c>
    </row>
    <row r="528" spans="2:66" ht="12.95" customHeight="1">
      <c r="B528" s="1673"/>
      <c r="C528" s="1435"/>
      <c r="D528" s="1435"/>
      <c r="E528" s="1435"/>
      <c r="F528" s="1435"/>
      <c r="G528" s="1435"/>
      <c r="H528" s="1436"/>
      <c r="I528" s="48" t="s">
        <v>421</v>
      </c>
      <c r="J528" s="48"/>
      <c r="K528" s="48"/>
      <c r="L528" s="48"/>
      <c r="M528" s="48"/>
      <c r="N528" s="48"/>
      <c r="O528" s="48"/>
      <c r="P528" s="48"/>
      <c r="Q528" s="48"/>
      <c r="R528" s="48"/>
      <c r="S528" s="48"/>
      <c r="T528" s="48"/>
      <c r="U528" s="48"/>
      <c r="V528" s="48"/>
      <c r="W528" s="48"/>
      <c r="X528" s="48"/>
      <c r="Y528" s="48"/>
      <c r="Z528" s="48"/>
      <c r="AA528" s="48"/>
      <c r="AB528" s="48"/>
      <c r="AC528" s="1686" t="s">
        <v>591</v>
      </c>
      <c r="AD528" s="1687"/>
      <c r="AE528" s="1687"/>
      <c r="AF528" s="1687"/>
      <c r="AG528" s="38" t="s">
        <v>402</v>
      </c>
      <c r="AH528" s="1368"/>
      <c r="AI528" s="1368"/>
      <c r="AJ528" s="1368"/>
      <c r="AK528" s="1369"/>
      <c r="AZ528" s="3"/>
      <c r="BA528" s="3"/>
      <c r="BB528" s="3"/>
      <c r="BC528" s="3"/>
      <c r="BD528" s="3"/>
      <c r="BE528" s="3"/>
      <c r="BF528" s="3"/>
      <c r="BG528" s="3"/>
      <c r="BH528" s="3"/>
      <c r="BI528" s="3"/>
      <c r="BJ528" s="3"/>
      <c r="BK528" s="3"/>
      <c r="BL528" s="3"/>
      <c r="BM528" s="3"/>
      <c r="BN528" s="3" t="s">
        <v>2120</v>
      </c>
    </row>
    <row r="529" spans="1:66" ht="12.95" customHeight="1">
      <c r="B529" s="1673"/>
      <c r="C529" s="1435"/>
      <c r="D529" s="1435"/>
      <c r="E529" s="1435"/>
      <c r="F529" s="1435"/>
      <c r="G529" s="1435"/>
      <c r="H529" s="1436"/>
      <c r="I529" s="42" t="s">
        <v>422</v>
      </c>
      <c r="J529" s="42"/>
      <c r="K529" s="42"/>
      <c r="L529" s="42"/>
      <c r="M529" s="42"/>
      <c r="N529" s="42"/>
      <c r="O529" s="1749" t="s">
        <v>333</v>
      </c>
      <c r="P529" s="1750"/>
      <c r="Q529" s="1750"/>
      <c r="R529" s="1750"/>
      <c r="S529" s="1750"/>
      <c r="T529" s="1750"/>
      <c r="U529" s="1750"/>
      <c r="V529" s="1750"/>
      <c r="W529" s="1750"/>
      <c r="X529" s="1750"/>
      <c r="Y529" s="1750"/>
      <c r="Z529" s="1750"/>
      <c r="AA529" s="1750"/>
      <c r="AC529" s="1686" t="s">
        <v>591</v>
      </c>
      <c r="AD529" s="1687"/>
      <c r="AE529" s="1687"/>
      <c r="AF529" s="1687"/>
      <c r="AG529" s="13" t="s">
        <v>402</v>
      </c>
      <c r="AH529" s="1368"/>
      <c r="AI529" s="1368"/>
      <c r="AJ529" s="1368"/>
      <c r="AK529" s="1369"/>
      <c r="AZ529" s="3"/>
      <c r="BA529" s="3"/>
      <c r="BB529" s="3"/>
      <c r="BC529" s="3"/>
      <c r="BD529" s="3"/>
      <c r="BE529" s="3"/>
      <c r="BF529" s="3"/>
      <c r="BG529" s="3"/>
      <c r="BH529" s="3"/>
      <c r="BI529" s="3"/>
      <c r="BJ529" s="3"/>
      <c r="BK529" s="3"/>
      <c r="BL529" s="3"/>
      <c r="BM529" s="3"/>
      <c r="BN529" s="3" t="s">
        <v>2121</v>
      </c>
    </row>
    <row r="530" spans="1:66" ht="12.95" customHeight="1">
      <c r="B530" s="1673"/>
      <c r="C530" s="1435"/>
      <c r="D530" s="1435"/>
      <c r="E530" s="1435"/>
      <c r="F530" s="1435"/>
      <c r="G530" s="1435"/>
      <c r="H530" s="1436"/>
      <c r="I530" t="s">
        <v>420</v>
      </c>
      <c r="AC530" s="1686" t="s">
        <v>591</v>
      </c>
      <c r="AD530" s="1687"/>
      <c r="AE530" s="1687"/>
      <c r="AF530" s="1687"/>
      <c r="AG530" s="13" t="s">
        <v>402</v>
      </c>
      <c r="AH530" s="1368"/>
      <c r="AI530" s="1368"/>
      <c r="AJ530" s="1368"/>
      <c r="AK530" s="1369"/>
      <c r="AZ530" s="3"/>
      <c r="BA530" s="3"/>
      <c r="BB530" s="3"/>
      <c r="BC530" s="3"/>
      <c r="BD530" s="3"/>
      <c r="BE530" s="3"/>
      <c r="BF530" s="3"/>
      <c r="BG530" s="3"/>
      <c r="BH530" s="3"/>
      <c r="BI530" s="3"/>
      <c r="BJ530" s="3"/>
      <c r="BK530" s="3"/>
      <c r="BL530" s="3"/>
      <c r="BM530" s="3"/>
      <c r="BN530" s="3" t="s">
        <v>2122</v>
      </c>
    </row>
    <row r="531" spans="1:66" ht="12.95" customHeight="1">
      <c r="B531" s="1673"/>
      <c r="C531" s="1435"/>
      <c r="D531" s="1435"/>
      <c r="E531" s="1435"/>
      <c r="F531" s="1435"/>
      <c r="G531" s="1435"/>
      <c r="H531" s="1436"/>
      <c r="I531" s="48" t="s">
        <v>421</v>
      </c>
      <c r="J531" s="48"/>
      <c r="K531" s="48"/>
      <c r="L531" s="48"/>
      <c r="M531" s="48"/>
      <c r="N531" s="48"/>
      <c r="O531" s="48"/>
      <c r="P531" s="48"/>
      <c r="Q531" s="48"/>
      <c r="R531" s="48"/>
      <c r="S531" s="48"/>
      <c r="T531" s="48"/>
      <c r="U531" s="48"/>
      <c r="V531" s="48"/>
      <c r="W531" s="48"/>
      <c r="X531" s="48"/>
      <c r="Y531" s="48"/>
      <c r="Z531" s="48"/>
      <c r="AA531" s="48"/>
      <c r="AB531" s="48"/>
      <c r="AC531" s="1686" t="s">
        <v>591</v>
      </c>
      <c r="AD531" s="1687"/>
      <c r="AE531" s="1687"/>
      <c r="AF531" s="1687"/>
      <c r="AG531" s="38" t="s">
        <v>402</v>
      </c>
      <c r="AH531" s="1368"/>
      <c r="AI531" s="1368"/>
      <c r="AJ531" s="1368"/>
      <c r="AK531" s="1369"/>
      <c r="AZ531" s="3"/>
      <c r="BA531" s="3"/>
      <c r="BB531" s="3"/>
      <c r="BC531" s="3"/>
      <c r="BD531" s="3"/>
      <c r="BE531" s="3"/>
      <c r="BF531" s="3"/>
      <c r="BG531" s="3"/>
      <c r="BH531" s="3"/>
      <c r="BI531" s="3"/>
      <c r="BJ531" s="3"/>
      <c r="BK531" s="3"/>
      <c r="BL531" s="3"/>
      <c r="BM531" s="3"/>
      <c r="BN531" s="3" t="s">
        <v>2123</v>
      </c>
    </row>
    <row r="532" spans="1:66" ht="12.95" customHeight="1">
      <c r="B532" s="1673"/>
      <c r="C532" s="1435"/>
      <c r="D532" s="1435"/>
      <c r="E532" s="1435"/>
      <c r="F532" s="1435"/>
      <c r="G532" s="1435"/>
      <c r="H532" s="1436"/>
      <c r="I532" s="42" t="s">
        <v>422</v>
      </c>
      <c r="J532" s="42"/>
      <c r="K532" s="42"/>
      <c r="L532" s="42"/>
      <c r="M532" s="42"/>
      <c r="N532" s="42"/>
      <c r="O532" s="1749" t="s">
        <v>333</v>
      </c>
      <c r="P532" s="1750"/>
      <c r="Q532" s="1750"/>
      <c r="R532" s="1750"/>
      <c r="S532" s="1750"/>
      <c r="T532" s="1750"/>
      <c r="U532" s="1750"/>
      <c r="V532" s="1750"/>
      <c r="W532" s="1750"/>
      <c r="X532" s="1750"/>
      <c r="Y532" s="1750"/>
      <c r="Z532" s="1750"/>
      <c r="AA532" s="1750"/>
      <c r="AC532" s="1686" t="s">
        <v>591</v>
      </c>
      <c r="AD532" s="1687"/>
      <c r="AE532" s="1687"/>
      <c r="AF532" s="1687"/>
      <c r="AG532" s="13" t="s">
        <v>402</v>
      </c>
      <c r="AH532" s="1368"/>
      <c r="AI532" s="1368"/>
      <c r="AJ532" s="1368"/>
      <c r="AK532" s="1369"/>
      <c r="AZ532" s="3"/>
      <c r="BA532" s="3"/>
      <c r="BB532" s="3"/>
      <c r="BC532" s="3"/>
      <c r="BD532" s="3"/>
      <c r="BE532" s="3"/>
      <c r="BF532" s="3"/>
      <c r="BG532" s="3"/>
      <c r="BH532" s="3"/>
      <c r="BI532" s="3"/>
      <c r="BJ532" s="3"/>
      <c r="BK532" s="3"/>
      <c r="BL532" s="3"/>
      <c r="BM532" s="3"/>
      <c r="BN532" s="3" t="s">
        <v>2124</v>
      </c>
    </row>
    <row r="533" spans="1:66" ht="12.95" customHeight="1">
      <c r="B533" s="1673"/>
      <c r="C533" s="1435"/>
      <c r="D533" s="1435"/>
      <c r="E533" s="1435"/>
      <c r="F533" s="1435"/>
      <c r="G533" s="1435"/>
      <c r="H533" s="1436"/>
      <c r="I533" t="s">
        <v>420</v>
      </c>
      <c r="AC533" s="1686" t="s">
        <v>591</v>
      </c>
      <c r="AD533" s="1687"/>
      <c r="AE533" s="1687"/>
      <c r="AF533" s="1687"/>
      <c r="AG533" s="38" t="s">
        <v>402</v>
      </c>
      <c r="AH533" s="1368"/>
      <c r="AI533" s="1368"/>
      <c r="AJ533" s="1368"/>
      <c r="AK533" s="1369"/>
      <c r="AZ533" s="3"/>
      <c r="BA533" s="3"/>
      <c r="BB533" s="3"/>
      <c r="BC533" s="3"/>
      <c r="BD533" s="3"/>
      <c r="BE533" s="3"/>
      <c r="BF533" s="3"/>
      <c r="BG533" s="3"/>
      <c r="BH533" s="3"/>
      <c r="BI533" s="3"/>
      <c r="BJ533" s="3"/>
      <c r="BK533" s="3"/>
      <c r="BL533" s="3"/>
      <c r="BM533" s="3"/>
      <c r="BN533" s="3" t="s">
        <v>2125</v>
      </c>
    </row>
    <row r="534" spans="1:66" ht="12.95" customHeight="1">
      <c r="B534" s="1673"/>
      <c r="C534" s="1435"/>
      <c r="D534" s="1435"/>
      <c r="E534" s="1435"/>
      <c r="F534" s="1435"/>
      <c r="G534" s="1435"/>
      <c r="H534" s="1436"/>
      <c r="I534" s="48" t="s">
        <v>421</v>
      </c>
      <c r="J534" s="48"/>
      <c r="K534" s="48"/>
      <c r="L534" s="48"/>
      <c r="M534" s="48"/>
      <c r="N534" s="48"/>
      <c r="O534" s="48"/>
      <c r="P534" s="48"/>
      <c r="Q534" s="48"/>
      <c r="R534" s="48"/>
      <c r="S534" s="48"/>
      <c r="T534" s="48"/>
      <c r="U534" s="48"/>
      <c r="V534" s="48"/>
      <c r="W534" s="48"/>
      <c r="X534" s="48"/>
      <c r="Y534" s="48"/>
      <c r="Z534" s="48"/>
      <c r="AA534" s="48"/>
      <c r="AB534" s="48"/>
      <c r="AC534" s="1686" t="s">
        <v>591</v>
      </c>
      <c r="AD534" s="1687"/>
      <c r="AE534" s="1687"/>
      <c r="AF534" s="1687"/>
      <c r="AG534" s="13" t="s">
        <v>402</v>
      </c>
      <c r="AH534" s="1368"/>
      <c r="AI534" s="1368"/>
      <c r="AJ534" s="1368"/>
      <c r="AK534" s="1369"/>
      <c r="AZ534" s="3"/>
      <c r="BA534" s="3"/>
      <c r="BB534" s="3"/>
      <c r="BC534" s="3"/>
      <c r="BD534" s="3"/>
      <c r="BE534" s="3"/>
      <c r="BF534" s="3"/>
      <c r="BG534" s="3"/>
      <c r="BH534" s="3"/>
      <c r="BI534" s="3"/>
      <c r="BJ534" s="3"/>
      <c r="BK534" s="3"/>
      <c r="BL534" s="3"/>
      <c r="BM534" s="3"/>
      <c r="BN534" s="3" t="s">
        <v>2126</v>
      </c>
    </row>
    <row r="535" spans="1:66" ht="12.95" customHeight="1">
      <c r="B535" s="1673"/>
      <c r="C535" s="1435"/>
      <c r="D535" s="1435"/>
      <c r="E535" s="1435"/>
      <c r="F535" s="1435"/>
      <c r="G535" s="1435"/>
      <c r="H535" s="1436"/>
      <c r="I535" s="42" t="s">
        <v>422</v>
      </c>
      <c r="J535" s="42"/>
      <c r="K535" s="42"/>
      <c r="L535" s="42"/>
      <c r="M535" s="42"/>
      <c r="N535" s="42"/>
      <c r="O535" s="1749" t="s">
        <v>333</v>
      </c>
      <c r="P535" s="1750"/>
      <c r="Q535" s="1750"/>
      <c r="R535" s="1750"/>
      <c r="S535" s="1750"/>
      <c r="T535" s="1750"/>
      <c r="U535" s="1750"/>
      <c r="V535" s="1750"/>
      <c r="W535" s="1750"/>
      <c r="X535" s="1750"/>
      <c r="Y535" s="1750"/>
      <c r="Z535" s="1750"/>
      <c r="AA535" s="1750"/>
      <c r="AC535" s="1686" t="s">
        <v>591</v>
      </c>
      <c r="AD535" s="1687"/>
      <c r="AE535" s="1687"/>
      <c r="AF535" s="1687"/>
      <c r="AG535" s="38" t="s">
        <v>402</v>
      </c>
      <c r="AH535" s="1368"/>
      <c r="AI535" s="1368"/>
      <c r="AJ535" s="1368"/>
      <c r="AK535" s="1369"/>
      <c r="AZ535" s="3"/>
      <c r="BA535" s="3"/>
      <c r="BB535" s="3"/>
      <c r="BC535" s="3"/>
      <c r="BD535" s="3"/>
      <c r="BE535" s="3"/>
      <c r="BF535" s="3"/>
      <c r="BG535" s="3"/>
      <c r="BH535" s="3"/>
      <c r="BI535" s="3"/>
      <c r="BJ535" s="3"/>
      <c r="BK535" s="3"/>
      <c r="BL535" s="3"/>
      <c r="BM535" s="3"/>
      <c r="BN535" s="3" t="s">
        <v>2127</v>
      </c>
    </row>
    <row r="536" spans="1:66" ht="12.95" customHeight="1">
      <c r="B536" s="1673"/>
      <c r="C536" s="1435"/>
      <c r="D536" s="1435"/>
      <c r="E536" s="1435"/>
      <c r="F536" s="1435"/>
      <c r="G536" s="1435"/>
      <c r="H536" s="1436"/>
      <c r="I536" t="s">
        <v>420</v>
      </c>
      <c r="AC536" s="1686" t="s">
        <v>591</v>
      </c>
      <c r="AD536" s="1687"/>
      <c r="AE536" s="1687"/>
      <c r="AF536" s="1687"/>
      <c r="AG536" s="13" t="s">
        <v>402</v>
      </c>
      <c r="AH536" s="1368"/>
      <c r="AI536" s="1368"/>
      <c r="AJ536" s="1368"/>
      <c r="AK536" s="1369"/>
      <c r="AZ536" s="3"/>
      <c r="BA536" s="3"/>
      <c r="BB536" s="3"/>
      <c r="BC536" s="3"/>
      <c r="BD536" s="3"/>
      <c r="BE536" s="3"/>
      <c r="BF536" s="3"/>
      <c r="BG536" s="3"/>
      <c r="BH536" s="3"/>
      <c r="BI536" s="3"/>
      <c r="BJ536" s="3"/>
      <c r="BK536" s="3"/>
      <c r="BL536" s="3"/>
      <c r="BM536" s="3"/>
      <c r="BN536" s="3" t="s">
        <v>2128</v>
      </c>
    </row>
    <row r="537" spans="1:66" ht="12.95" customHeight="1">
      <c r="B537" s="1673"/>
      <c r="C537" s="1435"/>
      <c r="D537" s="1435"/>
      <c r="E537" s="1435"/>
      <c r="F537" s="1435"/>
      <c r="G537" s="1435"/>
      <c r="H537" s="1436"/>
      <c r="I537" s="48" t="s">
        <v>421</v>
      </c>
      <c r="J537" s="48"/>
      <c r="K537" s="48"/>
      <c r="L537" s="48"/>
      <c r="M537" s="48"/>
      <c r="N537" s="48"/>
      <c r="O537" s="48"/>
      <c r="P537" s="48"/>
      <c r="Q537" s="48"/>
      <c r="R537" s="48"/>
      <c r="S537" s="48"/>
      <c r="T537" s="48"/>
      <c r="U537" s="48"/>
      <c r="V537" s="48"/>
      <c r="W537" s="48"/>
      <c r="X537" s="48"/>
      <c r="Y537" s="48"/>
      <c r="Z537" s="48"/>
      <c r="AA537" s="48"/>
      <c r="AB537" s="48"/>
      <c r="AC537" s="1686" t="s">
        <v>591</v>
      </c>
      <c r="AD537" s="1687"/>
      <c r="AE537" s="1687"/>
      <c r="AF537" s="1687"/>
      <c r="AG537" s="38" t="s">
        <v>402</v>
      </c>
      <c r="AH537" s="1368"/>
      <c r="AI537" s="1368"/>
      <c r="AJ537" s="1368"/>
      <c r="AK537" s="1369"/>
      <c r="AZ537" s="3"/>
      <c r="BA537" s="3"/>
      <c r="BB537" s="3"/>
      <c r="BC537" s="3"/>
      <c r="BD537" s="3"/>
      <c r="BE537" s="3"/>
      <c r="BF537" s="3"/>
      <c r="BG537" s="3"/>
      <c r="BH537" s="3"/>
      <c r="BI537" s="3"/>
      <c r="BJ537" s="3"/>
      <c r="BK537" s="3"/>
      <c r="BL537" s="3"/>
      <c r="BM537" s="3"/>
      <c r="BN537" s="3" t="s">
        <v>2129</v>
      </c>
    </row>
    <row r="538" spans="1:66" ht="12.95" customHeight="1">
      <c r="B538" s="1673"/>
      <c r="C538" s="1435"/>
      <c r="D538" s="1435"/>
      <c r="E538" s="1435"/>
      <c r="F538" s="1435"/>
      <c r="G538" s="1435"/>
      <c r="H538" s="1436"/>
      <c r="I538" s="42" t="s">
        <v>562</v>
      </c>
      <c r="J538" s="42"/>
      <c r="K538" s="42"/>
      <c r="L538" s="42"/>
      <c r="M538" s="42"/>
      <c r="N538" s="42"/>
      <c r="O538" s="42"/>
      <c r="P538" s="42"/>
      <c r="Q538" s="42"/>
      <c r="R538" s="42"/>
      <c r="S538" s="42"/>
      <c r="T538" s="42"/>
      <c r="U538" s="42"/>
      <c r="V538" s="42"/>
      <c r="W538" s="42"/>
      <c r="AC538" s="1686">
        <v>9</v>
      </c>
      <c r="AD538" s="1687"/>
      <c r="AE538" s="1687"/>
      <c r="AF538" s="1687"/>
      <c r="AG538" s="38" t="s">
        <v>402</v>
      </c>
      <c r="AH538" s="1368">
        <v>2025</v>
      </c>
      <c r="AI538" s="1368"/>
      <c r="AJ538" s="1368"/>
      <c r="AK538" s="1369"/>
      <c r="AZ538" s="3"/>
      <c r="BA538" s="3"/>
      <c r="BB538" s="3"/>
      <c r="BC538" s="3"/>
      <c r="BD538" s="3"/>
      <c r="BE538" s="3"/>
      <c r="BF538" s="3"/>
      <c r="BG538" s="3"/>
      <c r="BH538" s="3"/>
      <c r="BI538" s="3"/>
      <c r="BJ538" s="3"/>
      <c r="BK538" s="3"/>
      <c r="BL538" s="3"/>
      <c r="BM538" s="3"/>
      <c r="BN538" s="3"/>
    </row>
    <row r="539" spans="1:66" ht="12.95" customHeight="1">
      <c r="B539" s="1673"/>
      <c r="C539" s="1435"/>
      <c r="D539" s="1435"/>
      <c r="E539" s="1435"/>
      <c r="F539" s="1435"/>
      <c r="G539" s="1435"/>
      <c r="H539" s="1436"/>
      <c r="I539" t="s">
        <v>563</v>
      </c>
      <c r="AC539" s="1686">
        <v>9</v>
      </c>
      <c r="AD539" s="1687"/>
      <c r="AE539" s="1687"/>
      <c r="AF539" s="1687"/>
      <c r="AG539" s="13" t="s">
        <v>402</v>
      </c>
      <c r="AH539" s="1368">
        <v>2025</v>
      </c>
      <c r="AI539" s="1368"/>
      <c r="AJ539" s="1368"/>
      <c r="AK539" s="1369"/>
      <c r="AZ539" s="3"/>
      <c r="BA539" s="3"/>
      <c r="BB539" s="3"/>
      <c r="BC539" s="3"/>
      <c r="BD539" s="3"/>
      <c r="BE539" s="3"/>
      <c r="BF539" s="3"/>
      <c r="BG539" s="3"/>
      <c r="BH539" s="3"/>
      <c r="BI539" s="3"/>
      <c r="BJ539" s="3"/>
      <c r="BK539" s="3"/>
      <c r="BL539" s="3"/>
      <c r="BM539" s="3"/>
      <c r="BN539" s="3"/>
    </row>
    <row r="540" spans="1:66" ht="12.95" customHeight="1">
      <c r="B540" s="1673"/>
      <c r="C540" s="1435"/>
      <c r="D540" s="1435"/>
      <c r="E540" s="1435"/>
      <c r="F540" s="1435"/>
      <c r="G540" s="1435"/>
      <c r="H540" s="1436"/>
      <c r="I540" t="s">
        <v>564</v>
      </c>
      <c r="AC540" s="1686">
        <v>8</v>
      </c>
      <c r="AD540" s="1687"/>
      <c r="AE540" s="1687"/>
      <c r="AF540" s="1687"/>
      <c r="AG540" s="38" t="s">
        <v>402</v>
      </c>
      <c r="AH540" s="1368">
        <v>2027</v>
      </c>
      <c r="AI540" s="1368"/>
      <c r="AJ540" s="1368"/>
      <c r="AK540" s="1369"/>
      <c r="AZ540" s="3"/>
      <c r="BA540" s="3"/>
      <c r="BB540" s="3"/>
      <c r="BC540" s="3"/>
      <c r="BD540" s="3"/>
      <c r="BE540" s="3"/>
      <c r="BF540" s="3"/>
      <c r="BG540" s="3"/>
      <c r="BH540" s="3"/>
      <c r="BI540" s="3"/>
      <c r="BJ540" s="3"/>
      <c r="BK540" s="3"/>
      <c r="BL540" s="3"/>
      <c r="BM540" s="3"/>
      <c r="BN540" s="3"/>
    </row>
    <row r="541" spans="1:66" ht="12.95" customHeight="1">
      <c r="B541" s="1673"/>
      <c r="C541" s="1435"/>
      <c r="D541" s="1435"/>
      <c r="E541" s="1435"/>
      <c r="F541" s="1435"/>
      <c r="G541" s="1435"/>
      <c r="H541" s="1436"/>
      <c r="I541" t="s">
        <v>565</v>
      </c>
      <c r="AC541" s="1686">
        <v>8</v>
      </c>
      <c r="AD541" s="1687"/>
      <c r="AE541" s="1687"/>
      <c r="AF541" s="1687"/>
      <c r="AG541" s="38" t="s">
        <v>402</v>
      </c>
      <c r="AH541" s="1368">
        <v>2027</v>
      </c>
      <c r="AI541" s="1368"/>
      <c r="AJ541" s="1368"/>
      <c r="AK541" s="1369"/>
      <c r="AZ541" s="3"/>
      <c r="BA541" s="3"/>
      <c r="BB541" s="3"/>
      <c r="BC541" s="3"/>
      <c r="BD541" s="3"/>
      <c r="BE541" s="3"/>
      <c r="BF541" s="3"/>
      <c r="BG541" s="3"/>
      <c r="BH541" s="3"/>
      <c r="BI541" s="3"/>
      <c r="BJ541" s="3"/>
      <c r="BK541" s="3"/>
      <c r="BL541" s="3"/>
      <c r="BM541" s="3"/>
      <c r="BN541" s="3"/>
    </row>
    <row r="542" spans="1:66" ht="12.95" customHeight="1">
      <c r="B542" s="1674"/>
      <c r="C542" s="1437"/>
      <c r="D542" s="1437"/>
      <c r="E542" s="1437"/>
      <c r="F542" s="1437"/>
      <c r="G542" s="1437"/>
      <c r="H542" s="1438"/>
      <c r="I542" s="48" t="s">
        <v>451</v>
      </c>
      <c r="J542" s="48"/>
      <c r="K542" s="48"/>
      <c r="L542" s="48"/>
      <c r="M542" s="48"/>
      <c r="N542" s="48"/>
      <c r="O542" s="48"/>
      <c r="P542" s="48"/>
      <c r="Q542" s="48"/>
      <c r="R542" s="48"/>
      <c r="S542" s="48"/>
      <c r="T542" s="48"/>
      <c r="U542" s="48"/>
      <c r="V542" s="48"/>
      <c r="W542" s="48"/>
      <c r="X542" s="48"/>
      <c r="Y542" s="48"/>
      <c r="Z542" s="48"/>
      <c r="AA542" s="48"/>
      <c r="AB542" s="48"/>
      <c r="AC542" s="1686">
        <v>1</v>
      </c>
      <c r="AD542" s="1687"/>
      <c r="AE542" s="1687"/>
      <c r="AF542" s="1687"/>
      <c r="AG542" s="38" t="s">
        <v>402</v>
      </c>
      <c r="AH542" s="1368">
        <v>2028</v>
      </c>
      <c r="AI542" s="1368"/>
      <c r="AJ542" s="1368"/>
      <c r="AK542" s="1369"/>
      <c r="BB542" s="3"/>
      <c r="BC542" s="3"/>
      <c r="BD542" s="3"/>
      <c r="BE542" s="3"/>
      <c r="BF542" s="3"/>
      <c r="BG542" s="3"/>
      <c r="BH542" s="3" t="s">
        <v>112</v>
      </c>
      <c r="BI542" s="3" t="str">
        <f>N649</f>
        <v>Yes</v>
      </c>
      <c r="BJ542" s="3"/>
      <c r="BK542" s="3"/>
      <c r="BL542" s="3"/>
      <c r="BM542" s="3"/>
      <c r="BN542" s="3"/>
    </row>
    <row r="543" spans="1:66" ht="12.95" customHeight="1">
      <c r="B543" s="533"/>
      <c r="C543" s="130"/>
      <c r="D543" s="130"/>
      <c r="E543" s="130"/>
      <c r="F543" s="130"/>
      <c r="G543" s="130"/>
      <c r="H543" s="130"/>
      <c r="AB543" s="130"/>
      <c r="AU543" s="900"/>
      <c r="AV543" s="900"/>
      <c r="AW543" s="900"/>
      <c r="AX543" s="900"/>
      <c r="AY543" s="900"/>
      <c r="BB543" s="3"/>
      <c r="BC543" s="3"/>
      <c r="BD543" s="3"/>
      <c r="BE543" s="3"/>
      <c r="BF543" s="3"/>
      <c r="BG543" s="3"/>
      <c r="BH543" s="3" t="s">
        <v>113</v>
      </c>
      <c r="BI543" s="3" t="str">
        <f>AG649</f>
        <v>Yes</v>
      </c>
      <c r="BJ543" s="3"/>
      <c r="BK543" s="3"/>
      <c r="BL543" s="3"/>
      <c r="BM543" s="3"/>
      <c r="BN543" s="3"/>
    </row>
    <row r="544" spans="1:66" ht="12.95" customHeight="1">
      <c r="A544" s="1258" t="s">
        <v>543</v>
      </c>
      <c r="B544" s="1258"/>
      <c r="C544" s="1258"/>
      <c r="D544" s="1258"/>
      <c r="E544" s="1258"/>
      <c r="F544" s="1258"/>
      <c r="G544" s="1258"/>
      <c r="H544" s="1258"/>
      <c r="I544" s="1258"/>
      <c r="J544" s="1258"/>
      <c r="K544" s="1258"/>
      <c r="L544" s="1258"/>
      <c r="M544" s="1258"/>
      <c r="N544" s="1258"/>
      <c r="O544" s="1258"/>
      <c r="P544" s="1258"/>
      <c r="Q544" s="1258"/>
      <c r="R544" s="1258"/>
      <c r="S544" s="1258"/>
      <c r="T544" s="1258"/>
      <c r="U544" s="1258"/>
      <c r="V544" s="1258"/>
      <c r="W544" s="1258"/>
      <c r="X544" s="1258"/>
      <c r="Y544" s="1258"/>
      <c r="Z544" s="1258"/>
      <c r="AA544" s="1258"/>
      <c r="AB544" s="1258"/>
      <c r="AC544" s="1258"/>
      <c r="AD544" s="1258"/>
      <c r="AE544" s="1258"/>
      <c r="AF544" s="1258"/>
      <c r="AG544" s="1258"/>
      <c r="AH544" s="1258"/>
      <c r="AI544" s="1258"/>
      <c r="AJ544" s="1258"/>
      <c r="AK544" s="1258"/>
      <c r="AL544" s="1258"/>
      <c r="AM544" s="1258"/>
      <c r="AN544" s="1258"/>
      <c r="AO544" s="1258"/>
      <c r="AP544" s="1258"/>
      <c r="AQ544" s="1258"/>
      <c r="AR544" s="1258"/>
      <c r="AS544" s="1258"/>
      <c r="AT544" s="1258"/>
      <c r="AU544" s="900"/>
      <c r="AV544" s="900"/>
      <c r="AW544" s="900"/>
      <c r="AX544" s="900"/>
      <c r="AY544" s="900"/>
      <c r="BB544" s="3"/>
      <c r="BC544" s="3"/>
      <c r="BD544" s="3"/>
      <c r="BE544" s="3"/>
      <c r="BF544" s="3"/>
      <c r="BG544" s="3"/>
      <c r="BH544" s="3"/>
      <c r="BI544" s="3"/>
      <c r="BJ544" s="3"/>
      <c r="BK544" s="3"/>
      <c r="BL544" s="3"/>
      <c r="BM544" s="3"/>
      <c r="BN544" s="3"/>
    </row>
    <row r="545" spans="1:61" ht="12.95" customHeight="1">
      <c r="A545" s="1258"/>
      <c r="B545" s="1258"/>
      <c r="C545" s="1258"/>
      <c r="D545" s="1258"/>
      <c r="E545" s="1258"/>
      <c r="F545" s="1258"/>
      <c r="G545" s="1258"/>
      <c r="H545" s="1258"/>
      <c r="I545" s="1258"/>
      <c r="J545" s="1258"/>
      <c r="K545" s="1258"/>
      <c r="L545" s="1258"/>
      <c r="M545" s="1258"/>
      <c r="N545" s="1258"/>
      <c r="O545" s="1258"/>
      <c r="P545" s="1258"/>
      <c r="Q545" s="1258"/>
      <c r="R545" s="1258"/>
      <c r="S545" s="1258"/>
      <c r="T545" s="1258"/>
      <c r="U545" s="1258"/>
      <c r="V545" s="1258"/>
      <c r="W545" s="1258"/>
      <c r="X545" s="1258"/>
      <c r="Y545" s="1258"/>
      <c r="Z545" s="1258"/>
      <c r="AA545" s="1258"/>
      <c r="AB545" s="1258"/>
      <c r="AC545" s="1258"/>
      <c r="AD545" s="1258"/>
      <c r="AE545" s="1258"/>
      <c r="AF545" s="1258"/>
      <c r="AG545" s="1258"/>
      <c r="AH545" s="1258"/>
      <c r="AI545" s="1258"/>
      <c r="AJ545" s="1258"/>
      <c r="AK545" s="1258"/>
      <c r="AL545" s="1258"/>
      <c r="AM545" s="1258"/>
      <c r="AN545" s="1258"/>
      <c r="AO545" s="1258"/>
      <c r="AP545" s="1258"/>
      <c r="AQ545" s="1258"/>
      <c r="AR545" s="1258"/>
      <c r="AS545" s="1258"/>
      <c r="AT545" s="1258"/>
      <c r="BB545" s="3"/>
      <c r="BC545" s="3"/>
      <c r="BD545" s="3"/>
      <c r="BE545" s="3"/>
      <c r="BF545" s="3"/>
      <c r="BG545" s="3"/>
      <c r="BH545" s="3"/>
      <c r="BI545" s="3"/>
    </row>
    <row r="546" spans="1:61" ht="12.95" customHeight="1">
      <c r="BB546" s="3"/>
      <c r="BC546" s="3"/>
      <c r="BD546" s="3"/>
      <c r="BE546" s="3"/>
      <c r="BF546" s="3"/>
      <c r="BG546" s="3"/>
      <c r="BH546" s="3"/>
      <c r="BI546" s="3"/>
    </row>
    <row r="547" spans="1:61" ht="12.95" customHeight="1">
      <c r="A547" s="2" t="s">
        <v>318</v>
      </c>
      <c r="B547" s="2"/>
      <c r="C547" s="2" t="s">
        <v>452</v>
      </c>
      <c r="BB547" s="3"/>
      <c r="BC547" s="3"/>
      <c r="BD547" s="3"/>
      <c r="BE547" s="3"/>
      <c r="BF547" s="3"/>
      <c r="BG547" s="3"/>
      <c r="BH547" s="3"/>
      <c r="BI547" s="3"/>
    </row>
    <row r="548" spans="1:61" ht="12.95" customHeight="1">
      <c r="A548" s="2"/>
      <c r="B548" s="2"/>
      <c r="C548" s="2"/>
      <c r="BB548" s="3"/>
      <c r="BC548" s="3"/>
      <c r="BD548" s="3"/>
      <c r="BE548" s="3"/>
      <c r="BF548" s="3"/>
      <c r="BG548" s="3"/>
      <c r="BH548" s="3"/>
      <c r="BI548" s="3"/>
    </row>
    <row r="549" spans="1:61" ht="12.95" customHeight="1">
      <c r="A549" s="2"/>
      <c r="B549" s="2"/>
      <c r="C549" s="2"/>
      <c r="D549" s="2" t="s">
        <v>2101</v>
      </c>
      <c r="AC549" s="98"/>
      <c r="BB549" s="3"/>
      <c r="BC549" s="3"/>
      <c r="BD549" s="3"/>
      <c r="BE549" s="3"/>
      <c r="BF549" s="3"/>
      <c r="BG549" s="3"/>
      <c r="BH549" s="3"/>
      <c r="BI549" s="3"/>
    </row>
    <row r="550" spans="1:61" ht="12.95" customHeight="1">
      <c r="B550" s="513"/>
      <c r="BB550" s="3"/>
      <c r="BC550" s="3"/>
      <c r="BD550" s="3"/>
      <c r="BE550" s="3"/>
      <c r="BF550" s="3"/>
      <c r="BG550" s="3"/>
      <c r="BH550" s="3" t="s">
        <v>119</v>
      </c>
      <c r="BI550" s="3" t="str">
        <f>N657</f>
        <v>Yes</v>
      </c>
    </row>
    <row r="551" spans="1:61" ht="12.95" customHeight="1">
      <c r="B551" s="1672" t="s">
        <v>2103</v>
      </c>
      <c r="C551" s="1433"/>
      <c r="D551" s="1433"/>
      <c r="E551" s="1433"/>
      <c r="F551" s="1433"/>
      <c r="G551" s="1433"/>
      <c r="H551" s="1433"/>
      <c r="I551" s="1433"/>
      <c r="J551" s="1433"/>
      <c r="K551" s="1433"/>
      <c r="L551" s="1434"/>
      <c r="M551" s="1672" t="s">
        <v>2104</v>
      </c>
      <c r="N551" s="1433"/>
      <c r="O551" s="1433"/>
      <c r="P551" s="1434"/>
      <c r="Q551" s="1672" t="s">
        <v>2130</v>
      </c>
      <c r="R551" s="1433"/>
      <c r="S551" s="1434"/>
      <c r="T551" s="1672" t="s">
        <v>2131</v>
      </c>
      <c r="U551" s="1433"/>
      <c r="V551" s="1434"/>
      <c r="W551" s="1672" t="s">
        <v>453</v>
      </c>
      <c r="X551" s="1433"/>
      <c r="Y551" s="1434"/>
      <c r="Z551" s="1672" t="s">
        <v>1851</v>
      </c>
      <c r="AA551" s="1433"/>
      <c r="AB551" s="1433"/>
      <c r="AC551" s="1433"/>
      <c r="AD551" s="1434"/>
      <c r="AE551" s="1672" t="s">
        <v>1675</v>
      </c>
      <c r="AF551" s="1433"/>
      <c r="AG551" s="1433"/>
      <c r="AH551" s="1434"/>
      <c r="AI551" s="1672" t="s">
        <v>1676</v>
      </c>
      <c r="AJ551" s="1433"/>
      <c r="AK551" s="1433"/>
      <c r="AL551" s="1434"/>
      <c r="AM551" s="1672" t="s">
        <v>454</v>
      </c>
      <c r="AN551" s="1433"/>
      <c r="AO551" s="1433"/>
      <c r="AP551" s="1433"/>
      <c r="AQ551" s="1433"/>
      <c r="AR551" s="1433"/>
      <c r="AS551" s="1434"/>
      <c r="BB551" s="3"/>
      <c r="BC551" s="3"/>
      <c r="BD551" s="3"/>
      <c r="BE551" s="3"/>
      <c r="BF551" s="3"/>
      <c r="BG551" s="3"/>
      <c r="BH551" s="3" t="s">
        <v>581</v>
      </c>
      <c r="BI551" s="3" t="str">
        <f>AG657</f>
        <v>Yes</v>
      </c>
    </row>
    <row r="552" spans="1:61" ht="12.95" customHeight="1">
      <c r="B552" s="1673"/>
      <c r="C552" s="1435"/>
      <c r="D552" s="1435"/>
      <c r="E552" s="1435"/>
      <c r="F552" s="1435"/>
      <c r="G552" s="1435"/>
      <c r="H552" s="1435"/>
      <c r="I552" s="1435"/>
      <c r="J552" s="1435"/>
      <c r="K552" s="1435"/>
      <c r="L552" s="1436"/>
      <c r="M552" s="1673"/>
      <c r="N552" s="1435"/>
      <c r="O552" s="1435"/>
      <c r="P552" s="1436"/>
      <c r="Q552" s="1673"/>
      <c r="R552" s="1435"/>
      <c r="S552" s="1436"/>
      <c r="T552" s="1673"/>
      <c r="U552" s="1435"/>
      <c r="V552" s="1436"/>
      <c r="W552" s="1673"/>
      <c r="X552" s="1435"/>
      <c r="Y552" s="1436"/>
      <c r="Z552" s="1673"/>
      <c r="AA552" s="1435"/>
      <c r="AB552" s="1435"/>
      <c r="AC552" s="1435"/>
      <c r="AD552" s="1436"/>
      <c r="AE552" s="1673"/>
      <c r="AF552" s="1435"/>
      <c r="AG552" s="1435"/>
      <c r="AH552" s="1436"/>
      <c r="AI552" s="1673"/>
      <c r="AJ552" s="1435"/>
      <c r="AK552" s="1435"/>
      <c r="AL552" s="1436"/>
      <c r="AM552" s="1673"/>
      <c r="AN552" s="1435"/>
      <c r="AO552" s="1435"/>
      <c r="AP552" s="1435"/>
      <c r="AQ552" s="1435"/>
      <c r="AR552" s="1435"/>
      <c r="AS552" s="1436"/>
      <c r="AU552" s="1149"/>
      <c r="BB552" s="3"/>
      <c r="BC552" s="3"/>
      <c r="BD552" s="3"/>
      <c r="BE552" s="3"/>
      <c r="BF552" s="3"/>
      <c r="BG552" s="3"/>
      <c r="BH552" s="3"/>
      <c r="BI552" s="3"/>
    </row>
    <row r="553" spans="1:61" ht="12.95" customHeight="1">
      <c r="B553" s="1674"/>
      <c r="C553" s="1437"/>
      <c r="D553" s="1437"/>
      <c r="E553" s="1437"/>
      <c r="F553" s="1437"/>
      <c r="G553" s="1437"/>
      <c r="H553" s="1437"/>
      <c r="I553" s="1437"/>
      <c r="J553" s="1437"/>
      <c r="K553" s="1437"/>
      <c r="L553" s="1438"/>
      <c r="M553" s="1674"/>
      <c r="N553" s="1437"/>
      <c r="O553" s="1437"/>
      <c r="P553" s="1438"/>
      <c r="Q553" s="1674"/>
      <c r="R553" s="1437"/>
      <c r="S553" s="1438"/>
      <c r="T553" s="1674"/>
      <c r="U553" s="1437"/>
      <c r="V553" s="1438"/>
      <c r="W553" s="1674"/>
      <c r="X553" s="1437"/>
      <c r="Y553" s="1438"/>
      <c r="Z553" s="1674"/>
      <c r="AA553" s="1437"/>
      <c r="AB553" s="1437"/>
      <c r="AC553" s="1437"/>
      <c r="AD553" s="1438"/>
      <c r="AE553" s="1674"/>
      <c r="AF553" s="1437"/>
      <c r="AG553" s="1437"/>
      <c r="AH553" s="1438"/>
      <c r="AI553" s="1674"/>
      <c r="AJ553" s="1437"/>
      <c r="AK553" s="1437"/>
      <c r="AL553" s="1438"/>
      <c r="AM553" s="1674"/>
      <c r="AN553" s="1437"/>
      <c r="AO553" s="1437"/>
      <c r="AP553" s="1437"/>
      <c r="AQ553" s="1437"/>
      <c r="AR553" s="1437"/>
      <c r="AS553" s="1438"/>
      <c r="AU553" s="1149"/>
      <c r="BB553" s="3"/>
      <c r="BC553" s="3"/>
      <c r="BD553" s="3"/>
      <c r="BE553" s="3"/>
      <c r="BF553" s="3"/>
      <c r="BG553" s="3"/>
      <c r="BH553" s="3"/>
      <c r="BI553" s="3"/>
    </row>
    <row r="554" spans="1:61" ht="12.95" customHeight="1">
      <c r="B554" s="51" t="s">
        <v>112</v>
      </c>
      <c r="C554" s="1691" t="s">
        <v>2696</v>
      </c>
      <c r="D554" s="1691"/>
      <c r="E554" s="1691"/>
      <c r="F554" s="1691"/>
      <c r="G554" s="1691"/>
      <c r="H554" s="1691"/>
      <c r="I554" s="1691"/>
      <c r="J554" s="1691"/>
      <c r="K554" s="1691"/>
      <c r="L554" s="1691"/>
      <c r="M554" s="1691" t="s">
        <v>2120</v>
      </c>
      <c r="N554" s="1691"/>
      <c r="O554" s="1691"/>
      <c r="P554" s="1691"/>
      <c r="Q554" s="1450">
        <v>30</v>
      </c>
      <c r="R554" s="1450"/>
      <c r="S554" s="1451"/>
      <c r="T554" s="1449"/>
      <c r="U554" s="1450"/>
      <c r="V554" s="1451"/>
      <c r="W554" s="1452">
        <v>7.0000000000000007E-2</v>
      </c>
      <c r="X554" s="1453"/>
      <c r="Y554" s="1454"/>
      <c r="Z554" s="1707" t="s">
        <v>2697</v>
      </c>
      <c r="AA554" s="1707"/>
      <c r="AB554" s="1707"/>
      <c r="AC554" s="1707"/>
      <c r="AD554" s="1707"/>
      <c r="AE554" s="1680">
        <v>2</v>
      </c>
      <c r="AF554" s="1681"/>
      <c r="AG554" s="1681"/>
      <c r="AH554" s="1682"/>
      <c r="AI554" s="1692"/>
      <c r="AJ554" s="1693"/>
      <c r="AK554" s="1693"/>
      <c r="AL554" s="1694"/>
      <c r="AM554" s="1667">
        <v>42000000</v>
      </c>
      <c r="AN554" s="1668"/>
      <c r="AO554" s="1668"/>
      <c r="AP554" s="1668"/>
      <c r="AQ554" s="1668"/>
      <c r="AR554" s="1668"/>
      <c r="AS554" s="1669"/>
      <c r="AT554" s="1150"/>
      <c r="AU554" s="1149"/>
      <c r="BB554" s="3"/>
      <c r="BC554" s="3"/>
      <c r="BD554" s="3"/>
      <c r="BE554" s="3"/>
      <c r="BF554" s="3"/>
      <c r="BG554" s="3"/>
      <c r="BH554" s="3"/>
      <c r="BI554" s="3"/>
    </row>
    <row r="555" spans="1:61" ht="12.95" customHeight="1">
      <c r="B555" s="52" t="s">
        <v>113</v>
      </c>
      <c r="C555" s="1690" t="s">
        <v>2698</v>
      </c>
      <c r="D555" s="1690"/>
      <c r="E555" s="1690"/>
      <c r="F555" s="1690"/>
      <c r="G555" s="1690"/>
      <c r="H555" s="1690"/>
      <c r="I555" s="1690"/>
      <c r="J555" s="1690"/>
      <c r="K555" s="1690"/>
      <c r="L555" s="1690"/>
      <c r="M555" s="1691" t="s">
        <v>2121</v>
      </c>
      <c r="N555" s="1691"/>
      <c r="O555" s="1691"/>
      <c r="P555" s="1691"/>
      <c r="Q555" s="1449">
        <v>30</v>
      </c>
      <c r="R555" s="1450"/>
      <c r="S555" s="1451"/>
      <c r="T555" s="1449"/>
      <c r="U555" s="1450"/>
      <c r="V555" s="1451"/>
      <c r="W555" s="1452">
        <v>7.0000000000000007E-2</v>
      </c>
      <c r="X555" s="1453"/>
      <c r="Y555" s="1454"/>
      <c r="Z555" s="1707" t="s">
        <v>2697</v>
      </c>
      <c r="AA555" s="1707"/>
      <c r="AB555" s="1707"/>
      <c r="AC555" s="1707"/>
      <c r="AD555" s="1707"/>
      <c r="AE555" s="1680">
        <v>2</v>
      </c>
      <c r="AF555" s="1681"/>
      <c r="AG555" s="1681"/>
      <c r="AH555" s="1682"/>
      <c r="AI555" s="1692"/>
      <c r="AJ555" s="1693"/>
      <c r="AK555" s="1693"/>
      <c r="AL555" s="1694"/>
      <c r="AM555" s="1667">
        <f>'Sources and Uses Budget'!B105*0.08</f>
        <v>6895259.04</v>
      </c>
      <c r="AN555" s="1668"/>
      <c r="AO555" s="1668"/>
      <c r="AP555" s="1668"/>
      <c r="AQ555" s="1668"/>
      <c r="AR555" s="1668"/>
      <c r="AS555" s="1669"/>
      <c r="AT555" s="1150" t="str">
        <f>IF(AND(NOT(C554=""),C555="",NOT(C556="")),"!","")</f>
        <v/>
      </c>
      <c r="AU555" s="1149"/>
      <c r="BB555" s="3"/>
      <c r="BC555" s="3"/>
      <c r="BD555" s="3"/>
      <c r="BE555" s="3"/>
      <c r="BF555" s="3"/>
      <c r="BG555" s="3"/>
      <c r="BH555" s="3"/>
      <c r="BI555" s="3"/>
    </row>
    <row r="556" spans="1:61" ht="12.95" customHeight="1">
      <c r="B556" s="52" t="s">
        <v>119</v>
      </c>
      <c r="C556" s="1690" t="s">
        <v>2661</v>
      </c>
      <c r="D556" s="1690"/>
      <c r="E556" s="1690"/>
      <c r="F556" s="1690"/>
      <c r="G556" s="1690"/>
      <c r="H556" s="1690"/>
      <c r="I556" s="1690"/>
      <c r="J556" s="1690"/>
      <c r="K556" s="1690"/>
      <c r="L556" s="1690"/>
      <c r="M556" s="1691" t="s">
        <v>2123</v>
      </c>
      <c r="N556" s="1691"/>
      <c r="O556" s="1691"/>
      <c r="P556" s="1691"/>
      <c r="Q556" s="1449"/>
      <c r="R556" s="1450"/>
      <c r="S556" s="1451"/>
      <c r="T556" s="1449"/>
      <c r="U556" s="1450"/>
      <c r="V556" s="1451"/>
      <c r="W556" s="1452"/>
      <c r="X556" s="1453"/>
      <c r="Y556" s="1454"/>
      <c r="Z556" s="1707" t="s">
        <v>2697</v>
      </c>
      <c r="AA556" s="1707"/>
      <c r="AB556" s="1707"/>
      <c r="AC556" s="1707"/>
      <c r="AD556" s="1707"/>
      <c r="AE556" s="1680">
        <v>1</v>
      </c>
      <c r="AF556" s="1681"/>
      <c r="AG556" s="1681"/>
      <c r="AH556" s="1682"/>
      <c r="AI556" s="1692"/>
      <c r="AJ556" s="1693"/>
      <c r="AK556" s="1693"/>
      <c r="AL556" s="1694"/>
      <c r="AM556" s="1667">
        <v>20500000</v>
      </c>
      <c r="AN556" s="1668"/>
      <c r="AO556" s="1668"/>
      <c r="AP556" s="1668"/>
      <c r="AQ556" s="1668"/>
      <c r="AR556" s="1668"/>
      <c r="AS556" s="1669"/>
      <c r="AT556" s="1150" t="str">
        <f>IF(AND(NOT(C555=""),C556="",NOT(C557="")),"!","")</f>
        <v/>
      </c>
      <c r="AU556" s="1149"/>
      <c r="BB556" s="3"/>
      <c r="BC556" s="3"/>
      <c r="BD556" s="3"/>
      <c r="BE556" s="3"/>
      <c r="BF556" s="3"/>
      <c r="BG556" s="3"/>
      <c r="BH556" s="3"/>
      <c r="BI556" s="3"/>
    </row>
    <row r="557" spans="1:61" ht="12.95" customHeight="1">
      <c r="B557" s="52" t="s">
        <v>581</v>
      </c>
      <c r="C557" s="1690" t="s">
        <v>2699</v>
      </c>
      <c r="D557" s="1690"/>
      <c r="E557" s="1690"/>
      <c r="F557" s="1690"/>
      <c r="G557" s="1690"/>
      <c r="H557" s="1690"/>
      <c r="I557" s="1690"/>
      <c r="J557" s="1690"/>
      <c r="K557" s="1690"/>
      <c r="L557" s="1690"/>
      <c r="M557" s="1691" t="s">
        <v>2111</v>
      </c>
      <c r="N557" s="1691"/>
      <c r="O557" s="1691"/>
      <c r="P557" s="1691"/>
      <c r="Q557" s="1449"/>
      <c r="R557" s="1450"/>
      <c r="S557" s="1451"/>
      <c r="T557" s="1449"/>
      <c r="U557" s="1450"/>
      <c r="V557" s="1451"/>
      <c r="W557" s="1452"/>
      <c r="X557" s="1453"/>
      <c r="Y557" s="1454"/>
      <c r="Z557" s="1707" t="s">
        <v>1183</v>
      </c>
      <c r="AA557" s="1707"/>
      <c r="AB557" s="1707"/>
      <c r="AC557" s="1707"/>
      <c r="AD557" s="1707"/>
      <c r="AE557" s="1680"/>
      <c r="AF557" s="1681"/>
      <c r="AG557" s="1681"/>
      <c r="AH557" s="1682"/>
      <c r="AI557" s="1692"/>
      <c r="AJ557" s="1693"/>
      <c r="AK557" s="1693"/>
      <c r="AL557" s="1694"/>
      <c r="AM557" s="1667">
        <f>AO640*0.15</f>
        <v>5156429.25</v>
      </c>
      <c r="AN557" s="1668"/>
      <c r="AO557" s="1668"/>
      <c r="AP557" s="1668"/>
      <c r="AQ557" s="1668"/>
      <c r="AR557" s="1668"/>
      <c r="AS557" s="1669"/>
      <c r="AT557" s="1150" t="str">
        <f>IF(AND(NOT(C556=""),C557="",NOT(C558="")),"!","")</f>
        <v/>
      </c>
      <c r="AU557" s="1149"/>
      <c r="BB557" s="3"/>
      <c r="BC557" s="3"/>
      <c r="BD557" s="3"/>
      <c r="BE557" s="3"/>
      <c r="BF557" s="3"/>
      <c r="BG557" s="3"/>
      <c r="BH557" s="3"/>
      <c r="BI557" s="3"/>
    </row>
    <row r="558" spans="1:61" ht="12.95" customHeight="1">
      <c r="B558" s="52" t="s">
        <v>763</v>
      </c>
      <c r="C558" s="1690" t="s">
        <v>2700</v>
      </c>
      <c r="D558" s="1690"/>
      <c r="E558" s="1690"/>
      <c r="F558" s="1690"/>
      <c r="G558" s="1690"/>
      <c r="H558" s="1690"/>
      <c r="I558" s="1690"/>
      <c r="J558" s="1690"/>
      <c r="K558" s="1690"/>
      <c r="L558" s="1690"/>
      <c r="M558" s="1691" t="s">
        <v>2118</v>
      </c>
      <c r="N558" s="1691"/>
      <c r="O558" s="1691"/>
      <c r="P558" s="1691"/>
      <c r="Q558" s="1449">
        <f>55*12</f>
        <v>660</v>
      </c>
      <c r="R558" s="1450"/>
      <c r="S558" s="1451"/>
      <c r="T558" s="1449"/>
      <c r="U558" s="1450"/>
      <c r="V558" s="1451"/>
      <c r="W558" s="1452">
        <v>0.08</v>
      </c>
      <c r="X558" s="1453"/>
      <c r="Y558" s="1454"/>
      <c r="Z558" s="1707" t="s">
        <v>2703</v>
      </c>
      <c r="AA558" s="1707"/>
      <c r="AB558" s="1707"/>
      <c r="AC558" s="1707"/>
      <c r="AD558" s="1707"/>
      <c r="AE558" s="1680">
        <v>3</v>
      </c>
      <c r="AF558" s="1681"/>
      <c r="AG558" s="1681"/>
      <c r="AH558" s="1682"/>
      <c r="AI558" s="1692"/>
      <c r="AJ558" s="1693"/>
      <c r="AK558" s="1693"/>
      <c r="AL558" s="1694"/>
      <c r="AM558" s="1667">
        <v>2509235</v>
      </c>
      <c r="AN558" s="1668"/>
      <c r="AO558" s="1668"/>
      <c r="AP558" s="1668"/>
      <c r="AQ558" s="1668"/>
      <c r="AR558" s="1668"/>
      <c r="AS558" s="1669"/>
      <c r="AT558" s="1150" t="str">
        <f t="shared" ref="AT558:AT565" si="0">IF(AND(NOT(C557=""),C558="",NOT(C559="")),"!","")</f>
        <v/>
      </c>
      <c r="AU558" s="1149"/>
      <c r="BB558" s="3"/>
      <c r="BC558" s="3"/>
      <c r="BD558" s="3"/>
      <c r="BE558" s="3"/>
      <c r="BF558" s="3"/>
      <c r="BG558" s="3"/>
      <c r="BH558" s="3" t="s">
        <v>763</v>
      </c>
      <c r="BI558" s="3" t="str">
        <f>N665</f>
        <v>Yes</v>
      </c>
    </row>
    <row r="559" spans="1:61" ht="12.95" customHeight="1">
      <c r="B559" s="52" t="s">
        <v>584</v>
      </c>
      <c r="C559" s="1690" t="s">
        <v>2323</v>
      </c>
      <c r="D559" s="1690"/>
      <c r="E559" s="1690"/>
      <c r="F559" s="1690"/>
      <c r="G559" s="1690"/>
      <c r="H559" s="1690"/>
      <c r="I559" s="1690"/>
      <c r="J559" s="1690"/>
      <c r="K559" s="1690"/>
      <c r="L559" s="1690"/>
      <c r="M559" s="1691" t="s">
        <v>2107</v>
      </c>
      <c r="N559" s="1691"/>
      <c r="O559" s="1691"/>
      <c r="P559" s="1691"/>
      <c r="Q559" s="1449"/>
      <c r="R559" s="1450"/>
      <c r="S559" s="1451"/>
      <c r="T559" s="1449"/>
      <c r="U559" s="1450"/>
      <c r="V559" s="1451"/>
      <c r="W559" s="1452"/>
      <c r="X559" s="1453"/>
      <c r="Y559" s="1454"/>
      <c r="Z559" s="1707" t="s">
        <v>1183</v>
      </c>
      <c r="AA559" s="1707"/>
      <c r="AB559" s="1707"/>
      <c r="AC559" s="1707"/>
      <c r="AD559" s="1707"/>
      <c r="AE559" s="1680"/>
      <c r="AF559" s="1681"/>
      <c r="AG559" s="1681"/>
      <c r="AH559" s="1682"/>
      <c r="AI559" s="1692"/>
      <c r="AJ559" s="1693"/>
      <c r="AK559" s="1693"/>
      <c r="AL559" s="1694"/>
      <c r="AM559" s="1667">
        <v>5525152</v>
      </c>
      <c r="AN559" s="1668"/>
      <c r="AO559" s="1668"/>
      <c r="AP559" s="1668"/>
      <c r="AQ559" s="1668"/>
      <c r="AR559" s="1668"/>
      <c r="AS559" s="1669"/>
      <c r="AT559" s="1150" t="str">
        <f t="shared" si="0"/>
        <v/>
      </c>
      <c r="AU559" s="1149"/>
      <c r="BB559" s="3"/>
      <c r="BC559" s="3"/>
      <c r="BD559" s="3"/>
      <c r="BE559" s="3"/>
      <c r="BF559" s="3"/>
      <c r="BG559" s="3"/>
      <c r="BH559" s="3" t="s">
        <v>584</v>
      </c>
      <c r="BI559" s="3" t="str">
        <f>AG665</f>
        <v>No</v>
      </c>
    </row>
    <row r="560" spans="1:61" ht="12.95" customHeight="1">
      <c r="B560" s="52" t="s">
        <v>455</v>
      </c>
      <c r="C560" s="1690" t="s">
        <v>2701</v>
      </c>
      <c r="D560" s="1690"/>
      <c r="E560" s="1690"/>
      <c r="F560" s="1690"/>
      <c r="G560" s="1690"/>
      <c r="H560" s="1690"/>
      <c r="I560" s="1690"/>
      <c r="J560" s="1690"/>
      <c r="K560" s="1690"/>
      <c r="L560" s="1690"/>
      <c r="M560" s="1691" t="s">
        <v>2122</v>
      </c>
      <c r="N560" s="1691"/>
      <c r="O560" s="1691"/>
      <c r="P560" s="1691"/>
      <c r="Q560" s="1449"/>
      <c r="R560" s="1450"/>
      <c r="S560" s="1451"/>
      <c r="T560" s="1449"/>
      <c r="U560" s="1450"/>
      <c r="V560" s="1451"/>
      <c r="W560" s="1452"/>
      <c r="X560" s="1453"/>
      <c r="Y560" s="1454"/>
      <c r="Z560" s="1707" t="s">
        <v>1183</v>
      </c>
      <c r="AA560" s="1707"/>
      <c r="AB560" s="1707"/>
      <c r="AC560" s="1707"/>
      <c r="AD560" s="1707"/>
      <c r="AE560" s="1680"/>
      <c r="AF560" s="1681"/>
      <c r="AG560" s="1681"/>
      <c r="AH560" s="1682"/>
      <c r="AI560" s="1692"/>
      <c r="AJ560" s="1693"/>
      <c r="AK560" s="1693"/>
      <c r="AL560" s="1694"/>
      <c r="AM560" s="1667">
        <v>233986</v>
      </c>
      <c r="AN560" s="1668"/>
      <c r="AO560" s="1668"/>
      <c r="AP560" s="1668"/>
      <c r="AQ560" s="1668"/>
      <c r="AR560" s="1668"/>
      <c r="AS560" s="1669"/>
      <c r="AT560" s="1150" t="str">
        <f t="shared" si="0"/>
        <v/>
      </c>
      <c r="AU560" s="1149"/>
      <c r="BB560" s="3"/>
      <c r="BC560" s="3"/>
      <c r="BD560" s="3"/>
      <c r="BE560" s="3"/>
      <c r="BF560" s="3"/>
      <c r="BG560" s="3"/>
      <c r="BH560" s="3"/>
      <c r="BI560" s="3"/>
    </row>
    <row r="561" spans="1:61" ht="12.95" customHeight="1">
      <c r="B561" s="52" t="s">
        <v>456</v>
      </c>
      <c r="C561" s="1690" t="s">
        <v>2702</v>
      </c>
      <c r="D561" s="1690"/>
      <c r="E561" s="1690"/>
      <c r="F561" s="1690"/>
      <c r="G561" s="1690"/>
      <c r="H561" s="1690"/>
      <c r="I561" s="1690"/>
      <c r="J561" s="1690"/>
      <c r="K561" s="1690"/>
      <c r="L561" s="1690"/>
      <c r="M561" s="1691" t="s">
        <v>2106</v>
      </c>
      <c r="N561" s="1691"/>
      <c r="O561" s="1691"/>
      <c r="P561" s="1691"/>
      <c r="Q561" s="1449"/>
      <c r="R561" s="1450"/>
      <c r="S561" s="1451"/>
      <c r="T561" s="1449"/>
      <c r="U561" s="1450"/>
      <c r="V561" s="1451"/>
      <c r="W561" s="1452"/>
      <c r="X561" s="1453"/>
      <c r="Y561" s="1454"/>
      <c r="Z561" s="1707" t="s">
        <v>1183</v>
      </c>
      <c r="AA561" s="1707"/>
      <c r="AB561" s="1707"/>
      <c r="AC561" s="1707"/>
      <c r="AD561" s="1707"/>
      <c r="AE561" s="1680"/>
      <c r="AF561" s="1681"/>
      <c r="AG561" s="1681"/>
      <c r="AH561" s="1682"/>
      <c r="AI561" s="1692"/>
      <c r="AJ561" s="1693"/>
      <c r="AK561" s="1693"/>
      <c r="AL561" s="1694"/>
      <c r="AM561" s="1667">
        <v>3370677</v>
      </c>
      <c r="AN561" s="1668"/>
      <c r="AO561" s="1668"/>
      <c r="AP561" s="1668"/>
      <c r="AQ561" s="1668"/>
      <c r="AR561" s="1668"/>
      <c r="AS561" s="1669"/>
      <c r="AT561" s="1150" t="str">
        <f t="shared" si="0"/>
        <v/>
      </c>
      <c r="AU561" s="1149"/>
      <c r="BB561" s="3"/>
      <c r="BC561" s="3"/>
      <c r="BD561" s="3"/>
      <c r="BE561" s="3"/>
      <c r="BF561" s="3"/>
      <c r="BG561" s="3"/>
      <c r="BH561" s="3"/>
      <c r="BI561" s="3"/>
    </row>
    <row r="562" spans="1:61" ht="12.95" customHeight="1">
      <c r="B562" s="52" t="s">
        <v>461</v>
      </c>
      <c r="C562" s="1690"/>
      <c r="D562" s="1690"/>
      <c r="E562" s="1690"/>
      <c r="F562" s="1690"/>
      <c r="G562" s="1690"/>
      <c r="H562" s="1690"/>
      <c r="I562" s="1690"/>
      <c r="J562" s="1690"/>
      <c r="K562" s="1690"/>
      <c r="L562" s="1690"/>
      <c r="M562" s="1691" t="s">
        <v>1183</v>
      </c>
      <c r="N562" s="1691"/>
      <c r="O562" s="1691"/>
      <c r="P562" s="1691"/>
      <c r="Q562" s="1449"/>
      <c r="R562" s="1450"/>
      <c r="S562" s="1451"/>
      <c r="T562" s="1449"/>
      <c r="U562" s="1450"/>
      <c r="V562" s="1451"/>
      <c r="W562" s="1452"/>
      <c r="X562" s="1453"/>
      <c r="Y562" s="1454"/>
      <c r="Z562" s="1707" t="s">
        <v>1183</v>
      </c>
      <c r="AA562" s="1707"/>
      <c r="AB562" s="1707"/>
      <c r="AC562" s="1707"/>
      <c r="AD562" s="1707"/>
      <c r="AE562" s="1680"/>
      <c r="AF562" s="1681"/>
      <c r="AG562" s="1681"/>
      <c r="AH562" s="1682"/>
      <c r="AI562" s="1692"/>
      <c r="AJ562" s="1693"/>
      <c r="AK562" s="1693"/>
      <c r="AL562" s="1694"/>
      <c r="AM562" s="1667"/>
      <c r="AN562" s="1668"/>
      <c r="AO562" s="1668"/>
      <c r="AP562" s="1668"/>
      <c r="AQ562" s="1668"/>
      <c r="AR562" s="1668"/>
      <c r="AS562" s="1669"/>
      <c r="AT562" s="1150" t="str">
        <f t="shared" si="0"/>
        <v/>
      </c>
      <c r="AU562" s="1149"/>
      <c r="BB562" s="3"/>
      <c r="BC562" s="3"/>
      <c r="BD562" s="3"/>
      <c r="BE562" s="3"/>
      <c r="BF562" s="3"/>
      <c r="BG562" s="3"/>
      <c r="BH562" s="3"/>
      <c r="BI562" s="3"/>
    </row>
    <row r="563" spans="1:61" ht="12.95" customHeight="1">
      <c r="B563" s="52" t="s">
        <v>646</v>
      </c>
      <c r="C563" s="1690"/>
      <c r="D563" s="1690"/>
      <c r="E563" s="1690"/>
      <c r="F563" s="1690"/>
      <c r="G563" s="1690"/>
      <c r="H563" s="1690"/>
      <c r="I563" s="1690"/>
      <c r="J563" s="1690"/>
      <c r="K563" s="1690"/>
      <c r="L563" s="1690"/>
      <c r="M563" s="1691" t="s">
        <v>1183</v>
      </c>
      <c r="N563" s="1691"/>
      <c r="O563" s="1691"/>
      <c r="P563" s="1691"/>
      <c r="Q563" s="1449"/>
      <c r="R563" s="1450"/>
      <c r="S563" s="1451"/>
      <c r="T563" s="1449"/>
      <c r="U563" s="1450"/>
      <c r="V563" s="1451"/>
      <c r="W563" s="1452"/>
      <c r="X563" s="1453"/>
      <c r="Y563" s="1454"/>
      <c r="Z563" s="1707" t="s">
        <v>1183</v>
      </c>
      <c r="AA563" s="1707"/>
      <c r="AB563" s="1707"/>
      <c r="AC563" s="1707"/>
      <c r="AD563" s="1707"/>
      <c r="AE563" s="1680"/>
      <c r="AF563" s="1681"/>
      <c r="AG563" s="1681"/>
      <c r="AH563" s="1682"/>
      <c r="AI563" s="1692"/>
      <c r="AJ563" s="1693"/>
      <c r="AK563" s="1693"/>
      <c r="AL563" s="1694"/>
      <c r="AM563" s="1667"/>
      <c r="AN563" s="1668"/>
      <c r="AO563" s="1668"/>
      <c r="AP563" s="1668"/>
      <c r="AQ563" s="1668"/>
      <c r="AR563" s="1668"/>
      <c r="AS563" s="1669"/>
      <c r="AT563" s="1150" t="str">
        <f t="shared" si="0"/>
        <v/>
      </c>
      <c r="BB563" s="3"/>
      <c r="BC563" s="3"/>
      <c r="BD563" s="3"/>
      <c r="BE563" s="3"/>
      <c r="BF563" s="3"/>
      <c r="BG563" s="3"/>
      <c r="BH563" s="3"/>
      <c r="BI563" s="3"/>
    </row>
    <row r="564" spans="1:61" ht="12.95" customHeight="1">
      <c r="B564" s="52" t="s">
        <v>361</v>
      </c>
      <c r="C564" s="1690"/>
      <c r="D564" s="1690"/>
      <c r="E564" s="1690"/>
      <c r="F564" s="1690"/>
      <c r="G564" s="1690"/>
      <c r="H564" s="1690"/>
      <c r="I564" s="1690"/>
      <c r="J564" s="1690"/>
      <c r="K564" s="1690"/>
      <c r="L564" s="1690"/>
      <c r="M564" s="1691" t="s">
        <v>1183</v>
      </c>
      <c r="N564" s="1691"/>
      <c r="O564" s="1691"/>
      <c r="P564" s="1691"/>
      <c r="Q564" s="1449"/>
      <c r="R564" s="1450"/>
      <c r="S564" s="1451"/>
      <c r="T564" s="1449"/>
      <c r="U564" s="1450"/>
      <c r="V564" s="1451"/>
      <c r="W564" s="1452"/>
      <c r="X564" s="1453"/>
      <c r="Y564" s="1454"/>
      <c r="Z564" s="1707" t="s">
        <v>1183</v>
      </c>
      <c r="AA564" s="1707"/>
      <c r="AB564" s="1707"/>
      <c r="AC564" s="1707"/>
      <c r="AD564" s="1707"/>
      <c r="AE564" s="1680"/>
      <c r="AF564" s="1681"/>
      <c r="AG564" s="1681"/>
      <c r="AH564" s="1682"/>
      <c r="AI564" s="1692"/>
      <c r="AJ564" s="1693"/>
      <c r="AK564" s="1693"/>
      <c r="AL564" s="1694"/>
      <c r="AM564" s="1667"/>
      <c r="AN564" s="1668"/>
      <c r="AO564" s="1668"/>
      <c r="AP564" s="1668"/>
      <c r="AQ564" s="1668"/>
      <c r="AR564" s="1668"/>
      <c r="AS564" s="1669"/>
      <c r="AT564" s="1150" t="str">
        <f t="shared" si="0"/>
        <v/>
      </c>
      <c r="BB564" s="3"/>
      <c r="BC564" s="3"/>
      <c r="BD564" s="3"/>
      <c r="BE564" s="3"/>
      <c r="BF564" s="3"/>
      <c r="BG564" s="3"/>
      <c r="BH564" s="3"/>
      <c r="BI564" s="3"/>
    </row>
    <row r="565" spans="1:61" ht="12.95" customHeight="1">
      <c r="B565" s="52" t="s">
        <v>362</v>
      </c>
      <c r="C565" s="1690"/>
      <c r="D565" s="1690"/>
      <c r="E565" s="1690"/>
      <c r="F565" s="1690"/>
      <c r="G565" s="1690"/>
      <c r="H565" s="1690"/>
      <c r="I565" s="1690"/>
      <c r="J565" s="1690"/>
      <c r="K565" s="1690"/>
      <c r="L565" s="1690"/>
      <c r="M565" s="1691" t="s">
        <v>1183</v>
      </c>
      <c r="N565" s="1691"/>
      <c r="O565" s="1691"/>
      <c r="P565" s="1691"/>
      <c r="Q565" s="1449"/>
      <c r="R565" s="1450"/>
      <c r="S565" s="1451"/>
      <c r="T565" s="1449"/>
      <c r="U565" s="1450"/>
      <c r="V565" s="1451"/>
      <c r="W565" s="1452"/>
      <c r="X565" s="1453"/>
      <c r="Y565" s="1454"/>
      <c r="Z565" s="1707" t="s">
        <v>1183</v>
      </c>
      <c r="AA565" s="1707"/>
      <c r="AB565" s="1707"/>
      <c r="AC565" s="1707"/>
      <c r="AD565" s="1707"/>
      <c r="AE565" s="1680"/>
      <c r="AF565" s="1681"/>
      <c r="AG565" s="1681"/>
      <c r="AH565" s="1682"/>
      <c r="AI565" s="1692"/>
      <c r="AJ565" s="1693"/>
      <c r="AK565" s="1693"/>
      <c r="AL565" s="1694"/>
      <c r="AM565" s="1667"/>
      <c r="AN565" s="1668"/>
      <c r="AO565" s="1668"/>
      <c r="AP565" s="1668"/>
      <c r="AQ565" s="1668"/>
      <c r="AR565" s="1668"/>
      <c r="AS565" s="1669"/>
      <c r="AT565" s="1150" t="str">
        <f t="shared" si="0"/>
        <v/>
      </c>
      <c r="BB565" s="3"/>
      <c r="BC565" s="3"/>
      <c r="BD565" s="3"/>
      <c r="BE565" s="3"/>
      <c r="BF565" s="3"/>
      <c r="BG565" s="3"/>
      <c r="BH565" s="3"/>
      <c r="BI565" s="3"/>
    </row>
    <row r="566" spans="1:61" ht="12.95" customHeight="1">
      <c r="B566" s="1467" t="s">
        <v>127</v>
      </c>
      <c r="C566" s="1468"/>
      <c r="D566" s="1468"/>
      <c r="E566" s="1468"/>
      <c r="F566" s="1468"/>
      <c r="G566" s="1468"/>
      <c r="H566" s="1468"/>
      <c r="I566" s="1468"/>
      <c r="J566" s="1468"/>
      <c r="K566" s="1468"/>
      <c r="L566" s="1468"/>
      <c r="M566" s="1468"/>
      <c r="N566" s="1468"/>
      <c r="O566" s="1468"/>
      <c r="P566" s="1468"/>
      <c r="Q566" s="1468"/>
      <c r="R566" s="1468"/>
      <c r="S566" s="1468"/>
      <c r="T566" s="1468"/>
      <c r="U566" s="1605"/>
      <c r="V566" s="1468"/>
      <c r="W566" s="1468"/>
      <c r="X566" s="1468"/>
      <c r="Y566" s="1468"/>
      <c r="Z566" s="1468"/>
      <c r="AA566" s="1468"/>
      <c r="AB566" s="1468"/>
      <c r="AC566" s="1468"/>
      <c r="AD566" s="1468"/>
      <c r="AE566" s="1468"/>
      <c r="AF566" s="1468"/>
      <c r="AG566" s="1468"/>
      <c r="AH566" s="1468"/>
      <c r="AI566" s="1468"/>
      <c r="AJ566" s="1468"/>
      <c r="AK566" s="1468"/>
      <c r="AL566" s="1469"/>
      <c r="AM566" s="1629">
        <f>SUM(AM554:AS565)</f>
        <v>86190738.289999992</v>
      </c>
      <c r="AN566" s="1630"/>
      <c r="AO566" s="1630"/>
      <c r="AP566" s="1630"/>
      <c r="AQ566" s="1630"/>
      <c r="AR566" s="1630"/>
      <c r="AS566" s="1631"/>
      <c r="BB566" s="3"/>
      <c r="BC566" s="3"/>
      <c r="BD566" s="3"/>
      <c r="BE566" s="3"/>
      <c r="BF566" s="3"/>
      <c r="BG566" s="3"/>
      <c r="BH566" s="3" t="s">
        <v>455</v>
      </c>
      <c r="BI566" s="3" t="str">
        <f>N673</f>
        <v>No</v>
      </c>
    </row>
    <row r="567" spans="1:61" ht="12.95"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456</v>
      </c>
      <c r="BI567" s="3" t="str">
        <f>AG673</f>
        <v>No</v>
      </c>
    </row>
    <row r="568" spans="1:61" ht="12.95" customHeight="1">
      <c r="A568" s="55" t="s">
        <v>112</v>
      </c>
      <c r="B568" t="s">
        <v>463</v>
      </c>
      <c r="G568" s="1380" t="str">
        <f>C554</f>
        <v>Citibank-Conduit (Tax-Exempt New)</v>
      </c>
      <c r="H568" s="1380"/>
      <c r="I568" s="1380"/>
      <c r="J568" s="1380"/>
      <c r="K568" s="1380"/>
      <c r="L568" s="1380"/>
      <c r="M568" s="1380"/>
      <c r="N568" s="1380"/>
      <c r="O568" s="1380"/>
      <c r="P568" s="1380"/>
      <c r="Q568" s="1380"/>
      <c r="R568" s="1380"/>
      <c r="S568" s="8"/>
      <c r="T568" s="55" t="s">
        <v>113</v>
      </c>
      <c r="U568" t="s">
        <v>463</v>
      </c>
      <c r="Z568" s="1380" t="str">
        <f>C555</f>
        <v>Citibank-Conduit (TE Recycled)</v>
      </c>
      <c r="AA568" s="1380"/>
      <c r="AB568" s="1380"/>
      <c r="AC568" s="1380"/>
      <c r="AD568" s="1380"/>
      <c r="AE568" s="1380"/>
      <c r="AF568" s="1380"/>
      <c r="AG568" s="1380"/>
      <c r="AH568" s="1380"/>
      <c r="AI568" s="1380"/>
      <c r="AJ568" s="1380"/>
      <c r="AK568" s="1380"/>
      <c r="BB568" s="3"/>
      <c r="BC568" s="3"/>
      <c r="BD568" s="3"/>
      <c r="BE568" s="3"/>
      <c r="BF568" s="3"/>
      <c r="BG568" s="3"/>
      <c r="BH568" s="3"/>
      <c r="BI568" s="3"/>
    </row>
    <row r="569" spans="1:61" ht="12.95" customHeight="1">
      <c r="A569" s="22"/>
      <c r="B569" t="s">
        <v>85</v>
      </c>
      <c r="G569" s="1425" t="s">
        <v>2704</v>
      </c>
      <c r="H569" s="1425"/>
      <c r="I569" s="1425"/>
      <c r="J569" s="1425"/>
      <c r="K569" s="1425"/>
      <c r="L569" s="1425"/>
      <c r="M569" s="1425"/>
      <c r="N569" s="1425"/>
      <c r="O569" s="1425"/>
      <c r="P569" s="1425"/>
      <c r="Q569" s="1425"/>
      <c r="R569" s="1425"/>
      <c r="S569" s="8"/>
      <c r="T569" s="22"/>
      <c r="U569" t="s">
        <v>85</v>
      </c>
      <c r="Z569" s="1425" t="s">
        <v>2704</v>
      </c>
      <c r="AA569" s="1425"/>
      <c r="AB569" s="1425"/>
      <c r="AC569" s="1425"/>
      <c r="AD569" s="1425"/>
      <c r="AE569" s="1425"/>
      <c r="AF569" s="1425"/>
      <c r="AG569" s="1425"/>
      <c r="AH569" s="1425"/>
      <c r="AI569" s="1425"/>
      <c r="AJ569" s="1425"/>
      <c r="AK569" s="1425"/>
      <c r="BB569" s="3"/>
      <c r="BC569" s="3"/>
      <c r="BD569" s="3"/>
      <c r="BE569" s="3"/>
      <c r="BF569" s="3"/>
      <c r="BG569" s="3"/>
      <c r="BH569" s="3"/>
      <c r="BI569" s="3"/>
    </row>
    <row r="570" spans="1:61" ht="12.95" customHeight="1">
      <c r="A570" s="22"/>
      <c r="B570" t="s">
        <v>580</v>
      </c>
      <c r="G570" s="1425" t="s">
        <v>2705</v>
      </c>
      <c r="H570" s="1425"/>
      <c r="I570" s="1425"/>
      <c r="J570" s="1425"/>
      <c r="K570" s="1425"/>
      <c r="L570" s="1425"/>
      <c r="M570" s="1425"/>
      <c r="N570" s="1425"/>
      <c r="O570" s="1425"/>
      <c r="P570" s="1425"/>
      <c r="Q570" s="1425"/>
      <c r="R570" s="1425"/>
      <c r="T570" s="22"/>
      <c r="U570" t="s">
        <v>580</v>
      </c>
      <c r="Z570" s="1458" t="s">
        <v>2705</v>
      </c>
      <c r="AA570" s="1458"/>
      <c r="AB570" s="1458"/>
      <c r="AC570" s="1458"/>
      <c r="AD570" s="1458"/>
      <c r="AE570" s="1458"/>
      <c r="AF570" s="1458"/>
      <c r="AG570" s="1458"/>
      <c r="AH570" s="1458"/>
      <c r="AI570" s="1458"/>
      <c r="AJ570" s="1458"/>
      <c r="AK570" s="1458"/>
      <c r="BB570" s="3"/>
      <c r="BC570" s="3"/>
      <c r="BD570" s="3"/>
      <c r="BE570" s="3"/>
      <c r="BF570" s="3"/>
      <c r="BG570" s="3"/>
      <c r="BH570" s="3"/>
      <c r="BI570" s="3"/>
    </row>
    <row r="571" spans="1:61" ht="12.95" customHeight="1">
      <c r="A571" s="22"/>
      <c r="B571" t="s">
        <v>17</v>
      </c>
      <c r="G571" s="1425" t="s">
        <v>2706</v>
      </c>
      <c r="H571" s="1425"/>
      <c r="I571" s="1425"/>
      <c r="J571" s="1425"/>
      <c r="K571" s="1425"/>
      <c r="L571" s="1425"/>
      <c r="M571" s="1425"/>
      <c r="N571" s="1425"/>
      <c r="O571" s="1425"/>
      <c r="P571" s="1425"/>
      <c r="Q571" s="1425"/>
      <c r="R571" s="1425"/>
      <c r="S571" s="8"/>
      <c r="T571" s="22"/>
      <c r="U571" t="s">
        <v>17</v>
      </c>
      <c r="Z571" s="1458" t="s">
        <v>2706</v>
      </c>
      <c r="AA571" s="1458"/>
      <c r="AB571" s="1458"/>
      <c r="AC571" s="1458"/>
      <c r="AD571" s="1458"/>
      <c r="AE571" s="1458"/>
      <c r="AF571" s="1458"/>
      <c r="AG571" s="1458"/>
      <c r="AH571" s="1458"/>
      <c r="AI571" s="1458"/>
      <c r="AJ571" s="1458"/>
      <c r="AK571" s="1458"/>
      <c r="BB571" s="3"/>
      <c r="BC571" s="3"/>
      <c r="BD571" s="3"/>
      <c r="BE571" s="3"/>
      <c r="BF571" s="3"/>
      <c r="BG571" s="3"/>
      <c r="BH571" s="3"/>
      <c r="BI571" s="3"/>
    </row>
    <row r="572" spans="1:61" ht="12.95" customHeight="1">
      <c r="A572" s="22"/>
      <c r="B572" t="s">
        <v>315</v>
      </c>
      <c r="G572" s="1459" t="s">
        <v>2707</v>
      </c>
      <c r="H572" s="1459"/>
      <c r="I572" s="1459"/>
      <c r="J572" s="1459"/>
      <c r="K572" s="1459"/>
      <c r="L572" s="1459"/>
      <c r="O572" s="33" t="s">
        <v>205</v>
      </c>
      <c r="P572" s="1439"/>
      <c r="Q572" s="1439"/>
      <c r="R572" s="1439"/>
      <c r="S572" s="10"/>
      <c r="T572" s="22"/>
      <c r="U572" t="s">
        <v>315</v>
      </c>
      <c r="Z572" s="1459" t="s">
        <v>2707</v>
      </c>
      <c r="AA572" s="1459"/>
      <c r="AB572" s="1459"/>
      <c r="AC572" s="1459"/>
      <c r="AD572" s="1459"/>
      <c r="AE572" s="1459"/>
      <c r="AH572" s="33" t="s">
        <v>205</v>
      </c>
      <c r="AI572" s="1439"/>
      <c r="AJ572" s="1439"/>
      <c r="AK572" s="1439"/>
      <c r="BB572" s="3"/>
      <c r="BC572" s="3"/>
      <c r="BD572" s="3"/>
      <c r="BE572" s="3"/>
      <c r="BF572" s="3"/>
      <c r="BG572" s="3"/>
      <c r="BH572" s="3"/>
      <c r="BI572" s="3"/>
    </row>
    <row r="573" spans="1:61" ht="12.95" customHeight="1">
      <c r="A573" s="22"/>
      <c r="B573" t="s">
        <v>18</v>
      </c>
      <c r="H573" s="1425" t="s">
        <v>2708</v>
      </c>
      <c r="I573" s="1425"/>
      <c r="J573" s="1425"/>
      <c r="K573" s="1425"/>
      <c r="L573" s="1425"/>
      <c r="M573" s="1425"/>
      <c r="N573" s="1425"/>
      <c r="O573" s="1425"/>
      <c r="P573" s="1425"/>
      <c r="Q573" s="1425"/>
      <c r="R573" s="1425"/>
      <c r="S573" s="8"/>
      <c r="T573" s="22"/>
      <c r="U573" t="s">
        <v>18</v>
      </c>
      <c r="AA573" s="1425" t="s">
        <v>2710</v>
      </c>
      <c r="AB573" s="1425"/>
      <c r="AC573" s="1425"/>
      <c r="AD573" s="1425"/>
      <c r="AE573" s="1425"/>
      <c r="AF573" s="1425"/>
      <c r="AG573" s="1425"/>
      <c r="AH573" s="1425"/>
      <c r="AI573" s="1425"/>
      <c r="AJ573" s="1425"/>
      <c r="AK573" s="1425"/>
      <c r="BB573" s="3"/>
      <c r="BC573" s="3"/>
      <c r="BD573" s="3"/>
      <c r="BE573" s="3"/>
      <c r="BF573" s="3"/>
      <c r="BG573" s="3"/>
      <c r="BH573" s="3"/>
      <c r="BI573" s="3"/>
    </row>
    <row r="574" spans="1:61" ht="12.95" customHeight="1">
      <c r="A574" s="22"/>
      <c r="B574" s="321" t="s">
        <v>1184</v>
      </c>
      <c r="H574" s="8"/>
      <c r="I574" s="8"/>
      <c r="J574" s="8"/>
      <c r="K574" s="8"/>
      <c r="L574" s="8"/>
      <c r="M574" s="1719" t="s">
        <v>2709</v>
      </c>
      <c r="N574" s="1719"/>
      <c r="O574" s="1719"/>
      <c r="P574" s="1719"/>
      <c r="Q574" s="1719"/>
      <c r="R574" s="1719"/>
      <c r="S574" s="8"/>
      <c r="T574" s="22"/>
      <c r="U574" s="321" t="s">
        <v>1184</v>
      </c>
      <c r="AA574" s="8"/>
      <c r="AB574" s="8"/>
      <c r="AC574" s="8"/>
      <c r="AD574" s="8"/>
      <c r="AE574" s="8"/>
      <c r="AF574" s="1719" t="s">
        <v>2709</v>
      </c>
      <c r="AG574" s="1719"/>
      <c r="AH574" s="1719"/>
      <c r="AI574" s="1719"/>
      <c r="AJ574" s="1719"/>
      <c r="AK574" s="1719"/>
      <c r="BB574" s="3"/>
      <c r="BC574" s="3"/>
      <c r="BD574" s="3"/>
      <c r="BE574" s="3"/>
      <c r="BF574" s="3"/>
      <c r="BG574" s="3"/>
      <c r="BH574" s="3"/>
      <c r="BI574" s="3"/>
    </row>
    <row r="575" spans="1:61" ht="12.95" customHeight="1">
      <c r="A575" s="22"/>
      <c r="B575" t="s">
        <v>20</v>
      </c>
      <c r="N575" s="1330" t="s">
        <v>545</v>
      </c>
      <c r="O575" s="1330"/>
      <c r="T575" s="22"/>
      <c r="U575" t="s">
        <v>20</v>
      </c>
      <c r="AG575" s="1330" t="s">
        <v>545</v>
      </c>
      <c r="AH575" s="1330"/>
      <c r="BB575" s="3"/>
      <c r="BC575" s="3"/>
      <c r="BD575" s="3"/>
      <c r="BE575" s="3"/>
      <c r="BF575" s="3"/>
      <c r="BG575" s="3"/>
      <c r="BH575" s="3"/>
      <c r="BI575" s="3"/>
    </row>
    <row r="576" spans="1:61" ht="12.95" customHeight="1">
      <c r="A576" s="22"/>
      <c r="T576" s="22"/>
      <c r="BB576" s="3"/>
      <c r="BC576" s="3"/>
      <c r="BD576" s="3"/>
      <c r="BE576" s="3"/>
      <c r="BF576" s="3"/>
      <c r="BG576" s="3"/>
      <c r="BH576" s="3"/>
      <c r="BI576" s="3"/>
    </row>
    <row r="577" spans="1:55" ht="12.95" customHeight="1">
      <c r="A577" s="55" t="s">
        <v>119</v>
      </c>
      <c r="B577" t="s">
        <v>463</v>
      </c>
      <c r="G577" s="1380" t="str">
        <f>C556</f>
        <v>Safehold, Inc.</v>
      </c>
      <c r="H577" s="1380"/>
      <c r="I577" s="1380"/>
      <c r="J577" s="1380"/>
      <c r="K577" s="1380"/>
      <c r="L577" s="1380"/>
      <c r="M577" s="1380"/>
      <c r="N577" s="1380"/>
      <c r="O577" s="1380"/>
      <c r="P577" s="1380"/>
      <c r="Q577" s="1380"/>
      <c r="R577" s="1380"/>
      <c r="T577" s="55" t="s">
        <v>581</v>
      </c>
      <c r="U577" t="s">
        <v>463</v>
      </c>
      <c r="Z577" s="1380" t="str">
        <f>C557</f>
        <v>R4 Capital - Tax Credit Equity</v>
      </c>
      <c r="AA577" s="1380"/>
      <c r="AB577" s="1380"/>
      <c r="AC577" s="1380"/>
      <c r="AD577" s="1380"/>
      <c r="AE577" s="1380"/>
      <c r="AF577" s="1380"/>
      <c r="AG577" s="1380"/>
      <c r="AH577" s="1380"/>
      <c r="AI577" s="1380"/>
      <c r="AJ577" s="1380"/>
      <c r="AK577" s="1380"/>
      <c r="BB577" s="3"/>
      <c r="BC577" s="3"/>
    </row>
    <row r="578" spans="1:55" ht="12.95" customHeight="1">
      <c r="A578" s="22"/>
      <c r="B578" t="s">
        <v>85</v>
      </c>
      <c r="G578" s="1425" t="s">
        <v>2738</v>
      </c>
      <c r="H578" s="1425"/>
      <c r="I578" s="1425"/>
      <c r="J578" s="1425"/>
      <c r="K578" s="1425"/>
      <c r="L578" s="1425"/>
      <c r="M578" s="1425"/>
      <c r="N578" s="1425"/>
      <c r="O578" s="1425"/>
      <c r="P578" s="1425"/>
      <c r="Q578" s="1425"/>
      <c r="R578" s="1425"/>
      <c r="T578" s="22"/>
      <c r="U578" t="s">
        <v>85</v>
      </c>
      <c r="Z578" s="1425" t="s">
        <v>2711</v>
      </c>
      <c r="AA578" s="1425"/>
      <c r="AB578" s="1425"/>
      <c r="AC578" s="1425"/>
      <c r="AD578" s="1425"/>
      <c r="AE578" s="1425"/>
      <c r="AF578" s="1425"/>
      <c r="AG578" s="1425"/>
      <c r="AH578" s="1425"/>
      <c r="AI578" s="1425"/>
      <c r="AJ578" s="1425"/>
      <c r="AK578" s="1425"/>
      <c r="BB578" s="3"/>
      <c r="BC578" s="3"/>
    </row>
    <row r="579" spans="1:55" ht="12.95" customHeight="1">
      <c r="A579" s="22"/>
      <c r="B579" t="s">
        <v>580</v>
      </c>
      <c r="G579" s="1458" t="s">
        <v>2739</v>
      </c>
      <c r="H579" s="1458"/>
      <c r="I579" s="1458"/>
      <c r="J579" s="1458"/>
      <c r="K579" s="1458"/>
      <c r="L579" s="1458"/>
      <c r="M579" s="1458"/>
      <c r="N579" s="1458"/>
      <c r="O579" s="1458"/>
      <c r="P579" s="1458"/>
      <c r="Q579" s="1458"/>
      <c r="R579" s="1458"/>
      <c r="T579" s="22"/>
      <c r="U579" t="s">
        <v>580</v>
      </c>
      <c r="Z579" s="1458" t="s">
        <v>2712</v>
      </c>
      <c r="AA579" s="1458"/>
      <c r="AB579" s="1458"/>
      <c r="AC579" s="1458"/>
      <c r="AD579" s="1458"/>
      <c r="AE579" s="1458"/>
      <c r="AF579" s="1458"/>
      <c r="AG579" s="1458"/>
      <c r="AH579" s="1458"/>
      <c r="AI579" s="1458"/>
      <c r="AJ579" s="1458"/>
      <c r="AK579" s="1458"/>
      <c r="BB579" s="3"/>
      <c r="BC579" s="3"/>
    </row>
    <row r="580" spans="1:55" ht="12.95" customHeight="1">
      <c r="A580" s="22"/>
      <c r="B580" t="s">
        <v>17</v>
      </c>
      <c r="G580" s="1458" t="s">
        <v>2740</v>
      </c>
      <c r="H580" s="1458"/>
      <c r="I580" s="1458"/>
      <c r="J580" s="1458"/>
      <c r="K580" s="1458"/>
      <c r="L580" s="1458"/>
      <c r="M580" s="1458"/>
      <c r="N580" s="1458"/>
      <c r="O580" s="1458"/>
      <c r="P580" s="1458"/>
      <c r="Q580" s="1458"/>
      <c r="R580" s="1458"/>
      <c r="T580" s="22"/>
      <c r="U580" t="s">
        <v>17</v>
      </c>
      <c r="Z580" s="1458" t="s">
        <v>2713</v>
      </c>
      <c r="AA580" s="1458"/>
      <c r="AB580" s="1458"/>
      <c r="AC580" s="1458"/>
      <c r="AD580" s="1458"/>
      <c r="AE580" s="1458"/>
      <c r="AF580" s="1458"/>
      <c r="AG580" s="1458"/>
      <c r="AH580" s="1458"/>
      <c r="AI580" s="1458"/>
      <c r="AJ580" s="1458"/>
      <c r="AK580" s="1458"/>
      <c r="BB580" s="3"/>
      <c r="BC580" s="3"/>
    </row>
    <row r="581" spans="1:55" ht="12.95" customHeight="1">
      <c r="A581" s="22"/>
      <c r="B581" t="s">
        <v>315</v>
      </c>
      <c r="G581" s="1459">
        <v>3103155580</v>
      </c>
      <c r="H581" s="1459"/>
      <c r="I581" s="1459"/>
      <c r="J581" s="1459"/>
      <c r="K581" s="1459"/>
      <c r="L581" s="1459"/>
      <c r="O581" s="33" t="s">
        <v>205</v>
      </c>
      <c r="P581" s="1439"/>
      <c r="Q581" s="1439"/>
      <c r="R581" s="1439"/>
      <c r="T581" s="22"/>
      <c r="U581" t="s">
        <v>315</v>
      </c>
      <c r="Z581" s="1459" t="s">
        <v>2714</v>
      </c>
      <c r="AA581" s="1459"/>
      <c r="AB581" s="1459"/>
      <c r="AC581" s="1459"/>
      <c r="AD581" s="1459"/>
      <c r="AE581" s="1459"/>
      <c r="AH581" s="33" t="s">
        <v>205</v>
      </c>
      <c r="AI581" s="1439"/>
      <c r="AJ581" s="1439"/>
      <c r="AK581" s="1439"/>
      <c r="BB581" s="3"/>
      <c r="BC581" s="3"/>
    </row>
    <row r="582" spans="1:55" ht="12.95" customHeight="1">
      <c r="A582" s="22"/>
      <c r="B582" t="s">
        <v>18</v>
      </c>
      <c r="H582" s="1425" t="s">
        <v>2741</v>
      </c>
      <c r="I582" s="1425"/>
      <c r="J582" s="1425"/>
      <c r="K582" s="1425"/>
      <c r="L582" s="1425"/>
      <c r="M582" s="1425"/>
      <c r="N582" s="1425"/>
      <c r="O582" s="1425"/>
      <c r="P582" s="1425"/>
      <c r="Q582" s="1425"/>
      <c r="R582" s="1425"/>
      <c r="T582" s="22"/>
      <c r="U582" t="s">
        <v>18</v>
      </c>
      <c r="AA582" s="1425" t="s">
        <v>2715</v>
      </c>
      <c r="AB582" s="1425"/>
      <c r="AC582" s="1425"/>
      <c r="AD582" s="1425"/>
      <c r="AE582" s="1425"/>
      <c r="AF582" s="1425"/>
      <c r="AG582" s="1425"/>
      <c r="AH582" s="1425"/>
      <c r="AI582" s="1425"/>
      <c r="AJ582" s="1425"/>
      <c r="AK582" s="1425"/>
      <c r="BB582" s="3"/>
      <c r="BC582" s="3"/>
    </row>
    <row r="583" spans="1:55" ht="12.95" customHeight="1">
      <c r="A583" s="22"/>
      <c r="B583" t="s">
        <v>20</v>
      </c>
      <c r="N583" s="1330" t="s">
        <v>545</v>
      </c>
      <c r="O583" s="1330"/>
      <c r="T583" s="22"/>
      <c r="U583" t="s">
        <v>20</v>
      </c>
      <c r="AG583" s="1330" t="s">
        <v>545</v>
      </c>
      <c r="AH583" s="1330"/>
      <c r="BB583" s="3"/>
      <c r="BC583" s="3"/>
    </row>
    <row r="584" spans="1:55" ht="12.95" customHeight="1">
      <c r="A584" s="22"/>
      <c r="T584" s="22"/>
      <c r="BB584" s="3"/>
      <c r="BC584" s="3"/>
    </row>
    <row r="585" spans="1:55" ht="12.95" customHeight="1">
      <c r="A585" s="55" t="s">
        <v>763</v>
      </c>
      <c r="B585" t="s">
        <v>463</v>
      </c>
      <c r="G585" s="1380" t="str">
        <f>C558</f>
        <v>GP Loan</v>
      </c>
      <c r="H585" s="1380"/>
      <c r="I585" s="1380"/>
      <c r="J585" s="1380"/>
      <c r="K585" s="1380"/>
      <c r="L585" s="1380"/>
      <c r="M585" s="1380"/>
      <c r="N585" s="1380"/>
      <c r="O585" s="1380"/>
      <c r="P585" s="1380"/>
      <c r="Q585" s="1380"/>
      <c r="R585" s="1380"/>
      <c r="T585" s="55" t="s">
        <v>584</v>
      </c>
      <c r="U585" t="s">
        <v>463</v>
      </c>
      <c r="Z585" s="1380" t="str">
        <f>C559</f>
        <v>Deferred Developer Fee</v>
      </c>
      <c r="AA585" s="1380"/>
      <c r="AB585" s="1380"/>
      <c r="AC585" s="1380"/>
      <c r="AD585" s="1380"/>
      <c r="AE585" s="1380"/>
      <c r="AF585" s="1380"/>
      <c r="AG585" s="1380"/>
      <c r="AH585" s="1380"/>
      <c r="AI585" s="1380"/>
      <c r="AJ585" s="1380"/>
      <c r="AK585" s="1380"/>
      <c r="BB585" s="3"/>
      <c r="BC585" s="3"/>
    </row>
    <row r="586" spans="1:55" ht="12.95" customHeight="1">
      <c r="A586" s="22"/>
      <c r="B586" t="s">
        <v>85</v>
      </c>
      <c r="G586" s="1425" t="s">
        <v>2628</v>
      </c>
      <c r="H586" s="1425"/>
      <c r="I586" s="1425"/>
      <c r="J586" s="1425"/>
      <c r="K586" s="1425"/>
      <c r="L586" s="1425"/>
      <c r="M586" s="1425"/>
      <c r="N586" s="1425"/>
      <c r="O586" s="1425"/>
      <c r="P586" s="1425"/>
      <c r="Q586" s="1425"/>
      <c r="R586" s="1425"/>
      <c r="T586" s="22"/>
      <c r="U586" t="s">
        <v>85</v>
      </c>
      <c r="Z586" s="1425" t="s">
        <v>2628</v>
      </c>
      <c r="AA586" s="1425"/>
      <c r="AB586" s="1425"/>
      <c r="AC586" s="1425"/>
      <c r="AD586" s="1425"/>
      <c r="AE586" s="1425"/>
      <c r="AF586" s="1425"/>
      <c r="AG586" s="1425"/>
      <c r="AH586" s="1425"/>
      <c r="AI586" s="1425"/>
      <c r="AJ586" s="1425"/>
      <c r="AK586" s="1425"/>
      <c r="BB586" s="3"/>
      <c r="BC586" s="3"/>
    </row>
    <row r="587" spans="1:55" ht="12.95" customHeight="1">
      <c r="A587" s="22"/>
      <c r="B587" t="s">
        <v>580</v>
      </c>
      <c r="G587" s="1425" t="s">
        <v>2716</v>
      </c>
      <c r="H587" s="1425"/>
      <c r="I587" s="1425"/>
      <c r="J587" s="1425"/>
      <c r="K587" s="1425"/>
      <c r="L587" s="1425"/>
      <c r="M587" s="1425"/>
      <c r="N587" s="1425"/>
      <c r="O587" s="1425"/>
      <c r="P587" s="1425"/>
      <c r="Q587" s="1425"/>
      <c r="R587" s="1425"/>
      <c r="T587" s="22"/>
      <c r="U587" t="s">
        <v>580</v>
      </c>
      <c r="Z587" s="1458" t="s">
        <v>2716</v>
      </c>
      <c r="AA587" s="1458"/>
      <c r="AB587" s="1458"/>
      <c r="AC587" s="1458"/>
      <c r="AD587" s="1458"/>
      <c r="AE587" s="1458"/>
      <c r="AF587" s="1458"/>
      <c r="AG587" s="1458"/>
      <c r="AH587" s="1458"/>
      <c r="AI587" s="1458"/>
      <c r="AJ587" s="1458"/>
      <c r="AK587" s="1458"/>
      <c r="BB587" s="3"/>
      <c r="BC587" s="3"/>
    </row>
    <row r="588" spans="1:55" ht="12.95" customHeight="1">
      <c r="A588" s="22"/>
      <c r="B588" t="s">
        <v>17</v>
      </c>
      <c r="G588" s="1425" t="s">
        <v>2630</v>
      </c>
      <c r="H588" s="1425"/>
      <c r="I588" s="1425"/>
      <c r="J588" s="1425"/>
      <c r="K588" s="1425"/>
      <c r="L588" s="1425"/>
      <c r="M588" s="1425"/>
      <c r="N588" s="1425"/>
      <c r="O588" s="1425"/>
      <c r="P588" s="1425"/>
      <c r="Q588" s="1425"/>
      <c r="R588" s="1425"/>
      <c r="T588" s="22"/>
      <c r="U588" t="s">
        <v>17</v>
      </c>
      <c r="Z588" s="1458" t="s">
        <v>2630</v>
      </c>
      <c r="AA588" s="1458"/>
      <c r="AB588" s="1458"/>
      <c r="AC588" s="1458"/>
      <c r="AD588" s="1458"/>
      <c r="AE588" s="1458"/>
      <c r="AF588" s="1458"/>
      <c r="AG588" s="1458"/>
      <c r="AH588" s="1458"/>
      <c r="AI588" s="1458"/>
      <c r="AJ588" s="1458"/>
      <c r="AK588" s="1458"/>
    </row>
    <row r="589" spans="1:55" ht="12.95" customHeight="1">
      <c r="A589" s="22"/>
      <c r="B589" t="s">
        <v>315</v>
      </c>
      <c r="G589" s="1459" t="s">
        <v>2692</v>
      </c>
      <c r="H589" s="1459"/>
      <c r="I589" s="1459"/>
      <c r="J589" s="1459"/>
      <c r="K589" s="1459"/>
      <c r="L589" s="1459"/>
      <c r="O589" s="33" t="s">
        <v>205</v>
      </c>
      <c r="P589" s="1439"/>
      <c r="Q589" s="1439"/>
      <c r="R589" s="1439"/>
      <c r="T589" s="22"/>
      <c r="U589" t="s">
        <v>315</v>
      </c>
      <c r="Z589" s="1459" t="s">
        <v>2692</v>
      </c>
      <c r="AA589" s="1459"/>
      <c r="AB589" s="1459"/>
      <c r="AC589" s="1459"/>
      <c r="AD589" s="1459"/>
      <c r="AE589" s="1459"/>
      <c r="AH589" s="33" t="s">
        <v>205</v>
      </c>
      <c r="AI589" s="1439"/>
      <c r="AJ589" s="1439"/>
      <c r="AK589" s="1439"/>
      <c r="AZ589" s="3"/>
      <c r="BA589" s="3"/>
      <c r="BB589" s="3"/>
      <c r="BC589" s="3"/>
    </row>
    <row r="590" spans="1:55" ht="12.95" customHeight="1">
      <c r="A590" s="22"/>
      <c r="B590" t="s">
        <v>18</v>
      </c>
      <c r="H590" s="1416" t="s">
        <v>2700</v>
      </c>
      <c r="I590" s="1425"/>
      <c r="J590" s="1425"/>
      <c r="K590" s="1425"/>
      <c r="L590" s="1425"/>
      <c r="M590" s="1425"/>
      <c r="N590" s="1425"/>
      <c r="O590" s="1425"/>
      <c r="P590" s="1425"/>
      <c r="Q590" s="1425"/>
      <c r="R590" s="1425"/>
      <c r="T590" s="22"/>
      <c r="U590" t="s">
        <v>18</v>
      </c>
      <c r="AA590" s="1425" t="s">
        <v>2323</v>
      </c>
      <c r="AB590" s="1425"/>
      <c r="AC590" s="1425"/>
      <c r="AD590" s="1425"/>
      <c r="AE590" s="1425"/>
      <c r="AF590" s="1425"/>
      <c r="AG590" s="1425"/>
      <c r="AH590" s="1425"/>
      <c r="AI590" s="1425"/>
      <c r="AJ590" s="1425"/>
      <c r="AK590" s="1425"/>
      <c r="AZ590" s="3"/>
      <c r="BA590" s="3"/>
      <c r="BB590" s="3"/>
      <c r="BC590" s="3"/>
    </row>
    <row r="591" spans="1:55" ht="12.95" customHeight="1">
      <c r="A591" s="22"/>
      <c r="B591" t="s">
        <v>20</v>
      </c>
      <c r="N591" s="1330" t="s">
        <v>545</v>
      </c>
      <c r="O591" s="1330"/>
      <c r="T591" s="22"/>
      <c r="U591" t="s">
        <v>20</v>
      </c>
      <c r="AG591" s="1330" t="s">
        <v>545</v>
      </c>
      <c r="AH591" s="1330"/>
      <c r="AZ591" s="3"/>
      <c r="BA591" s="3"/>
      <c r="BB591" s="3"/>
      <c r="BC591" s="3"/>
    </row>
    <row r="592" spans="1:55" ht="12.95" customHeight="1">
      <c r="A592" s="22"/>
      <c r="T592" s="22"/>
      <c r="AZ592" s="3"/>
      <c r="BA592" s="3"/>
      <c r="BB592" s="3"/>
      <c r="BC592" s="3"/>
    </row>
    <row r="593" spans="1:55" ht="12.95" customHeight="1">
      <c r="A593" s="55" t="s">
        <v>455</v>
      </c>
      <c r="B593" t="s">
        <v>463</v>
      </c>
      <c r="G593" s="1380" t="str">
        <f>C560</f>
        <v>Lease Up Income</v>
      </c>
      <c r="H593" s="1380"/>
      <c r="I593" s="1380"/>
      <c r="J593" s="1380"/>
      <c r="K593" s="1380"/>
      <c r="L593" s="1380"/>
      <c r="M593" s="1380"/>
      <c r="N593" s="1380"/>
      <c r="O593" s="1380"/>
      <c r="P593" s="1380"/>
      <c r="Q593" s="1380"/>
      <c r="R593" s="1380"/>
      <c r="T593" s="55" t="s">
        <v>456</v>
      </c>
      <c r="U593" t="s">
        <v>463</v>
      </c>
      <c r="Z593" s="1380" t="str">
        <f>C561</f>
        <v>Costs Deferred to Conversion</v>
      </c>
      <c r="AA593" s="1380"/>
      <c r="AB593" s="1380"/>
      <c r="AC593" s="1380"/>
      <c r="AD593" s="1380"/>
      <c r="AE593" s="1380"/>
      <c r="AF593" s="1380"/>
      <c r="AG593" s="1380"/>
      <c r="AH593" s="1380"/>
      <c r="AI593" s="1380"/>
      <c r="AJ593" s="1380"/>
      <c r="AK593" s="1380"/>
      <c r="AZ593" s="3"/>
      <c r="BA593" s="3"/>
      <c r="BB593" s="3"/>
      <c r="BC593" s="3"/>
    </row>
    <row r="594" spans="1:55" s="4" customFormat="1" ht="12.95" customHeight="1">
      <c r="A594" s="22"/>
      <c r="B594" t="s">
        <v>85</v>
      </c>
      <c r="C594"/>
      <c r="D594"/>
      <c r="E594"/>
      <c r="F594"/>
      <c r="G594" s="1425" t="s">
        <v>2628</v>
      </c>
      <c r="H594" s="1425"/>
      <c r="I594" s="1425"/>
      <c r="J594" s="1425"/>
      <c r="K594" s="1425"/>
      <c r="L594" s="1425"/>
      <c r="M594" s="1425"/>
      <c r="N594" s="1425"/>
      <c r="O594" s="1425"/>
      <c r="P594" s="1425"/>
      <c r="Q594" s="1425"/>
      <c r="R594" s="1425"/>
      <c r="S594"/>
      <c r="T594" s="22"/>
      <c r="U594" t="s">
        <v>85</v>
      </c>
      <c r="V594"/>
      <c r="W594"/>
      <c r="X594"/>
      <c r="Y594"/>
      <c r="Z594" s="1425" t="s">
        <v>2628</v>
      </c>
      <c r="AA594" s="1425"/>
      <c r="AB594" s="1425"/>
      <c r="AC594" s="1425"/>
      <c r="AD594" s="1425"/>
      <c r="AE594" s="1425"/>
      <c r="AF594" s="1425"/>
      <c r="AG594" s="1425"/>
      <c r="AH594" s="1425"/>
      <c r="AI594" s="1425"/>
      <c r="AJ594" s="1425"/>
      <c r="AK594" s="1425"/>
      <c r="AL594"/>
      <c r="AM594"/>
      <c r="AN594"/>
      <c r="AO594"/>
      <c r="AP594"/>
      <c r="AQ594"/>
      <c r="AR594"/>
      <c r="AS594"/>
      <c r="AT594"/>
      <c r="AU594"/>
      <c r="AV594"/>
      <c r="AW594"/>
      <c r="AX594"/>
      <c r="AY594"/>
      <c r="AZ594" s="3"/>
      <c r="BA594" s="3"/>
      <c r="BB594" s="3"/>
      <c r="BC594" s="3"/>
    </row>
    <row r="595" spans="1:55" s="4" customFormat="1" ht="12.95" customHeight="1">
      <c r="A595" s="22"/>
      <c r="B595" t="s">
        <v>580</v>
      </c>
      <c r="C595"/>
      <c r="D595"/>
      <c r="E595"/>
      <c r="F595"/>
      <c r="G595" s="1425" t="s">
        <v>2716</v>
      </c>
      <c r="H595" s="1425"/>
      <c r="I595" s="1425"/>
      <c r="J595" s="1425"/>
      <c r="K595" s="1425"/>
      <c r="L595" s="1425"/>
      <c r="M595" s="1425"/>
      <c r="N595" s="1425"/>
      <c r="O595" s="1425"/>
      <c r="P595" s="1425"/>
      <c r="Q595" s="1425"/>
      <c r="R595" s="1425"/>
      <c r="S595"/>
      <c r="T595" s="22"/>
      <c r="U595" t="s">
        <v>580</v>
      </c>
      <c r="V595"/>
      <c r="W595"/>
      <c r="X595"/>
      <c r="Y595"/>
      <c r="Z595" s="1458" t="s">
        <v>2716</v>
      </c>
      <c r="AA595" s="1458"/>
      <c r="AB595" s="1458"/>
      <c r="AC595" s="1458"/>
      <c r="AD595" s="1458"/>
      <c r="AE595" s="1458"/>
      <c r="AF595" s="1458"/>
      <c r="AG595" s="1458"/>
      <c r="AH595" s="1458"/>
      <c r="AI595" s="1458"/>
      <c r="AJ595" s="1458"/>
      <c r="AK595" s="1458"/>
      <c r="AL595"/>
      <c r="AM595"/>
      <c r="AN595"/>
      <c r="AO595"/>
      <c r="AP595"/>
      <c r="AQ595"/>
      <c r="AR595"/>
      <c r="AS595"/>
      <c r="AT595"/>
      <c r="AU595"/>
      <c r="AV595"/>
      <c r="AW595"/>
      <c r="AX595"/>
      <c r="AY595"/>
      <c r="AZ595" s="3"/>
      <c r="BA595" s="3"/>
      <c r="BB595" s="3"/>
      <c r="BC595" s="3"/>
    </row>
    <row r="596" spans="1:55" s="4" customFormat="1" ht="12.95" customHeight="1">
      <c r="A596" s="22"/>
      <c r="B596" t="s">
        <v>17</v>
      </c>
      <c r="C596"/>
      <c r="D596"/>
      <c r="E596"/>
      <c r="F596"/>
      <c r="G596" s="1425" t="s">
        <v>2630</v>
      </c>
      <c r="H596" s="1425"/>
      <c r="I596" s="1425"/>
      <c r="J596" s="1425"/>
      <c r="K596" s="1425"/>
      <c r="L596" s="1425"/>
      <c r="M596" s="1425"/>
      <c r="N596" s="1425"/>
      <c r="O596" s="1425"/>
      <c r="P596" s="1425"/>
      <c r="Q596" s="1425"/>
      <c r="R596" s="1425"/>
      <c r="S596"/>
      <c r="T596" s="22"/>
      <c r="U596" t="s">
        <v>17</v>
      </c>
      <c r="V596"/>
      <c r="W596"/>
      <c r="X596"/>
      <c r="Y596"/>
      <c r="Z596" s="1458" t="s">
        <v>2630</v>
      </c>
      <c r="AA596" s="1458"/>
      <c r="AB596" s="1458"/>
      <c r="AC596" s="1458"/>
      <c r="AD596" s="1458"/>
      <c r="AE596" s="1458"/>
      <c r="AF596" s="1458"/>
      <c r="AG596" s="1458"/>
      <c r="AH596" s="1458"/>
      <c r="AI596" s="1458"/>
      <c r="AJ596" s="1458"/>
      <c r="AK596" s="1458"/>
      <c r="AL596"/>
      <c r="AM596"/>
      <c r="AN596"/>
      <c r="AO596"/>
      <c r="AP596"/>
      <c r="AQ596"/>
      <c r="AR596"/>
      <c r="AS596"/>
      <c r="AT596"/>
      <c r="AU596"/>
      <c r="AV596"/>
      <c r="AW596"/>
      <c r="AX596"/>
      <c r="AY596"/>
      <c r="BB596" s="3"/>
      <c r="BC596" s="3"/>
    </row>
    <row r="597" spans="1:55" s="4" customFormat="1" ht="12.95" customHeight="1">
      <c r="A597" s="22"/>
      <c r="B597" t="s">
        <v>315</v>
      </c>
      <c r="C597"/>
      <c r="D597"/>
      <c r="E597"/>
      <c r="F597"/>
      <c r="G597" s="1459" t="s">
        <v>2692</v>
      </c>
      <c r="H597" s="1459"/>
      <c r="I597" s="1459"/>
      <c r="J597" s="1459"/>
      <c r="K597" s="1459"/>
      <c r="L597" s="1459"/>
      <c r="M597"/>
      <c r="N597"/>
      <c r="O597" s="33" t="s">
        <v>205</v>
      </c>
      <c r="P597" s="1439"/>
      <c r="Q597" s="1439"/>
      <c r="R597" s="1439"/>
      <c r="S597"/>
      <c r="T597" s="22"/>
      <c r="U597" t="s">
        <v>315</v>
      </c>
      <c r="V597"/>
      <c r="W597"/>
      <c r="X597"/>
      <c r="Y597"/>
      <c r="Z597" s="1459" t="s">
        <v>2692</v>
      </c>
      <c r="AA597" s="1459"/>
      <c r="AB597" s="1459"/>
      <c r="AC597" s="1459"/>
      <c r="AD597" s="1459"/>
      <c r="AE597" s="1459"/>
      <c r="AF597"/>
      <c r="AG597"/>
      <c r="AH597" s="33" t="s">
        <v>205</v>
      </c>
      <c r="AI597" s="1439"/>
      <c r="AJ597" s="1439"/>
      <c r="AK597" s="1439"/>
      <c r="AL597"/>
      <c r="AM597"/>
      <c r="AN597"/>
      <c r="AO597"/>
      <c r="AP597"/>
      <c r="AQ597"/>
      <c r="AR597"/>
      <c r="AS597"/>
      <c r="AT597"/>
      <c r="AU597"/>
      <c r="AV597"/>
      <c r="AW597"/>
      <c r="AX597"/>
      <c r="AY597"/>
      <c r="BB597" s="3"/>
      <c r="BC597" s="3"/>
    </row>
    <row r="598" spans="1:55" s="4" customFormat="1" ht="12.95" customHeight="1">
      <c r="A598" s="22"/>
      <c r="B598" t="s">
        <v>18</v>
      </c>
      <c r="C598"/>
      <c r="D598"/>
      <c r="E598"/>
      <c r="F598"/>
      <c r="G598"/>
      <c r="H598" s="1425" t="s">
        <v>2717</v>
      </c>
      <c r="I598" s="1425"/>
      <c r="J598" s="1425"/>
      <c r="K598" s="1425"/>
      <c r="L598" s="1425"/>
      <c r="M598" s="1425"/>
      <c r="N598" s="1425"/>
      <c r="O598" s="1425"/>
      <c r="P598" s="1425"/>
      <c r="Q598" s="1425"/>
      <c r="R598" s="1425"/>
      <c r="S598"/>
      <c r="T598" s="22"/>
      <c r="U598" t="s">
        <v>18</v>
      </c>
      <c r="V598"/>
      <c r="W598"/>
      <c r="X598"/>
      <c r="Y598"/>
      <c r="Z598"/>
      <c r="AA598" s="1425" t="s">
        <v>2718</v>
      </c>
      <c r="AB598" s="1425"/>
      <c r="AC598" s="1425"/>
      <c r="AD598" s="1425"/>
      <c r="AE598" s="1425"/>
      <c r="AF598" s="1425"/>
      <c r="AG598" s="1425"/>
      <c r="AH598" s="1425"/>
      <c r="AI598" s="1425"/>
      <c r="AJ598" s="1425"/>
      <c r="AK598" s="1425"/>
      <c r="AL598"/>
      <c r="AM598"/>
      <c r="AN598"/>
      <c r="AO598"/>
      <c r="AP598"/>
      <c r="AQ598"/>
      <c r="AR598"/>
      <c r="AS598"/>
      <c r="AT598"/>
      <c r="AU598"/>
      <c r="AV598"/>
      <c r="AW598"/>
      <c r="AX598"/>
      <c r="AY598"/>
      <c r="BB598" s="3"/>
      <c r="BC598" s="3"/>
    </row>
    <row r="599" spans="1:55" ht="12.95" customHeight="1">
      <c r="A599" s="22"/>
      <c r="B599" t="s">
        <v>20</v>
      </c>
      <c r="N599" s="1330" t="s">
        <v>545</v>
      </c>
      <c r="O599" s="1330"/>
      <c r="T599" s="22"/>
      <c r="U599" t="s">
        <v>20</v>
      </c>
      <c r="AG599" s="1330" t="s">
        <v>545</v>
      </c>
      <c r="AH599" s="1330"/>
      <c r="BB599" s="3"/>
      <c r="BC599" s="3"/>
    </row>
    <row r="600" spans="1:55" ht="12.95" customHeight="1">
      <c r="A600" s="22"/>
      <c r="T600" s="22"/>
      <c r="BB600" s="3"/>
      <c r="BC600" s="3"/>
    </row>
    <row r="601" spans="1:55" ht="12.95" customHeight="1">
      <c r="A601" s="55" t="s">
        <v>461</v>
      </c>
      <c r="B601" t="s">
        <v>463</v>
      </c>
      <c r="G601" s="1380">
        <f>C562</f>
        <v>0</v>
      </c>
      <c r="H601" s="1380"/>
      <c r="I601" s="1380"/>
      <c r="J601" s="1380"/>
      <c r="K601" s="1380"/>
      <c r="L601" s="1380"/>
      <c r="M601" s="1380"/>
      <c r="N601" s="1380"/>
      <c r="O601" s="1380"/>
      <c r="P601" s="1380"/>
      <c r="Q601" s="1380"/>
      <c r="R601" s="1380"/>
      <c r="T601" s="55" t="s">
        <v>646</v>
      </c>
      <c r="U601" t="s">
        <v>463</v>
      </c>
      <c r="Z601" s="1380">
        <f>C563</f>
        <v>0</v>
      </c>
      <c r="AA601" s="1380"/>
      <c r="AB601" s="1380"/>
      <c r="AC601" s="1380"/>
      <c r="AD601" s="1380"/>
      <c r="AE601" s="1380"/>
      <c r="AF601" s="1380"/>
      <c r="AG601" s="1380"/>
      <c r="AH601" s="1380"/>
      <c r="AI601" s="1380"/>
      <c r="AJ601" s="1380"/>
      <c r="AK601" s="1380"/>
      <c r="BB601" s="3"/>
      <c r="BC601" s="3"/>
    </row>
    <row r="602" spans="1:55" ht="12.95" customHeight="1">
      <c r="A602" s="22"/>
      <c r="B602" t="s">
        <v>85</v>
      </c>
      <c r="G602" s="1425"/>
      <c r="H602" s="1425"/>
      <c r="I602" s="1425"/>
      <c r="J602" s="1425"/>
      <c r="K602" s="1425"/>
      <c r="L602" s="1425"/>
      <c r="M602" s="1425"/>
      <c r="N602" s="1425"/>
      <c r="O602" s="1425"/>
      <c r="P602" s="1425"/>
      <c r="Q602" s="1425"/>
      <c r="R602" s="1425"/>
      <c r="T602" s="22"/>
      <c r="U602" t="s">
        <v>85</v>
      </c>
      <c r="Z602" s="1425"/>
      <c r="AA602" s="1425"/>
      <c r="AB602" s="1425"/>
      <c r="AC602" s="1425"/>
      <c r="AD602" s="1425"/>
      <c r="AE602" s="1425"/>
      <c r="AF602" s="1425"/>
      <c r="AG602" s="1425"/>
      <c r="AH602" s="1425"/>
      <c r="AI602" s="1425"/>
      <c r="AJ602" s="1425"/>
      <c r="AK602" s="1425"/>
      <c r="AZ602" s="3"/>
      <c r="BA602" s="3"/>
      <c r="BB602" s="3"/>
      <c r="BC602" s="3"/>
    </row>
    <row r="603" spans="1:55" ht="12.95" customHeight="1">
      <c r="A603" s="22"/>
      <c r="B603" t="s">
        <v>580</v>
      </c>
      <c r="G603" s="1425"/>
      <c r="H603" s="1425"/>
      <c r="I603" s="1425"/>
      <c r="J603" s="1425"/>
      <c r="K603" s="1425"/>
      <c r="L603" s="1425"/>
      <c r="M603" s="1425"/>
      <c r="N603" s="1425"/>
      <c r="O603" s="1425"/>
      <c r="P603" s="1425"/>
      <c r="Q603" s="1425"/>
      <c r="R603" s="1425"/>
      <c r="T603" s="22"/>
      <c r="U603" t="s">
        <v>580</v>
      </c>
      <c r="Z603" s="1458"/>
      <c r="AA603" s="1458"/>
      <c r="AB603" s="1458"/>
      <c r="AC603" s="1458"/>
      <c r="AD603" s="1458"/>
      <c r="AE603" s="1458"/>
      <c r="AF603" s="1458"/>
      <c r="AG603" s="1458"/>
      <c r="AH603" s="1458"/>
      <c r="AI603" s="1458"/>
      <c r="AJ603" s="1458"/>
      <c r="AK603" s="1458"/>
      <c r="AZ603" s="3"/>
      <c r="BA603" s="3"/>
      <c r="BB603" s="3"/>
      <c r="BC603" s="3"/>
    </row>
    <row r="604" spans="1:55" ht="12.95" customHeight="1">
      <c r="A604" s="22"/>
      <c r="B604" t="s">
        <v>17</v>
      </c>
      <c r="G604" s="1425"/>
      <c r="H604" s="1425"/>
      <c r="I604" s="1425"/>
      <c r="J604" s="1425"/>
      <c r="K604" s="1425"/>
      <c r="L604" s="1425"/>
      <c r="M604" s="1425"/>
      <c r="N604" s="1425"/>
      <c r="O604" s="1425"/>
      <c r="P604" s="1425"/>
      <c r="Q604" s="1425"/>
      <c r="R604" s="1425"/>
      <c r="T604" s="22"/>
      <c r="U604" t="s">
        <v>17</v>
      </c>
      <c r="Z604" s="1458"/>
      <c r="AA604" s="1458"/>
      <c r="AB604" s="1458"/>
      <c r="AC604" s="1458"/>
      <c r="AD604" s="1458"/>
      <c r="AE604" s="1458"/>
      <c r="AF604" s="1458"/>
      <c r="AG604" s="1458"/>
      <c r="AH604" s="1458"/>
      <c r="AI604" s="1458"/>
      <c r="AJ604" s="1458"/>
      <c r="AK604" s="1458"/>
      <c r="AZ604" s="3"/>
      <c r="BA604" s="3"/>
      <c r="BB604" s="3"/>
      <c r="BC604" s="3"/>
    </row>
    <row r="605" spans="1:55" s="4" customFormat="1" ht="12.95" customHeight="1">
      <c r="A605" s="22"/>
      <c r="B605" t="s">
        <v>315</v>
      </c>
      <c r="C605"/>
      <c r="D605"/>
      <c r="E605"/>
      <c r="F605"/>
      <c r="G605" s="1459"/>
      <c r="H605" s="1459"/>
      <c r="I605" s="1459"/>
      <c r="J605" s="1459"/>
      <c r="K605" s="1459"/>
      <c r="L605" s="1459"/>
      <c r="M605"/>
      <c r="N605"/>
      <c r="O605" s="33" t="s">
        <v>205</v>
      </c>
      <c r="P605" s="1439"/>
      <c r="Q605" s="1439"/>
      <c r="R605" s="1439"/>
      <c r="S605"/>
      <c r="T605" s="22"/>
      <c r="U605" t="s">
        <v>315</v>
      </c>
      <c r="V605"/>
      <c r="W605"/>
      <c r="X605"/>
      <c r="Y605"/>
      <c r="Z605" s="1459"/>
      <c r="AA605" s="1459"/>
      <c r="AB605" s="1459"/>
      <c r="AC605" s="1459"/>
      <c r="AD605" s="1459"/>
      <c r="AE605" s="1459"/>
      <c r="AF605"/>
      <c r="AG605"/>
      <c r="AH605" s="33" t="s">
        <v>205</v>
      </c>
      <c r="AI605" s="1439"/>
      <c r="AJ605" s="1439"/>
      <c r="AK605" s="1439"/>
      <c r="AL605"/>
      <c r="AM605"/>
      <c r="AN605"/>
      <c r="AO605"/>
      <c r="AP605"/>
      <c r="AQ605"/>
      <c r="AR605"/>
      <c r="AS605"/>
      <c r="AT605"/>
      <c r="AU605"/>
      <c r="AV605"/>
      <c r="AW605"/>
      <c r="AX605"/>
      <c r="AY605"/>
      <c r="AZ605" s="3"/>
      <c r="BA605" s="3"/>
      <c r="BB605" s="3"/>
      <c r="BC605" s="3"/>
    </row>
    <row r="606" spans="1:55" s="4" customFormat="1" ht="12.95" customHeight="1">
      <c r="A606" s="22"/>
      <c r="B606" t="s">
        <v>18</v>
      </c>
      <c r="C606"/>
      <c r="D606"/>
      <c r="E606"/>
      <c r="F606"/>
      <c r="G606"/>
      <c r="H606" s="1425"/>
      <c r="I606" s="1425"/>
      <c r="J606" s="1425"/>
      <c r="K606" s="1425"/>
      <c r="L606" s="1425"/>
      <c r="M606" s="1425"/>
      <c r="N606" s="1425"/>
      <c r="O606" s="1425"/>
      <c r="P606" s="1425"/>
      <c r="Q606" s="1425"/>
      <c r="R606" s="1425"/>
      <c r="S606"/>
      <c r="T606" s="22"/>
      <c r="U606" t="s">
        <v>18</v>
      </c>
      <c r="V606"/>
      <c r="W606"/>
      <c r="X606"/>
      <c r="Y606"/>
      <c r="Z606"/>
      <c r="AA606" s="1425"/>
      <c r="AB606" s="1425"/>
      <c r="AC606" s="1425"/>
      <c r="AD606" s="1425"/>
      <c r="AE606" s="1425"/>
      <c r="AF606" s="1425"/>
      <c r="AG606" s="1425"/>
      <c r="AH606" s="1425"/>
      <c r="AI606" s="1425"/>
      <c r="AJ606" s="1425"/>
      <c r="AK606" s="1425"/>
      <c r="AL606"/>
      <c r="AM606"/>
      <c r="AN606"/>
      <c r="AO606"/>
      <c r="AP606"/>
      <c r="AQ606"/>
      <c r="AR606"/>
      <c r="AS606"/>
      <c r="AT606"/>
      <c r="AU606"/>
      <c r="AV606"/>
      <c r="AW606"/>
      <c r="AX606"/>
      <c r="AY606"/>
      <c r="AZ606" s="3"/>
      <c r="BA606" s="3"/>
      <c r="BB606" s="3"/>
      <c r="BC606" s="3"/>
    </row>
    <row r="607" spans="1:55" s="4" customFormat="1" ht="12.95" customHeight="1">
      <c r="A607" s="22"/>
      <c r="B607" t="s">
        <v>20</v>
      </c>
      <c r="C607"/>
      <c r="D607"/>
      <c r="E607"/>
      <c r="F607"/>
      <c r="G607"/>
      <c r="H607"/>
      <c r="I607"/>
      <c r="J607"/>
      <c r="K607"/>
      <c r="L607"/>
      <c r="M607"/>
      <c r="N607" s="1330" t="s">
        <v>669</v>
      </c>
      <c r="O607" s="1330"/>
      <c r="P607"/>
      <c r="Q607"/>
      <c r="R607"/>
      <c r="S607"/>
      <c r="T607" s="22"/>
      <c r="U607" t="s">
        <v>20</v>
      </c>
      <c r="V607"/>
      <c r="W607"/>
      <c r="X607"/>
      <c r="Y607"/>
      <c r="Z607"/>
      <c r="AA607"/>
      <c r="AB607"/>
      <c r="AC607"/>
      <c r="AD607"/>
      <c r="AE607"/>
      <c r="AF607"/>
      <c r="AG607" s="1330" t="s">
        <v>669</v>
      </c>
      <c r="AH607" s="1330"/>
      <c r="AI607"/>
      <c r="AJ607"/>
      <c r="AK607"/>
      <c r="AL607"/>
      <c r="AM607"/>
      <c r="AN607"/>
      <c r="AO607"/>
      <c r="AP607"/>
      <c r="AQ607"/>
      <c r="AR607"/>
      <c r="AS607"/>
      <c r="AT607"/>
      <c r="AU607"/>
      <c r="AV607"/>
      <c r="AW607"/>
      <c r="AX607"/>
      <c r="AY607"/>
      <c r="AZ607" s="3"/>
      <c r="BA607" s="3"/>
      <c r="BB607" s="3"/>
      <c r="BC607" s="3"/>
    </row>
    <row r="608" spans="1:55" ht="12.95" customHeight="1">
      <c r="A608" s="22"/>
      <c r="T608" s="22"/>
      <c r="AZ608" s="3"/>
      <c r="BA608" s="3"/>
      <c r="BB608" s="3"/>
      <c r="BC608" s="3"/>
    </row>
    <row r="609" spans="1:55" ht="12.95" customHeight="1">
      <c r="A609" s="55" t="s">
        <v>361</v>
      </c>
      <c r="B609" t="s">
        <v>463</v>
      </c>
      <c r="G609" s="1380">
        <f>C564</f>
        <v>0</v>
      </c>
      <c r="H609" s="1380"/>
      <c r="I609" s="1380"/>
      <c r="J609" s="1380"/>
      <c r="K609" s="1380"/>
      <c r="L609" s="1380"/>
      <c r="M609" s="1380"/>
      <c r="N609" s="1380"/>
      <c r="O609" s="1380"/>
      <c r="P609" s="1380"/>
      <c r="Q609" s="1380"/>
      <c r="R609" s="1380"/>
      <c r="T609" s="55" t="s">
        <v>362</v>
      </c>
      <c r="U609" t="s">
        <v>463</v>
      </c>
      <c r="Z609" s="1380">
        <f>C565</f>
        <v>0</v>
      </c>
      <c r="AA609" s="1380"/>
      <c r="AB609" s="1380"/>
      <c r="AC609" s="1380"/>
      <c r="AD609" s="1380"/>
      <c r="AE609" s="1380"/>
      <c r="AF609" s="1380"/>
      <c r="AG609" s="1380"/>
      <c r="AH609" s="1380"/>
      <c r="AI609" s="1380"/>
      <c r="AJ609" s="1380"/>
      <c r="AK609" s="1380"/>
      <c r="AZ609" s="3"/>
      <c r="BA609" s="3"/>
      <c r="BB609" s="3"/>
      <c r="BC609" s="3"/>
    </row>
    <row r="610" spans="1:55" ht="12.95" customHeight="1">
      <c r="B610" t="s">
        <v>85</v>
      </c>
      <c r="G610" s="1425"/>
      <c r="H610" s="1425"/>
      <c r="I610" s="1425"/>
      <c r="J610" s="1425"/>
      <c r="K610" s="1425"/>
      <c r="L610" s="1425"/>
      <c r="M610" s="1425"/>
      <c r="N610" s="1425"/>
      <c r="O610" s="1425"/>
      <c r="P610" s="1425"/>
      <c r="Q610" s="1425"/>
      <c r="R610" s="1425"/>
      <c r="U610" t="s">
        <v>85</v>
      </c>
      <c r="Z610" s="1425"/>
      <c r="AA610" s="1425"/>
      <c r="AB610" s="1425"/>
      <c r="AC610" s="1425"/>
      <c r="AD610" s="1425"/>
      <c r="AE610" s="1425"/>
      <c r="AF610" s="1425"/>
      <c r="AG610" s="1425"/>
      <c r="AH610" s="1425"/>
      <c r="AI610" s="1425"/>
      <c r="AJ610" s="1425"/>
      <c r="AK610" s="1425"/>
      <c r="AZ610" s="3"/>
      <c r="BA610" s="3"/>
      <c r="BB610" s="3"/>
      <c r="BC610" s="3"/>
    </row>
    <row r="611" spans="1:55" ht="12.95" customHeight="1">
      <c r="B611" t="s">
        <v>580</v>
      </c>
      <c r="G611" s="1425"/>
      <c r="H611" s="1425"/>
      <c r="I611" s="1425"/>
      <c r="J611" s="1425"/>
      <c r="K611" s="1425"/>
      <c r="L611" s="1425"/>
      <c r="M611" s="1425"/>
      <c r="N611" s="1425"/>
      <c r="O611" s="1425"/>
      <c r="P611" s="1425"/>
      <c r="Q611" s="1425"/>
      <c r="R611" s="1425"/>
      <c r="U611" t="s">
        <v>580</v>
      </c>
      <c r="Z611" s="1458"/>
      <c r="AA611" s="1458"/>
      <c r="AB611" s="1458"/>
      <c r="AC611" s="1458"/>
      <c r="AD611" s="1458"/>
      <c r="AE611" s="1458"/>
      <c r="AF611" s="1458"/>
      <c r="AG611" s="1458"/>
      <c r="AH611" s="1458"/>
      <c r="AI611" s="1458"/>
      <c r="AJ611" s="1458"/>
      <c r="AK611" s="1458"/>
      <c r="AZ611" s="3"/>
      <c r="BA611" s="3"/>
      <c r="BB611" s="3"/>
      <c r="BC611" s="3"/>
    </row>
    <row r="612" spans="1:55" ht="12.95" customHeight="1">
      <c r="B612" t="s">
        <v>17</v>
      </c>
      <c r="G612" s="1425"/>
      <c r="H612" s="1425"/>
      <c r="I612" s="1425"/>
      <c r="J612" s="1425"/>
      <c r="K612" s="1425"/>
      <c r="L612" s="1425"/>
      <c r="M612" s="1425"/>
      <c r="N612" s="1425"/>
      <c r="O612" s="1425"/>
      <c r="P612" s="1425"/>
      <c r="Q612" s="1425"/>
      <c r="R612" s="1425"/>
      <c r="U612" t="s">
        <v>17</v>
      </c>
      <c r="Z612" s="1458"/>
      <c r="AA612" s="1458"/>
      <c r="AB612" s="1458"/>
      <c r="AC612" s="1458"/>
      <c r="AD612" s="1458"/>
      <c r="AE612" s="1458"/>
      <c r="AF612" s="1458"/>
      <c r="AG612" s="1458"/>
      <c r="AH612" s="1458"/>
      <c r="AI612" s="1458"/>
      <c r="AJ612" s="1458"/>
      <c r="AK612" s="1458"/>
      <c r="AZ612" s="3"/>
      <c r="BA612" s="3"/>
      <c r="BB612" s="3"/>
      <c r="BC612" s="3"/>
    </row>
    <row r="613" spans="1:55" ht="12.95" customHeight="1">
      <c r="B613" t="s">
        <v>315</v>
      </c>
      <c r="G613" s="1459"/>
      <c r="H613" s="1459"/>
      <c r="I613" s="1459"/>
      <c r="J613" s="1459"/>
      <c r="K613" s="1459"/>
      <c r="L613" s="1459"/>
      <c r="O613" s="33" t="s">
        <v>205</v>
      </c>
      <c r="P613" s="1439"/>
      <c r="Q613" s="1439"/>
      <c r="R613" s="1439"/>
      <c r="U613" t="s">
        <v>315</v>
      </c>
      <c r="Z613" s="1459"/>
      <c r="AA613" s="1459"/>
      <c r="AB613" s="1459"/>
      <c r="AC613" s="1459"/>
      <c r="AD613" s="1459"/>
      <c r="AE613" s="1459"/>
      <c r="AH613" s="33" t="s">
        <v>205</v>
      </c>
      <c r="AI613" s="1439"/>
      <c r="AJ613" s="1439"/>
      <c r="AK613" s="1439"/>
      <c r="AZ613" s="3"/>
      <c r="BA613" s="3"/>
      <c r="BB613" s="3"/>
      <c r="BC613" s="3"/>
    </row>
    <row r="614" spans="1:55" ht="12.95" customHeight="1">
      <c r="B614" t="s">
        <v>18</v>
      </c>
      <c r="H614" s="1425"/>
      <c r="I614" s="1425"/>
      <c r="J614" s="1425"/>
      <c r="K614" s="1425"/>
      <c r="L614" s="1425"/>
      <c r="M614" s="1425"/>
      <c r="N614" s="1425"/>
      <c r="O614" s="1425"/>
      <c r="P614" s="1425"/>
      <c r="Q614" s="1425"/>
      <c r="R614" s="1425"/>
      <c r="U614" t="s">
        <v>18</v>
      </c>
      <c r="AA614" s="1425"/>
      <c r="AB614" s="1425"/>
      <c r="AC614" s="1425"/>
      <c r="AD614" s="1425"/>
      <c r="AE614" s="1425"/>
      <c r="AF614" s="1425"/>
      <c r="AG614" s="1425"/>
      <c r="AH614" s="1425"/>
      <c r="AI614" s="1425"/>
      <c r="AJ614" s="1425"/>
      <c r="AK614" s="1425"/>
      <c r="AU614" s="900"/>
      <c r="AV614" s="900"/>
      <c r="AW614" s="900"/>
      <c r="AX614" s="900"/>
      <c r="AY614" s="900"/>
      <c r="AZ614" s="3"/>
      <c r="BA614" s="3"/>
      <c r="BB614" s="3"/>
      <c r="BC614" s="3"/>
    </row>
    <row r="615" spans="1:55" ht="12.95" customHeight="1">
      <c r="B615" t="s">
        <v>20</v>
      </c>
      <c r="N615" s="1330" t="s">
        <v>669</v>
      </c>
      <c r="O615" s="1330"/>
      <c r="U615" t="s">
        <v>20</v>
      </c>
      <c r="AG615" s="1330" t="s">
        <v>669</v>
      </c>
      <c r="AH615" s="1330"/>
      <c r="AU615" s="900"/>
      <c r="AV615" s="900"/>
      <c r="AW615" s="900"/>
      <c r="AX615" s="900"/>
      <c r="AY615" s="900"/>
      <c r="AZ615" s="3"/>
      <c r="BA615" s="3"/>
      <c r="BB615" s="3"/>
      <c r="BC615" s="3"/>
    </row>
    <row r="616" spans="1:55" ht="12.95" customHeight="1">
      <c r="AZ616" s="3"/>
      <c r="BA616" s="3"/>
      <c r="BB616" s="3"/>
      <c r="BC616" s="3"/>
    </row>
    <row r="617" spans="1:55" ht="12.95" customHeight="1">
      <c r="A617" s="1258" t="s">
        <v>544</v>
      </c>
      <c r="B617" s="1258"/>
      <c r="C617" s="1258"/>
      <c r="D617" s="1258"/>
      <c r="E617" s="1258"/>
      <c r="F617" s="1258"/>
      <c r="G617" s="1258"/>
      <c r="H617" s="1258"/>
      <c r="I617" s="1258"/>
      <c r="J617" s="1258"/>
      <c r="K617" s="1258"/>
      <c r="L617" s="1258"/>
      <c r="M617" s="1258"/>
      <c r="N617" s="1258"/>
      <c r="O617" s="1258"/>
      <c r="P617" s="1258"/>
      <c r="Q617" s="1258"/>
      <c r="R617" s="1258"/>
      <c r="S617" s="1258"/>
      <c r="T617" s="1258"/>
      <c r="U617" s="1258"/>
      <c r="V617" s="1258"/>
      <c r="W617" s="1258"/>
      <c r="X617" s="1258"/>
      <c r="Y617" s="1258"/>
      <c r="Z617" s="1258"/>
      <c r="AA617" s="1258"/>
      <c r="AB617" s="1258"/>
      <c r="AC617" s="1258"/>
      <c r="AD617" s="1258"/>
      <c r="AE617" s="1258"/>
      <c r="AF617" s="1258"/>
      <c r="AG617" s="1258"/>
      <c r="AH617" s="1258"/>
      <c r="AI617" s="1258"/>
      <c r="AJ617" s="1258"/>
      <c r="AK617" s="1258"/>
      <c r="AL617" s="1258"/>
      <c r="AM617" s="1258"/>
      <c r="AN617" s="1258"/>
      <c r="AO617" s="1258"/>
      <c r="AP617" s="1258"/>
      <c r="AQ617" s="1258"/>
      <c r="AR617" s="1258"/>
      <c r="AS617" s="1258"/>
      <c r="AT617" s="1258"/>
      <c r="AZ617" s="3"/>
      <c r="BA617" s="3"/>
      <c r="BB617" s="3"/>
      <c r="BC617" s="3"/>
    </row>
    <row r="618" spans="1:55" ht="12.95" customHeight="1">
      <c r="A618" s="1258"/>
      <c r="B618" s="1258"/>
      <c r="C618" s="1258"/>
      <c r="D618" s="1258"/>
      <c r="E618" s="1258"/>
      <c r="F618" s="1258"/>
      <c r="G618" s="1258"/>
      <c r="H618" s="1258"/>
      <c r="I618" s="1258"/>
      <c r="J618" s="1258"/>
      <c r="K618" s="1258"/>
      <c r="L618" s="1258"/>
      <c r="M618" s="1258"/>
      <c r="N618" s="1258"/>
      <c r="O618" s="1258"/>
      <c r="P618" s="1258"/>
      <c r="Q618" s="1258"/>
      <c r="R618" s="1258"/>
      <c r="S618" s="1258"/>
      <c r="T618" s="1258"/>
      <c r="U618" s="1258"/>
      <c r="V618" s="1258"/>
      <c r="W618" s="1258"/>
      <c r="X618" s="1258"/>
      <c r="Y618" s="1258"/>
      <c r="Z618" s="1258"/>
      <c r="AA618" s="1258"/>
      <c r="AB618" s="1258"/>
      <c r="AC618" s="1258"/>
      <c r="AD618" s="1258"/>
      <c r="AE618" s="1258"/>
      <c r="AF618" s="1258"/>
      <c r="AG618" s="1258"/>
      <c r="AH618" s="1258"/>
      <c r="AI618" s="1258"/>
      <c r="AJ618" s="1258"/>
      <c r="AK618" s="1258"/>
      <c r="AL618" s="1258"/>
      <c r="AM618" s="1258"/>
      <c r="AN618" s="1258"/>
      <c r="AO618" s="1258"/>
      <c r="AP618" s="1258"/>
      <c r="AQ618" s="1258"/>
      <c r="AR618" s="1258"/>
      <c r="AS618" s="1258"/>
      <c r="AT618" s="1258"/>
      <c r="AZ618" s="3"/>
      <c r="BA618" s="3"/>
      <c r="BB618" s="3"/>
      <c r="BC618" s="3"/>
    </row>
    <row r="619" spans="1:55" ht="12.95" customHeight="1">
      <c r="AZ619" s="3"/>
      <c r="BA619" s="3"/>
      <c r="BB619" s="3"/>
      <c r="BC619" s="3"/>
    </row>
    <row r="620" spans="1:55" ht="12.95" customHeight="1">
      <c r="A620" s="2" t="s">
        <v>318</v>
      </c>
      <c r="B620" s="2"/>
      <c r="C620" s="2" t="s">
        <v>21</v>
      </c>
      <c r="AZ620" s="3"/>
      <c r="BA620" s="3"/>
      <c r="BB620" s="3"/>
      <c r="BC620" s="3"/>
    </row>
    <row r="621" spans="1:55" ht="12.95" customHeight="1">
      <c r="A621" s="2"/>
      <c r="B621" s="2"/>
      <c r="C621" s="2"/>
      <c r="AZ621" s="3"/>
      <c r="BA621" s="3"/>
      <c r="BB621" s="3"/>
      <c r="BC621" s="3"/>
    </row>
    <row r="622" spans="1:55" ht="12.95" customHeight="1">
      <c r="C622" s="2" t="s">
        <v>2101</v>
      </c>
      <c r="AZ622" s="3"/>
      <c r="BA622" s="3"/>
      <c r="BB622" s="3"/>
      <c r="BC622" s="3"/>
    </row>
    <row r="623" spans="1:55" ht="12.95" customHeight="1">
      <c r="B623" s="513"/>
      <c r="C623" s="2"/>
      <c r="AU623" s="3"/>
      <c r="AZ623" s="3"/>
      <c r="BA623" s="3"/>
      <c r="BB623" s="3"/>
      <c r="BC623" s="3"/>
    </row>
    <row r="624" spans="1:55" ht="12.95" customHeight="1">
      <c r="B624" s="1678" t="s">
        <v>2103</v>
      </c>
      <c r="C624" s="1678"/>
      <c r="D624" s="1678"/>
      <c r="E624" s="1678"/>
      <c r="F624" s="1678"/>
      <c r="G624" s="1678"/>
      <c r="H624" s="1678"/>
      <c r="I624" s="1678"/>
      <c r="J624" s="1678"/>
      <c r="K624" s="1678"/>
      <c r="L624" s="1678"/>
      <c r="M624" s="1444" t="s">
        <v>2104</v>
      </c>
      <c r="N624" s="1444"/>
      <c r="O624" s="1444"/>
      <c r="P624" s="1444"/>
      <c r="Q624" s="1444" t="s">
        <v>1852</v>
      </c>
      <c r="R624" s="1444"/>
      <c r="S624" s="1444"/>
      <c r="T624" s="1444" t="s">
        <v>1850</v>
      </c>
      <c r="U624" s="1444"/>
      <c r="V624" s="1444"/>
      <c r="W624" s="1731" t="s">
        <v>453</v>
      </c>
      <c r="X624" s="1731"/>
      <c r="Y624" s="1731"/>
      <c r="Z624" s="1433" t="s">
        <v>2133</v>
      </c>
      <c r="AA624" s="1433"/>
      <c r="AB624" s="1434"/>
      <c r="AC624" s="1695" t="s">
        <v>1675</v>
      </c>
      <c r="AD624" s="1696"/>
      <c r="AE624" s="1697"/>
      <c r="AF624" s="1672" t="s">
        <v>1930</v>
      </c>
      <c r="AG624" s="1433"/>
      <c r="AH624" s="1433"/>
      <c r="AI624" s="1433"/>
      <c r="AJ624" s="1434"/>
      <c r="AK624" s="1732" t="s">
        <v>1931</v>
      </c>
      <c r="AL624" s="1733"/>
      <c r="AM624" s="1733"/>
      <c r="AN624" s="1734"/>
      <c r="AO624" s="1444" t="s">
        <v>454</v>
      </c>
      <c r="AP624" s="1444"/>
      <c r="AQ624" s="1444"/>
      <c r="AR624" s="1444"/>
      <c r="AS624" s="1444"/>
      <c r="AU624" s="3"/>
      <c r="AZ624" s="3"/>
      <c r="BA624" s="3"/>
      <c r="BB624" s="3"/>
      <c r="BC624" s="3"/>
    </row>
    <row r="625" spans="2:157" ht="12.95" customHeight="1">
      <c r="B625" s="1678"/>
      <c r="C625" s="1678"/>
      <c r="D625" s="1678"/>
      <c r="E625" s="1678"/>
      <c r="F625" s="1678"/>
      <c r="G625" s="1678"/>
      <c r="H625" s="1678"/>
      <c r="I625" s="1678"/>
      <c r="J625" s="1678"/>
      <c r="K625" s="1678"/>
      <c r="L625" s="1678"/>
      <c r="M625" s="1444"/>
      <c r="N625" s="1444"/>
      <c r="O625" s="1444"/>
      <c r="P625" s="1444"/>
      <c r="Q625" s="1444"/>
      <c r="R625" s="1444"/>
      <c r="S625" s="1444"/>
      <c r="T625" s="1444"/>
      <c r="U625" s="1444"/>
      <c r="V625" s="1444"/>
      <c r="W625" s="1731"/>
      <c r="X625" s="1731"/>
      <c r="Y625" s="1731"/>
      <c r="Z625" s="1435"/>
      <c r="AA625" s="1435"/>
      <c r="AB625" s="1436"/>
      <c r="AC625" s="1698"/>
      <c r="AD625" s="1699"/>
      <c r="AE625" s="1700"/>
      <c r="AF625" s="1673"/>
      <c r="AG625" s="1435"/>
      <c r="AH625" s="1435"/>
      <c r="AI625" s="1435"/>
      <c r="AJ625" s="1436"/>
      <c r="AK625" s="1735"/>
      <c r="AL625" s="1736"/>
      <c r="AM625" s="1736"/>
      <c r="AN625" s="1737"/>
      <c r="AO625" s="1444"/>
      <c r="AP625" s="1444"/>
      <c r="AQ625" s="1444"/>
      <c r="AR625" s="1444"/>
      <c r="AS625" s="1444"/>
      <c r="AU625" s="3"/>
      <c r="AZ625" s="3"/>
      <c r="BA625" s="3"/>
      <c r="BB625" s="3"/>
      <c r="BC625" s="3"/>
      <c r="BD625" s="3"/>
    </row>
    <row r="626" spans="2:157" ht="12.95" customHeight="1">
      <c r="B626" s="1678"/>
      <c r="C626" s="1678"/>
      <c r="D626" s="1678"/>
      <c r="E626" s="1678"/>
      <c r="F626" s="1678"/>
      <c r="G626" s="1678"/>
      <c r="H626" s="1678"/>
      <c r="I626" s="1678"/>
      <c r="J626" s="1678"/>
      <c r="K626" s="1678"/>
      <c r="L626" s="1678"/>
      <c r="M626" s="1444"/>
      <c r="N626" s="1444"/>
      <c r="O626" s="1444"/>
      <c r="P626" s="1444"/>
      <c r="Q626" s="1444"/>
      <c r="R626" s="1444"/>
      <c r="S626" s="1444"/>
      <c r="T626" s="1444"/>
      <c r="U626" s="1444"/>
      <c r="V626" s="1444"/>
      <c r="W626" s="1731"/>
      <c r="X626" s="1731"/>
      <c r="Y626" s="1731"/>
      <c r="Z626" s="1437"/>
      <c r="AA626" s="1437"/>
      <c r="AB626" s="1438"/>
      <c r="AC626" s="1701"/>
      <c r="AD626" s="1702"/>
      <c r="AE626" s="1703"/>
      <c r="AF626" s="1674"/>
      <c r="AG626" s="1437"/>
      <c r="AH626" s="1437"/>
      <c r="AI626" s="1437"/>
      <c r="AJ626" s="1438"/>
      <c r="AK626" s="1738"/>
      <c r="AL626" s="1739"/>
      <c r="AM626" s="1739"/>
      <c r="AN626" s="1740"/>
      <c r="AO626" s="1444"/>
      <c r="AP626" s="1444"/>
      <c r="AQ626" s="1444"/>
      <c r="AR626" s="1444"/>
      <c r="AS626" s="1444"/>
      <c r="AT626" s="3"/>
      <c r="AU626" s="3"/>
      <c r="AZ626" s="3"/>
      <c r="BA626" s="3"/>
      <c r="BB626" s="3"/>
      <c r="BC626" s="3"/>
      <c r="BD626" s="3"/>
    </row>
    <row r="627" spans="2:157" ht="12.95" customHeight="1">
      <c r="B627" s="51" t="s">
        <v>112</v>
      </c>
      <c r="C627" s="1677" t="s">
        <v>2720</v>
      </c>
      <c r="D627" s="1677"/>
      <c r="E627" s="1677"/>
      <c r="F627" s="1677"/>
      <c r="G627" s="1677"/>
      <c r="H627" s="1677"/>
      <c r="I627" s="1677"/>
      <c r="J627" s="1677"/>
      <c r="K627" s="1677"/>
      <c r="L627" s="1677"/>
      <c r="M627" s="1445" t="s">
        <v>2123</v>
      </c>
      <c r="N627" s="1445"/>
      <c r="O627" s="1445"/>
      <c r="P627" s="1445"/>
      <c r="Q627" s="1427">
        <v>1188</v>
      </c>
      <c r="R627" s="1427"/>
      <c r="S627" s="1428"/>
      <c r="T627" s="1426"/>
      <c r="U627" s="1427"/>
      <c r="V627" s="1428"/>
      <c r="W627" s="1440">
        <v>5.3600000000000002E-2</v>
      </c>
      <c r="X627" s="1441"/>
      <c r="Y627" s="1442"/>
      <c r="Z627" s="1498" t="s">
        <v>2132</v>
      </c>
      <c r="AA627" s="1499"/>
      <c r="AB627" s="1500"/>
      <c r="AC627" s="1446">
        <v>1</v>
      </c>
      <c r="AD627" s="1447"/>
      <c r="AE627" s="1448"/>
      <c r="AF627" s="1460">
        <v>0</v>
      </c>
      <c r="AG627" s="1461"/>
      <c r="AH627" s="1461"/>
      <c r="AI627" s="1461"/>
      <c r="AJ627" s="1462"/>
      <c r="AK627" s="1429">
        <v>0</v>
      </c>
      <c r="AL627" s="1430"/>
      <c r="AM627" s="1430"/>
      <c r="AN627" s="1431"/>
      <c r="AO627" s="1501">
        <v>20500000</v>
      </c>
      <c r="AP627" s="1501"/>
      <c r="AQ627" s="1501"/>
      <c r="AR627" s="1501"/>
      <c r="AS627" s="1501"/>
      <c r="AT627" s="3"/>
      <c r="AU627" s="3"/>
      <c r="AZ627" s="3"/>
      <c r="BA627" s="3"/>
      <c r="BB627" s="3"/>
      <c r="BC627" s="3"/>
      <c r="BD627" s="3"/>
    </row>
    <row r="628" spans="2:157" ht="12.95" customHeight="1">
      <c r="B628" s="52" t="s">
        <v>113</v>
      </c>
      <c r="C628" s="1677" t="s">
        <v>2719</v>
      </c>
      <c r="D628" s="1677"/>
      <c r="E628" s="1677"/>
      <c r="F628" s="1677"/>
      <c r="G628" s="1677"/>
      <c r="H628" s="1677"/>
      <c r="I628" s="1677"/>
      <c r="J628" s="1677"/>
      <c r="K628" s="1677"/>
      <c r="L628" s="1677"/>
      <c r="M628" s="1445" t="s">
        <v>2120</v>
      </c>
      <c r="N628" s="1445"/>
      <c r="O628" s="1445"/>
      <c r="P628" s="1445"/>
      <c r="Q628" s="1426">
        <f>18*12</f>
        <v>216</v>
      </c>
      <c r="R628" s="1427"/>
      <c r="S628" s="1428"/>
      <c r="T628" s="1426">
        <f>40*12</f>
        <v>480</v>
      </c>
      <c r="U628" s="1427"/>
      <c r="V628" s="1428"/>
      <c r="W628" s="1440">
        <v>7.0000000000000007E-2</v>
      </c>
      <c r="X628" s="1441"/>
      <c r="Y628" s="1442"/>
      <c r="Z628" s="1498" t="s">
        <v>2132</v>
      </c>
      <c r="AA628" s="1499"/>
      <c r="AB628" s="1500"/>
      <c r="AC628" s="1446">
        <v>2</v>
      </c>
      <c r="AD628" s="1447"/>
      <c r="AE628" s="1448"/>
      <c r="AF628" s="1460">
        <v>1718593</v>
      </c>
      <c r="AG628" s="1461"/>
      <c r="AH628" s="1461"/>
      <c r="AI628" s="1461"/>
      <c r="AJ628" s="1462"/>
      <c r="AK628" s="1429">
        <v>0</v>
      </c>
      <c r="AL628" s="1430"/>
      <c r="AM628" s="1430"/>
      <c r="AN628" s="1431"/>
      <c r="AO628" s="1455">
        <v>23046170</v>
      </c>
      <c r="AP628" s="1456"/>
      <c r="AQ628" s="1456"/>
      <c r="AR628" s="1456"/>
      <c r="AS628" s="1457"/>
      <c r="AT628" s="1150" t="str">
        <f>IF(AND(NOT(C627=""),C628="",NOT(C629="")),"!","")</f>
        <v/>
      </c>
      <c r="AU628" s="3"/>
      <c r="AZ628" s="3"/>
      <c r="BA628" s="3"/>
      <c r="BB628" s="3"/>
      <c r="BC628" s="3"/>
      <c r="BD628" s="3"/>
    </row>
    <row r="629" spans="2:157" ht="12.95" customHeight="1">
      <c r="B629" s="52" t="s">
        <v>119</v>
      </c>
      <c r="C629" s="1677" t="s">
        <v>2700</v>
      </c>
      <c r="D629" s="1677"/>
      <c r="E629" s="1677"/>
      <c r="F629" s="1677"/>
      <c r="G629" s="1677"/>
      <c r="H629" s="1677"/>
      <c r="I629" s="1677"/>
      <c r="J629" s="1677"/>
      <c r="K629" s="1677"/>
      <c r="L629" s="1677"/>
      <c r="M629" s="1445" t="s">
        <v>2118</v>
      </c>
      <c r="N629" s="1445"/>
      <c r="O629" s="1445"/>
      <c r="P629" s="1445"/>
      <c r="Q629" s="1426">
        <v>660</v>
      </c>
      <c r="R629" s="1427"/>
      <c r="S629" s="1428"/>
      <c r="T629" s="1426"/>
      <c r="U629" s="1427"/>
      <c r="V629" s="1428"/>
      <c r="W629" s="1440">
        <v>0.08</v>
      </c>
      <c r="X629" s="1441"/>
      <c r="Y629" s="1442"/>
      <c r="Z629" s="1498" t="s">
        <v>457</v>
      </c>
      <c r="AA629" s="1499"/>
      <c r="AB629" s="1500"/>
      <c r="AC629" s="1446">
        <v>3</v>
      </c>
      <c r="AD629" s="1447"/>
      <c r="AE629" s="1448"/>
      <c r="AF629" s="1460">
        <v>0</v>
      </c>
      <c r="AG629" s="1461"/>
      <c r="AH629" s="1461"/>
      <c r="AI629" s="1461"/>
      <c r="AJ629" s="1462"/>
      <c r="AK629" s="1429">
        <v>0</v>
      </c>
      <c r="AL629" s="1430"/>
      <c r="AM629" s="1430"/>
      <c r="AN629" s="1431"/>
      <c r="AO629" s="1455">
        <v>2509235</v>
      </c>
      <c r="AP629" s="1456"/>
      <c r="AQ629" s="1456"/>
      <c r="AR629" s="1456"/>
      <c r="AS629" s="1457"/>
      <c r="AT629" s="1150" t="str">
        <f t="shared" ref="AT629:AT638" si="1">IF(AND(NOT(C628=""),C629="",NOT(C630="")),"!","")</f>
        <v/>
      </c>
      <c r="AU629" s="3"/>
      <c r="AZ629" s="3"/>
      <c r="BA629" s="3"/>
      <c r="BB629" s="3"/>
      <c r="BC629" s="3"/>
      <c r="BD629" s="3"/>
    </row>
    <row r="630" spans="2:157" ht="12.95" customHeight="1">
      <c r="B630" s="52" t="s">
        <v>581</v>
      </c>
      <c r="C630" s="1432" t="s">
        <v>2701</v>
      </c>
      <c r="D630" s="1432"/>
      <c r="E630" s="1432"/>
      <c r="F630" s="1432"/>
      <c r="G630" s="1432"/>
      <c r="H630" s="1432"/>
      <c r="I630" s="1432"/>
      <c r="J630" s="1432"/>
      <c r="K630" s="1432"/>
      <c r="L630" s="1432"/>
      <c r="M630" s="1445" t="s">
        <v>2122</v>
      </c>
      <c r="N630" s="1445"/>
      <c r="O630" s="1445"/>
      <c r="P630" s="1445"/>
      <c r="Q630" s="1426"/>
      <c r="R630" s="1427"/>
      <c r="S630" s="1428"/>
      <c r="T630" s="1426"/>
      <c r="U630" s="1427"/>
      <c r="V630" s="1428"/>
      <c r="W630" s="1440"/>
      <c r="X630" s="1441"/>
      <c r="Y630" s="1442"/>
      <c r="Z630" s="1498" t="s">
        <v>1183</v>
      </c>
      <c r="AA630" s="1499"/>
      <c r="AB630" s="1500"/>
      <c r="AC630" s="1446"/>
      <c r="AD630" s="1447"/>
      <c r="AE630" s="1448"/>
      <c r="AF630" s="1460">
        <v>0</v>
      </c>
      <c r="AG630" s="1461"/>
      <c r="AH630" s="1461"/>
      <c r="AI630" s="1461"/>
      <c r="AJ630" s="1462"/>
      <c r="AK630" s="1429">
        <v>0</v>
      </c>
      <c r="AL630" s="1430"/>
      <c r="AM630" s="1430"/>
      <c r="AN630" s="1431"/>
      <c r="AO630" s="1455">
        <v>233986</v>
      </c>
      <c r="AP630" s="1456"/>
      <c r="AQ630" s="1456"/>
      <c r="AR630" s="1456"/>
      <c r="AS630" s="1457"/>
      <c r="AT630" s="1150" t="str">
        <f t="shared" si="1"/>
        <v/>
      </c>
      <c r="AU630" s="3"/>
      <c r="AZ630" s="3"/>
      <c r="BA630" s="3"/>
      <c r="BB630" s="3"/>
      <c r="BC630" s="3"/>
      <c r="BD630" s="3"/>
    </row>
    <row r="631" spans="2:157" ht="12.95" customHeight="1">
      <c r="B631" s="52" t="s">
        <v>763</v>
      </c>
      <c r="C631" s="1432" t="s">
        <v>2323</v>
      </c>
      <c r="D631" s="1432"/>
      <c r="E631" s="1432"/>
      <c r="F631" s="1432"/>
      <c r="G631" s="1432"/>
      <c r="H631" s="1432"/>
      <c r="I631" s="1432"/>
      <c r="J631" s="1432"/>
      <c r="K631" s="1432"/>
      <c r="L631" s="1432"/>
      <c r="M631" s="1445" t="s">
        <v>2107</v>
      </c>
      <c r="N631" s="1445"/>
      <c r="O631" s="1445"/>
      <c r="P631" s="1445"/>
      <c r="Q631" s="1426"/>
      <c r="R631" s="1427"/>
      <c r="S631" s="1428"/>
      <c r="T631" s="1426"/>
      <c r="U631" s="1427"/>
      <c r="V631" s="1428"/>
      <c r="W631" s="1440"/>
      <c r="X631" s="1441"/>
      <c r="Y631" s="1442"/>
      <c r="Z631" s="1498" t="s">
        <v>1183</v>
      </c>
      <c r="AA631" s="1499"/>
      <c r="AB631" s="1500"/>
      <c r="AC631" s="1446"/>
      <c r="AD631" s="1447"/>
      <c r="AE631" s="1448"/>
      <c r="AF631" s="1460">
        <v>0</v>
      </c>
      <c r="AG631" s="1461"/>
      <c r="AH631" s="1461"/>
      <c r="AI631" s="1461"/>
      <c r="AJ631" s="1462"/>
      <c r="AK631" s="1429">
        <v>0</v>
      </c>
      <c r="AL631" s="1430"/>
      <c r="AM631" s="1430"/>
      <c r="AN631" s="1431"/>
      <c r="AO631" s="1455">
        <v>5525152</v>
      </c>
      <c r="AP631" s="1456"/>
      <c r="AQ631" s="1456"/>
      <c r="AR631" s="1456"/>
      <c r="AS631" s="1457"/>
      <c r="AT631" s="1150" t="str">
        <f t="shared" si="1"/>
        <v/>
      </c>
      <c r="AU631" s="3"/>
      <c r="AZ631" s="3"/>
      <c r="BA631" s="3"/>
      <c r="BB631" s="3"/>
      <c r="BC631" s="3"/>
      <c r="BD631" s="3"/>
    </row>
    <row r="632" spans="2:157" ht="12.95" customHeight="1">
      <c r="B632" s="52" t="s">
        <v>584</v>
      </c>
      <c r="C632" s="1432"/>
      <c r="D632" s="1432"/>
      <c r="E632" s="1432"/>
      <c r="F632" s="1432"/>
      <c r="G632" s="1432"/>
      <c r="H632" s="1432"/>
      <c r="I632" s="1432"/>
      <c r="J632" s="1432"/>
      <c r="K632" s="1432"/>
      <c r="L632" s="1432"/>
      <c r="M632" s="1445" t="s">
        <v>1183</v>
      </c>
      <c r="N632" s="1445"/>
      <c r="O632" s="1445"/>
      <c r="P632" s="1445"/>
      <c r="Q632" s="1426"/>
      <c r="R632" s="1427"/>
      <c r="S632" s="1428"/>
      <c r="T632" s="1426"/>
      <c r="U632" s="1427"/>
      <c r="V632" s="1428"/>
      <c r="W632" s="1440"/>
      <c r="X632" s="1441"/>
      <c r="Y632" s="1442"/>
      <c r="Z632" s="1498" t="s">
        <v>1183</v>
      </c>
      <c r="AA632" s="1499"/>
      <c r="AB632" s="1500"/>
      <c r="AC632" s="1446"/>
      <c r="AD632" s="1447"/>
      <c r="AE632" s="1448"/>
      <c r="AF632" s="1460"/>
      <c r="AG632" s="1461"/>
      <c r="AH632" s="1461"/>
      <c r="AI632" s="1461"/>
      <c r="AJ632" s="1462"/>
      <c r="AK632" s="1429"/>
      <c r="AL632" s="1430"/>
      <c r="AM632" s="1430"/>
      <c r="AN632" s="1431"/>
      <c r="AO632" s="1455"/>
      <c r="AP632" s="1456"/>
      <c r="AQ632" s="1456"/>
      <c r="AR632" s="1456"/>
      <c r="AS632" s="1457"/>
      <c r="AT632" s="1150" t="str">
        <f t="shared" si="1"/>
        <v/>
      </c>
      <c r="AU632" s="3"/>
      <c r="AZ632" s="3"/>
      <c r="BA632" s="3"/>
      <c r="BB632" s="3"/>
      <c r="BC632" s="3"/>
      <c r="BD632" s="3"/>
    </row>
    <row r="633" spans="2:157" ht="12.95" customHeight="1">
      <c r="B633" s="52" t="s">
        <v>455</v>
      </c>
      <c r="C633" s="1432"/>
      <c r="D633" s="1432"/>
      <c r="E633" s="1432"/>
      <c r="F633" s="1432"/>
      <c r="G633" s="1432"/>
      <c r="H633" s="1432"/>
      <c r="I633" s="1432"/>
      <c r="J633" s="1432"/>
      <c r="K633" s="1432"/>
      <c r="L633" s="1432"/>
      <c r="M633" s="1445" t="s">
        <v>1183</v>
      </c>
      <c r="N633" s="1445"/>
      <c r="O633" s="1445"/>
      <c r="P633" s="1445"/>
      <c r="Q633" s="1426"/>
      <c r="R633" s="1427"/>
      <c r="S633" s="1428"/>
      <c r="T633" s="1426"/>
      <c r="U633" s="1427"/>
      <c r="V633" s="1428"/>
      <c r="W633" s="1440"/>
      <c r="X633" s="1441"/>
      <c r="Y633" s="1442"/>
      <c r="Z633" s="1498" t="s">
        <v>1183</v>
      </c>
      <c r="AA633" s="1499"/>
      <c r="AB633" s="1500"/>
      <c r="AC633" s="1446"/>
      <c r="AD633" s="1447"/>
      <c r="AE633" s="1448"/>
      <c r="AF633" s="1460"/>
      <c r="AG633" s="1461"/>
      <c r="AH633" s="1461"/>
      <c r="AI633" s="1461"/>
      <c r="AJ633" s="1462"/>
      <c r="AK633" s="1429"/>
      <c r="AL633" s="1430"/>
      <c r="AM633" s="1430"/>
      <c r="AN633" s="1431"/>
      <c r="AO633" s="1455"/>
      <c r="AP633" s="1456"/>
      <c r="AQ633" s="1456"/>
      <c r="AR633" s="1456"/>
      <c r="AS633" s="1457"/>
      <c r="AT633" s="1150" t="str">
        <f t="shared" si="1"/>
        <v/>
      </c>
      <c r="AU633" s="3"/>
      <c r="AV633" s="3"/>
      <c r="AW633" s="3"/>
      <c r="AX633" s="3"/>
      <c r="AY633" s="3"/>
      <c r="AZ633" s="3"/>
      <c r="BA633" s="3"/>
      <c r="BB633" s="3"/>
      <c r="BC633" s="3"/>
      <c r="BD633" s="3"/>
    </row>
    <row r="634" spans="2:157" ht="12.95" customHeight="1">
      <c r="B634" s="52" t="s">
        <v>456</v>
      </c>
      <c r="C634" s="1432"/>
      <c r="D634" s="1432"/>
      <c r="E634" s="1432"/>
      <c r="F634" s="1432"/>
      <c r="G634" s="1432"/>
      <c r="H634" s="1432"/>
      <c r="I634" s="1432"/>
      <c r="J634" s="1432"/>
      <c r="K634" s="1432"/>
      <c r="L634" s="1432"/>
      <c r="M634" s="1445" t="s">
        <v>1183</v>
      </c>
      <c r="N634" s="1445"/>
      <c r="O634" s="1445"/>
      <c r="P634" s="1445"/>
      <c r="Q634" s="1426"/>
      <c r="R634" s="1427"/>
      <c r="S634" s="1428"/>
      <c r="T634" s="1426"/>
      <c r="U634" s="1427"/>
      <c r="V634" s="1428"/>
      <c r="W634" s="1440"/>
      <c r="X634" s="1441"/>
      <c r="Y634" s="1442"/>
      <c r="Z634" s="1498" t="s">
        <v>1183</v>
      </c>
      <c r="AA634" s="1499"/>
      <c r="AB634" s="1500"/>
      <c r="AC634" s="1446"/>
      <c r="AD634" s="1447"/>
      <c r="AE634" s="1448"/>
      <c r="AF634" s="1460"/>
      <c r="AG634" s="1461"/>
      <c r="AH634" s="1461"/>
      <c r="AI634" s="1461"/>
      <c r="AJ634" s="1462"/>
      <c r="AK634" s="1429"/>
      <c r="AL634" s="1430"/>
      <c r="AM634" s="1430"/>
      <c r="AN634" s="1431"/>
      <c r="AO634" s="1455"/>
      <c r="AP634" s="1456"/>
      <c r="AQ634" s="1456"/>
      <c r="AR634" s="1456"/>
      <c r="AS634" s="1457"/>
      <c r="AT634" s="1150" t="str">
        <f t="shared" si="1"/>
        <v/>
      </c>
      <c r="AU634" s="3"/>
      <c r="AV634" s="3"/>
      <c r="AW634" s="3"/>
      <c r="AX634" s="3"/>
      <c r="AY634" s="3"/>
      <c r="AZ634" s="3"/>
      <c r="BA634" s="3" t="s">
        <v>1183</v>
      </c>
      <c r="BB634" s="3"/>
      <c r="BC634" s="3"/>
      <c r="BD634" s="3"/>
    </row>
    <row r="635" spans="2:157" ht="12.95" customHeight="1">
      <c r="B635" s="52" t="s">
        <v>461</v>
      </c>
      <c r="C635" s="1432"/>
      <c r="D635" s="1432"/>
      <c r="E635" s="1432"/>
      <c r="F635" s="1432"/>
      <c r="G635" s="1432"/>
      <c r="H635" s="1432"/>
      <c r="I635" s="1432"/>
      <c r="J635" s="1432"/>
      <c r="K635" s="1432"/>
      <c r="L635" s="1432"/>
      <c r="M635" s="1445" t="s">
        <v>1183</v>
      </c>
      <c r="N635" s="1445"/>
      <c r="O635" s="1445"/>
      <c r="P635" s="1445"/>
      <c r="Q635" s="1426"/>
      <c r="R635" s="1427"/>
      <c r="S635" s="1428"/>
      <c r="T635" s="1426"/>
      <c r="U635" s="1427"/>
      <c r="V635" s="1428"/>
      <c r="W635" s="1440"/>
      <c r="X635" s="1441"/>
      <c r="Y635" s="1442"/>
      <c r="Z635" s="1498" t="s">
        <v>1183</v>
      </c>
      <c r="AA635" s="1499"/>
      <c r="AB635" s="1500"/>
      <c r="AC635" s="1446"/>
      <c r="AD635" s="1447"/>
      <c r="AE635" s="1448"/>
      <c r="AF635" s="1460"/>
      <c r="AG635" s="1461"/>
      <c r="AH635" s="1461"/>
      <c r="AI635" s="1461"/>
      <c r="AJ635" s="1462"/>
      <c r="AK635" s="1429"/>
      <c r="AL635" s="1430"/>
      <c r="AM635" s="1430"/>
      <c r="AN635" s="1431"/>
      <c r="AO635" s="1455"/>
      <c r="AP635" s="1456"/>
      <c r="AQ635" s="1456"/>
      <c r="AR635" s="1456"/>
      <c r="AS635" s="1457"/>
      <c r="AT635" s="1150" t="str">
        <f t="shared" si="1"/>
        <v/>
      </c>
      <c r="AU635" s="3"/>
      <c r="AV635" s="3"/>
      <c r="AW635" s="3"/>
      <c r="AX635" s="3"/>
      <c r="AY635" s="3"/>
      <c r="AZ635" s="34"/>
      <c r="BA635" s="3" t="s">
        <v>458</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466">
        <f t="shared" ref="DX635:DX669" si="2">EZ718*(CP718/$CP$753)</f>
        <v>172.99009900990097</v>
      </c>
      <c r="DY635" s="1466"/>
      <c r="DZ635" s="1466"/>
      <c r="EA635" s="1466"/>
      <c r="EB635" s="1466"/>
      <c r="EC635" s="1466" t="e">
        <f t="shared" ref="EC635:EC669" si="3">FE718*(CU718/$CU$753)</f>
        <v>#VALUE!</v>
      </c>
      <c r="ED635" s="1466"/>
      <c r="EE635" s="1466"/>
      <c r="EF635" s="1466"/>
      <c r="EG635" s="1466"/>
      <c r="EH635" s="1466" t="e">
        <f t="shared" ref="EH635:EH669" si="4">FJ718*(CZ718/$CZ$753)</f>
        <v>#VALUE!</v>
      </c>
      <c r="EI635" s="1466"/>
      <c r="EJ635" s="1466"/>
      <c r="EK635" s="1466"/>
      <c r="EL635" s="1466"/>
      <c r="EM635" s="1466" t="e">
        <f t="shared" ref="EM635:EM669" si="5">FO718*(DE718/$DE$753)</f>
        <v>#VALUE!</v>
      </c>
      <c r="EN635" s="1466"/>
      <c r="EO635" s="1466"/>
      <c r="EP635" s="1466"/>
      <c r="EQ635" s="1466"/>
      <c r="ER635" s="1466" t="e">
        <f t="shared" ref="ER635:ER669" si="6">FT718*(DJ718/$DJ$753)</f>
        <v>#VALUE!</v>
      </c>
      <c r="ES635" s="1466"/>
      <c r="ET635" s="1466"/>
      <c r="EU635" s="1466"/>
      <c r="EV635" s="1466"/>
      <c r="EW635" s="1466" t="e">
        <f t="shared" ref="EW635:EW669" si="7">FY718*(DO718/$DO$753)</f>
        <v>#VALUE!</v>
      </c>
      <c r="EX635" s="1466"/>
      <c r="EY635" s="1466"/>
      <c r="EZ635" s="1466"/>
      <c r="FA635" s="1466"/>
    </row>
    <row r="636" spans="2:157" ht="12.95" customHeight="1">
      <c r="B636" s="52" t="s">
        <v>646</v>
      </c>
      <c r="C636" s="1432"/>
      <c r="D636" s="1432"/>
      <c r="E636" s="1432"/>
      <c r="F636" s="1432"/>
      <c r="G636" s="1432"/>
      <c r="H636" s="1432"/>
      <c r="I636" s="1432"/>
      <c r="J636" s="1432"/>
      <c r="K636" s="1432"/>
      <c r="L636" s="1432"/>
      <c r="M636" s="1445" t="s">
        <v>1183</v>
      </c>
      <c r="N636" s="1445"/>
      <c r="O636" s="1445"/>
      <c r="P636" s="1445"/>
      <c r="Q636" s="1426"/>
      <c r="R636" s="1427"/>
      <c r="S636" s="1428"/>
      <c r="T636" s="1426"/>
      <c r="U636" s="1427"/>
      <c r="V636" s="1428"/>
      <c r="W636" s="1440"/>
      <c r="X636" s="1441"/>
      <c r="Y636" s="1442"/>
      <c r="Z636" s="1498" t="s">
        <v>1183</v>
      </c>
      <c r="AA636" s="1499"/>
      <c r="AB636" s="1500"/>
      <c r="AC636" s="1446"/>
      <c r="AD636" s="1447"/>
      <c r="AE636" s="1448"/>
      <c r="AF636" s="1460"/>
      <c r="AG636" s="1461"/>
      <c r="AH636" s="1461"/>
      <c r="AI636" s="1461"/>
      <c r="AJ636" s="1462"/>
      <c r="AK636" s="1429"/>
      <c r="AL636" s="1430"/>
      <c r="AM636" s="1430"/>
      <c r="AN636" s="1431"/>
      <c r="AO636" s="1455"/>
      <c r="AP636" s="1456"/>
      <c r="AQ636" s="1456"/>
      <c r="AR636" s="1456"/>
      <c r="AS636" s="1457"/>
      <c r="AT636" s="1150" t="str">
        <f t="shared" si="1"/>
        <v/>
      </c>
      <c r="AV636" s="3"/>
      <c r="AW636" s="3"/>
      <c r="AX636" s="3"/>
      <c r="AY636" s="3"/>
      <c r="AZ636" s="34"/>
      <c r="BA636" s="3" t="s">
        <v>457</v>
      </c>
      <c r="BB636" s="34"/>
      <c r="BC636" s="34"/>
      <c r="BD636" s="34"/>
      <c r="BE636" s="34"/>
      <c r="BF636" s="34"/>
      <c r="BG636" s="34"/>
      <c r="BH636" s="34"/>
      <c r="BI636" s="34"/>
      <c r="BJ636" s="34"/>
      <c r="BK636" s="34"/>
      <c r="BL636" s="34"/>
      <c r="BM636" s="34"/>
      <c r="DA636" s="3"/>
      <c r="DB636" s="3"/>
      <c r="DC636" s="3"/>
      <c r="DD636" s="3"/>
      <c r="DE636" s="3"/>
      <c r="DF636" s="3"/>
      <c r="DX636" s="1466">
        <f t="shared" si="2"/>
        <v>288.23762376237624</v>
      </c>
      <c r="DY636" s="1466"/>
      <c r="DZ636" s="1466"/>
      <c r="EA636" s="1466"/>
      <c r="EB636" s="1466"/>
      <c r="EC636" s="1466" t="e">
        <f t="shared" si="3"/>
        <v>#VALUE!</v>
      </c>
      <c r="ED636" s="1466"/>
      <c r="EE636" s="1466"/>
      <c r="EF636" s="1466"/>
      <c r="EG636" s="1466"/>
      <c r="EH636" s="1466" t="e">
        <f t="shared" si="4"/>
        <v>#VALUE!</v>
      </c>
      <c r="EI636" s="1466"/>
      <c r="EJ636" s="1466"/>
      <c r="EK636" s="1466"/>
      <c r="EL636" s="1466"/>
      <c r="EM636" s="1466" t="e">
        <f t="shared" si="5"/>
        <v>#VALUE!</v>
      </c>
      <c r="EN636" s="1466"/>
      <c r="EO636" s="1466"/>
      <c r="EP636" s="1466"/>
      <c r="EQ636" s="1466"/>
      <c r="ER636" s="1466" t="e">
        <f t="shared" si="6"/>
        <v>#VALUE!</v>
      </c>
      <c r="ES636" s="1466"/>
      <c r="ET636" s="1466"/>
      <c r="EU636" s="1466"/>
      <c r="EV636" s="1466"/>
      <c r="EW636" s="1466" t="e">
        <f t="shared" si="7"/>
        <v>#VALUE!</v>
      </c>
      <c r="EX636" s="1466"/>
      <c r="EY636" s="1466"/>
      <c r="EZ636" s="1466"/>
      <c r="FA636" s="1466"/>
    </row>
    <row r="637" spans="2:157" ht="12.95" customHeight="1">
      <c r="B637" s="52" t="s">
        <v>361</v>
      </c>
      <c r="C637" s="1432"/>
      <c r="D637" s="1432"/>
      <c r="E637" s="1432"/>
      <c r="F637" s="1432"/>
      <c r="G637" s="1432"/>
      <c r="H637" s="1432"/>
      <c r="I637" s="1432"/>
      <c r="J637" s="1432"/>
      <c r="K637" s="1432"/>
      <c r="L637" s="1432"/>
      <c r="M637" s="1445" t="s">
        <v>1183</v>
      </c>
      <c r="N637" s="1445"/>
      <c r="O637" s="1445"/>
      <c r="P637" s="1445"/>
      <c r="Q637" s="1426"/>
      <c r="R637" s="1427"/>
      <c r="S637" s="1428"/>
      <c r="T637" s="1426"/>
      <c r="U637" s="1427"/>
      <c r="V637" s="1428"/>
      <c r="W637" s="1440"/>
      <c r="X637" s="1441"/>
      <c r="Y637" s="1442"/>
      <c r="Z637" s="1498" t="s">
        <v>1183</v>
      </c>
      <c r="AA637" s="1499"/>
      <c r="AB637" s="1500"/>
      <c r="AC637" s="1446"/>
      <c r="AD637" s="1447"/>
      <c r="AE637" s="1448"/>
      <c r="AF637" s="1460"/>
      <c r="AG637" s="1461"/>
      <c r="AH637" s="1461"/>
      <c r="AI637" s="1461"/>
      <c r="AJ637" s="1462"/>
      <c r="AK637" s="1429"/>
      <c r="AL637" s="1430"/>
      <c r="AM637" s="1430"/>
      <c r="AN637" s="1431"/>
      <c r="AO637" s="1455"/>
      <c r="AP637" s="1456"/>
      <c r="AQ637" s="1456"/>
      <c r="AR637" s="1456"/>
      <c r="AS637" s="1457"/>
      <c r="AT637" s="1150" t="str">
        <f t="shared" si="1"/>
        <v/>
      </c>
      <c r="AV637" s="3"/>
      <c r="AW637" s="3"/>
      <c r="AX637" s="3"/>
      <c r="AY637" s="3"/>
      <c r="AZ637" s="34"/>
      <c r="BA637" s="3" t="s">
        <v>2132</v>
      </c>
      <c r="BB637" s="34"/>
      <c r="BC637" s="34"/>
      <c r="BD637" s="34"/>
      <c r="BE637" s="34"/>
      <c r="BF637" s="34"/>
      <c r="BG637" s="34"/>
      <c r="BH637" s="34"/>
      <c r="BI637" s="34"/>
      <c r="BJ637" s="34"/>
      <c r="BK637" s="34"/>
      <c r="BL637" s="34"/>
      <c r="BM637" s="34"/>
      <c r="DA637" s="3"/>
      <c r="DB637" s="3"/>
      <c r="DC637" s="3"/>
      <c r="DD637" s="3"/>
      <c r="DE637" s="3"/>
      <c r="DF637" s="3"/>
      <c r="DX637" s="1466">
        <f t="shared" si="2"/>
        <v>764.03960396039611</v>
      </c>
      <c r="DY637" s="1466"/>
      <c r="DZ637" s="1466"/>
      <c r="EA637" s="1466"/>
      <c r="EB637" s="1466"/>
      <c r="EC637" s="1466" t="e">
        <f t="shared" si="3"/>
        <v>#VALUE!</v>
      </c>
      <c r="ED637" s="1466"/>
      <c r="EE637" s="1466"/>
      <c r="EF637" s="1466"/>
      <c r="EG637" s="1466"/>
      <c r="EH637" s="1466" t="e">
        <f t="shared" si="4"/>
        <v>#VALUE!</v>
      </c>
      <c r="EI637" s="1466"/>
      <c r="EJ637" s="1466"/>
      <c r="EK637" s="1466"/>
      <c r="EL637" s="1466"/>
      <c r="EM637" s="1466" t="e">
        <f t="shared" si="5"/>
        <v>#VALUE!</v>
      </c>
      <c r="EN637" s="1466"/>
      <c r="EO637" s="1466"/>
      <c r="EP637" s="1466"/>
      <c r="EQ637" s="1466"/>
      <c r="ER637" s="1466" t="e">
        <f t="shared" si="6"/>
        <v>#VALUE!</v>
      </c>
      <c r="ES637" s="1466"/>
      <c r="ET637" s="1466"/>
      <c r="EU637" s="1466"/>
      <c r="EV637" s="1466"/>
      <c r="EW637" s="1466" t="e">
        <f t="shared" si="7"/>
        <v>#VALUE!</v>
      </c>
      <c r="EX637" s="1466"/>
      <c r="EY637" s="1466"/>
      <c r="EZ637" s="1466"/>
      <c r="FA637" s="1466"/>
    </row>
    <row r="638" spans="2:157" ht="12.95" customHeight="1">
      <c r="B638" s="52" t="s">
        <v>362</v>
      </c>
      <c r="C638" s="1432"/>
      <c r="D638" s="1432"/>
      <c r="E638" s="1432"/>
      <c r="F638" s="1432"/>
      <c r="G638" s="1432"/>
      <c r="H638" s="1432"/>
      <c r="I638" s="1432"/>
      <c r="J638" s="1432"/>
      <c r="K638" s="1432"/>
      <c r="L638" s="1432"/>
      <c r="M638" s="1445" t="s">
        <v>1183</v>
      </c>
      <c r="N638" s="1445"/>
      <c r="O638" s="1445"/>
      <c r="P638" s="1445"/>
      <c r="Q638" s="1426"/>
      <c r="R638" s="1427"/>
      <c r="S638" s="1428"/>
      <c r="T638" s="1426"/>
      <c r="U638" s="1427"/>
      <c r="V638" s="1428"/>
      <c r="W638" s="1440"/>
      <c r="X638" s="1441"/>
      <c r="Y638" s="1442"/>
      <c r="Z638" s="1498" t="s">
        <v>1183</v>
      </c>
      <c r="AA638" s="1499"/>
      <c r="AB638" s="1500"/>
      <c r="AC638" s="1446"/>
      <c r="AD638" s="1447"/>
      <c r="AE638" s="1448"/>
      <c r="AF638" s="1460"/>
      <c r="AG638" s="1461"/>
      <c r="AH638" s="1461"/>
      <c r="AI638" s="1461"/>
      <c r="AJ638" s="1462"/>
      <c r="AK638" s="1429"/>
      <c r="AL638" s="1430"/>
      <c r="AM638" s="1430"/>
      <c r="AN638" s="1431"/>
      <c r="AO638" s="1455"/>
      <c r="AP638" s="1456"/>
      <c r="AQ638" s="1456"/>
      <c r="AR638" s="1456"/>
      <c r="AS638" s="1457"/>
      <c r="AT638" s="1150" t="str">
        <f t="shared" si="1"/>
        <v/>
      </c>
      <c r="AV638" s="3"/>
      <c r="AW638" s="3"/>
      <c r="AX638" s="3"/>
      <c r="AY638" s="3"/>
      <c r="AZ638" s="34"/>
      <c r="BA638" s="3" t="s">
        <v>299</v>
      </c>
      <c r="BB638" s="34"/>
      <c r="BC638" s="34"/>
      <c r="BD638" s="34"/>
      <c r="BE638" s="34"/>
      <c r="BF638" s="34"/>
      <c r="BG638" s="34"/>
      <c r="BH638" s="34"/>
      <c r="BI638" s="34"/>
      <c r="BJ638" s="34"/>
      <c r="BK638" s="34"/>
      <c r="BL638" s="34"/>
      <c r="BM638" s="34"/>
      <c r="DA638" s="3"/>
      <c r="DB638" s="3"/>
      <c r="DC638" s="3"/>
      <c r="DD638" s="3"/>
      <c r="DE638" s="3"/>
      <c r="DF638" s="3"/>
      <c r="DX638" s="1466" t="e">
        <f t="shared" si="2"/>
        <v>#VALUE!</v>
      </c>
      <c r="DY638" s="1466"/>
      <c r="DZ638" s="1466"/>
      <c r="EA638" s="1466"/>
      <c r="EB638" s="1466"/>
      <c r="EC638" s="1466">
        <f t="shared" si="3"/>
        <v>1560</v>
      </c>
      <c r="ED638" s="1466"/>
      <c r="EE638" s="1466"/>
      <c r="EF638" s="1466"/>
      <c r="EG638" s="1466"/>
      <c r="EH638" s="1466" t="e">
        <f t="shared" si="4"/>
        <v>#VALUE!</v>
      </c>
      <c r="EI638" s="1466"/>
      <c r="EJ638" s="1466"/>
      <c r="EK638" s="1466"/>
      <c r="EL638" s="1466"/>
      <c r="EM638" s="1466" t="e">
        <f t="shared" si="5"/>
        <v>#VALUE!</v>
      </c>
      <c r="EN638" s="1466"/>
      <c r="EO638" s="1466"/>
      <c r="EP638" s="1466"/>
      <c r="EQ638" s="1466"/>
      <c r="ER638" s="1466" t="e">
        <f t="shared" si="6"/>
        <v>#VALUE!</v>
      </c>
      <c r="ES638" s="1466"/>
      <c r="ET638" s="1466"/>
      <c r="EU638" s="1466"/>
      <c r="EV638" s="1466"/>
      <c r="EW638" s="1466" t="e">
        <f t="shared" si="7"/>
        <v>#VALUE!</v>
      </c>
      <c r="EX638" s="1466"/>
      <c r="EY638" s="1466"/>
      <c r="EZ638" s="1466"/>
      <c r="FA638" s="1466"/>
    </row>
    <row r="639" spans="2:157" ht="12.95" customHeight="1">
      <c r="B639" s="1467" t="s">
        <v>128</v>
      </c>
      <c r="C639" s="1468"/>
      <c r="D639" s="1468"/>
      <c r="E639" s="1468"/>
      <c r="F639" s="1468"/>
      <c r="G639" s="1468"/>
      <c r="H639" s="1468"/>
      <c r="I639" s="1468"/>
      <c r="J639" s="1468"/>
      <c r="K639" s="1468"/>
      <c r="L639" s="1468"/>
      <c r="M639" s="1468"/>
      <c r="N639" s="1468"/>
      <c r="O639" s="1468"/>
      <c r="P639" s="1468"/>
      <c r="Q639" s="1468"/>
      <c r="R639" s="1468"/>
      <c r="S639" s="1468"/>
      <c r="T639" s="1468"/>
      <c r="U639" s="1468"/>
      <c r="V639" s="1468"/>
      <c r="W639" s="1468"/>
      <c r="X639" s="1468"/>
      <c r="Y639" s="1468"/>
      <c r="Z639" s="1468"/>
      <c r="AA639" s="1468"/>
      <c r="AB639" s="1468"/>
      <c r="AC639" s="1468"/>
      <c r="AD639" s="1468"/>
      <c r="AE639" s="1468"/>
      <c r="AF639" s="1468"/>
      <c r="AG639" s="1468"/>
      <c r="AH639" s="1468"/>
      <c r="AI639" s="1468"/>
      <c r="AJ639" s="1468"/>
      <c r="AK639" s="1468"/>
      <c r="AL639" s="1468"/>
      <c r="AM639" s="1468"/>
      <c r="AN639" s="1469"/>
      <c r="AO639" s="1629">
        <f>SUM(AO627:AR638)</f>
        <v>51814543</v>
      </c>
      <c r="AP639" s="1630"/>
      <c r="AQ639" s="1630"/>
      <c r="AR639" s="1630"/>
      <c r="AS639" s="1631"/>
      <c r="AV639" s="3"/>
      <c r="AW639" s="3"/>
      <c r="AX639" s="3"/>
      <c r="AY639" s="3"/>
      <c r="AZ639" s="34"/>
      <c r="BA639" s="34"/>
      <c r="BB639" s="34"/>
      <c r="BC639" s="34"/>
      <c r="BD639" s="34"/>
      <c r="BE639" s="34"/>
      <c r="BF639" s="34"/>
      <c r="BG639" s="34"/>
      <c r="BH639" s="34"/>
      <c r="BI639" s="34"/>
      <c r="BJ639" s="34"/>
      <c r="BK639" s="34"/>
      <c r="BL639" s="34"/>
      <c r="BM639" s="34"/>
      <c r="DA639" s="3"/>
      <c r="DB639" s="3"/>
      <c r="DC639" s="3"/>
      <c r="DD639" s="3"/>
      <c r="DE639" s="3"/>
      <c r="DF639" s="3"/>
      <c r="DX639" s="1466" t="e">
        <f t="shared" si="2"/>
        <v>#VALUE!</v>
      </c>
      <c r="DY639" s="1466"/>
      <c r="DZ639" s="1466"/>
      <c r="EA639" s="1466"/>
      <c r="EB639" s="1466"/>
      <c r="EC639" s="1466" t="e">
        <f t="shared" si="3"/>
        <v>#VALUE!</v>
      </c>
      <c r="ED639" s="1466"/>
      <c r="EE639" s="1466"/>
      <c r="EF639" s="1466"/>
      <c r="EG639" s="1466"/>
      <c r="EH639" s="1466">
        <f t="shared" si="4"/>
        <v>744.77419354838707</v>
      </c>
      <c r="EI639" s="1466"/>
      <c r="EJ639" s="1466"/>
      <c r="EK639" s="1466"/>
      <c r="EL639" s="1466"/>
      <c r="EM639" s="1466" t="e">
        <f t="shared" si="5"/>
        <v>#VALUE!</v>
      </c>
      <c r="EN639" s="1466"/>
      <c r="EO639" s="1466"/>
      <c r="EP639" s="1466"/>
      <c r="EQ639" s="1466"/>
      <c r="ER639" s="1466" t="e">
        <f t="shared" si="6"/>
        <v>#VALUE!</v>
      </c>
      <c r="ES639" s="1466"/>
      <c r="ET639" s="1466"/>
      <c r="EU639" s="1466"/>
      <c r="EV639" s="1466"/>
      <c r="EW639" s="1466" t="e">
        <f t="shared" si="7"/>
        <v>#VALUE!</v>
      </c>
      <c r="EX639" s="1466"/>
      <c r="EY639" s="1466"/>
      <c r="EZ639" s="1466"/>
      <c r="FA639" s="1466"/>
    </row>
    <row r="640" spans="2:157" ht="12.95" customHeight="1">
      <c r="B640" s="1467" t="s">
        <v>266</v>
      </c>
      <c r="C640" s="1468"/>
      <c r="D640" s="1468"/>
      <c r="E640" s="1468"/>
      <c r="F640" s="1468"/>
      <c r="G640" s="1468"/>
      <c r="H640" s="1468"/>
      <c r="I640" s="1468"/>
      <c r="J640" s="1468"/>
      <c r="K640" s="1468"/>
      <c r="L640" s="1468"/>
      <c r="M640" s="1468"/>
      <c r="N640" s="1468"/>
      <c r="O640" s="1468"/>
      <c r="P640" s="1468"/>
      <c r="Q640" s="1468"/>
      <c r="R640" s="1468"/>
      <c r="S640" s="1468"/>
      <c r="T640" s="1468"/>
      <c r="U640" s="1468"/>
      <c r="V640" s="1468"/>
      <c r="W640" s="1468"/>
      <c r="X640" s="1468"/>
      <c r="Y640" s="1468"/>
      <c r="Z640" s="1468"/>
      <c r="AA640" s="1468"/>
      <c r="AB640" s="1468"/>
      <c r="AC640" s="1468"/>
      <c r="AD640" s="1468"/>
      <c r="AE640" s="1468"/>
      <c r="AF640" s="1468"/>
      <c r="AG640" s="1468"/>
      <c r="AH640" s="1468"/>
      <c r="AI640" s="1468"/>
      <c r="AJ640" s="1468"/>
      <c r="AK640" s="1468"/>
      <c r="AL640" s="1468"/>
      <c r="AM640" s="1468"/>
      <c r="AN640" s="1469"/>
      <c r="AO640" s="1455">
        <v>34376195</v>
      </c>
      <c r="AP640" s="1456"/>
      <c r="AQ640" s="1456"/>
      <c r="AR640" s="1456"/>
      <c r="AS640" s="1457"/>
      <c r="AV640" s="3"/>
      <c r="AW640" s="3"/>
      <c r="AX640" s="3"/>
      <c r="AY640" s="3"/>
      <c r="AZ640" s="34"/>
      <c r="BA640" s="34"/>
      <c r="BB640" s="34"/>
      <c r="BC640" s="34"/>
      <c r="BD640" s="34"/>
      <c r="BE640" s="34"/>
      <c r="BF640" s="34"/>
      <c r="BG640" s="34"/>
      <c r="BH640" s="34"/>
      <c r="BI640" s="34"/>
      <c r="BJ640" s="34"/>
      <c r="BK640" s="34"/>
      <c r="BL640" s="34"/>
      <c r="BM640" s="34"/>
      <c r="DA640" s="3"/>
      <c r="DB640" s="3"/>
      <c r="DC640" s="3"/>
      <c r="DD640" s="3"/>
      <c r="DE640" s="3"/>
      <c r="DF640" s="3"/>
      <c r="DX640" s="1466" t="e">
        <f t="shared" si="2"/>
        <v>#VALUE!</v>
      </c>
      <c r="DY640" s="1466"/>
      <c r="DZ640" s="1466"/>
      <c r="EA640" s="1466"/>
      <c r="EB640" s="1466"/>
      <c r="EC640" s="1466" t="e">
        <f t="shared" si="3"/>
        <v>#VALUE!</v>
      </c>
      <c r="ED640" s="1466"/>
      <c r="EE640" s="1466"/>
      <c r="EF640" s="1466"/>
      <c r="EG640" s="1466"/>
      <c r="EH640" s="1466">
        <f t="shared" si="4"/>
        <v>1315.0967741935485</v>
      </c>
      <c r="EI640" s="1466"/>
      <c r="EJ640" s="1466"/>
      <c r="EK640" s="1466"/>
      <c r="EL640" s="1466"/>
      <c r="EM640" s="1466" t="e">
        <f t="shared" si="5"/>
        <v>#VALUE!</v>
      </c>
      <c r="EN640" s="1466"/>
      <c r="EO640" s="1466"/>
      <c r="EP640" s="1466"/>
      <c r="EQ640" s="1466"/>
      <c r="ER640" s="1466" t="e">
        <f t="shared" si="6"/>
        <v>#VALUE!</v>
      </c>
      <c r="ES640" s="1466"/>
      <c r="ET640" s="1466"/>
      <c r="EU640" s="1466"/>
      <c r="EV640" s="1466"/>
      <c r="EW640" s="1466" t="e">
        <f t="shared" si="7"/>
        <v>#VALUE!</v>
      </c>
      <c r="EX640" s="1466"/>
      <c r="EY640" s="1466"/>
      <c r="EZ640" s="1466"/>
      <c r="FA640" s="1466"/>
    </row>
    <row r="641" spans="1:157" ht="12.95" customHeight="1">
      <c r="B641" s="1604" t="s">
        <v>267</v>
      </c>
      <c r="C641" s="1605"/>
      <c r="D641" s="1605"/>
      <c r="E641" s="1605"/>
      <c r="F641" s="1605"/>
      <c r="G641" s="1605"/>
      <c r="H641" s="1605"/>
      <c r="I641" s="1605"/>
      <c r="J641" s="1605"/>
      <c r="K641" s="1605"/>
      <c r="L641" s="1605"/>
      <c r="M641" s="1605"/>
      <c r="N641" s="1605"/>
      <c r="O641" s="1605"/>
      <c r="P641" s="1605"/>
      <c r="Q641" s="1605"/>
      <c r="R641" s="1605"/>
      <c r="S641" s="1605"/>
      <c r="T641" s="1605"/>
      <c r="U641" s="1605"/>
      <c r="V641" s="1605"/>
      <c r="W641" s="1605"/>
      <c r="X641" s="1605"/>
      <c r="Y641" s="1605"/>
      <c r="Z641" s="1605"/>
      <c r="AA641" s="1605"/>
      <c r="AB641" s="1605"/>
      <c r="AC641" s="1605"/>
      <c r="AD641" s="1605"/>
      <c r="AE641" s="1605"/>
      <c r="AF641" s="1605"/>
      <c r="AG641" s="1605"/>
      <c r="AH641" s="1605"/>
      <c r="AI641" s="1605"/>
      <c r="AJ641" s="1605"/>
      <c r="AK641" s="1605"/>
      <c r="AL641" s="1605"/>
      <c r="AM641" s="1605"/>
      <c r="AN641" s="1606"/>
      <c r="AO641" s="1629">
        <f>AO639+AO640</f>
        <v>86190738</v>
      </c>
      <c r="AP641" s="1630"/>
      <c r="AQ641" s="1630"/>
      <c r="AR641" s="1630"/>
      <c r="AS641" s="1631"/>
      <c r="AV641" s="3"/>
      <c r="AW641" s="3"/>
      <c r="AX641" s="3"/>
      <c r="AY641" s="3"/>
      <c r="AZ641" s="34"/>
      <c r="BA641" s="34"/>
      <c r="BB641" s="34"/>
      <c r="BC641" s="34"/>
      <c r="BD641" s="34"/>
      <c r="BE641" s="34"/>
      <c r="BF641" s="34"/>
      <c r="BG641" s="34"/>
      <c r="BH641" s="34"/>
      <c r="BI641" s="34"/>
      <c r="BJ641" s="34"/>
      <c r="BK641" s="34"/>
      <c r="BL641" s="34"/>
      <c r="BM641" s="34"/>
      <c r="DA641" s="3"/>
      <c r="DB641" s="3"/>
      <c r="DC641" s="3"/>
      <c r="DD641" s="3"/>
      <c r="DE641" s="3"/>
      <c r="DF641" s="3"/>
      <c r="DX641" s="1466" t="e">
        <f t="shared" si="2"/>
        <v>#VALUE!</v>
      </c>
      <c r="DY641" s="1466"/>
      <c r="DZ641" s="1466"/>
      <c r="EA641" s="1466"/>
      <c r="EB641" s="1466"/>
      <c r="EC641" s="1466" t="e">
        <f t="shared" si="3"/>
        <v>#VALUE!</v>
      </c>
      <c r="ED641" s="1466"/>
      <c r="EE641" s="1466"/>
      <c r="EF641" s="1466"/>
      <c r="EG641" s="1466"/>
      <c r="EH641" s="1466" t="e">
        <f t="shared" si="4"/>
        <v>#VALUE!</v>
      </c>
      <c r="EI641" s="1466"/>
      <c r="EJ641" s="1466"/>
      <c r="EK641" s="1466"/>
      <c r="EL641" s="1466"/>
      <c r="EM641" s="1466" t="e">
        <f t="shared" si="5"/>
        <v>#VALUE!</v>
      </c>
      <c r="EN641" s="1466"/>
      <c r="EO641" s="1466"/>
      <c r="EP641" s="1466"/>
      <c r="EQ641" s="1466"/>
      <c r="ER641" s="1466" t="e">
        <f t="shared" si="6"/>
        <v>#VALUE!</v>
      </c>
      <c r="ES641" s="1466"/>
      <c r="ET641" s="1466"/>
      <c r="EU641" s="1466"/>
      <c r="EV641" s="1466"/>
      <c r="EW641" s="1466" t="e">
        <f t="shared" si="7"/>
        <v>#VALUE!</v>
      </c>
      <c r="EX641" s="1466"/>
      <c r="EY641" s="1466"/>
      <c r="EZ641" s="1466"/>
      <c r="FA641" s="1466"/>
    </row>
    <row r="642" spans="1:157" ht="12.95" customHeight="1">
      <c r="B642" s="513"/>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DA642" s="3"/>
      <c r="DB642" s="3"/>
      <c r="DC642" s="3"/>
      <c r="DD642" s="3"/>
      <c r="DE642" s="3"/>
      <c r="DF642" s="3"/>
      <c r="DX642" s="1466" t="e">
        <f t="shared" si="2"/>
        <v>#VALUE!</v>
      </c>
      <c r="DY642" s="1466"/>
      <c r="DZ642" s="1466"/>
      <c r="EA642" s="1466"/>
      <c r="EB642" s="1466"/>
      <c r="EC642" s="1466" t="e">
        <f t="shared" si="3"/>
        <v>#VALUE!</v>
      </c>
      <c r="ED642" s="1466"/>
      <c r="EE642" s="1466"/>
      <c r="EF642" s="1466"/>
      <c r="EG642" s="1466"/>
      <c r="EH642" s="1466" t="e">
        <f t="shared" si="4"/>
        <v>#VALUE!</v>
      </c>
      <c r="EI642" s="1466"/>
      <c r="EJ642" s="1466"/>
      <c r="EK642" s="1466"/>
      <c r="EL642" s="1466"/>
      <c r="EM642" s="1466" t="e">
        <f t="shared" si="5"/>
        <v>#VALUE!</v>
      </c>
      <c r="EN642" s="1466"/>
      <c r="EO642" s="1466"/>
      <c r="EP642" s="1466"/>
      <c r="EQ642" s="1466"/>
      <c r="ER642" s="1466" t="e">
        <f t="shared" si="6"/>
        <v>#VALUE!</v>
      </c>
      <c r="ES642" s="1466"/>
      <c r="ET642" s="1466"/>
      <c r="EU642" s="1466"/>
      <c r="EV642" s="1466"/>
      <c r="EW642" s="1466" t="e">
        <f t="shared" si="7"/>
        <v>#VALUE!</v>
      </c>
      <c r="EX642" s="1466"/>
      <c r="EY642" s="1466"/>
      <c r="EZ642" s="1466"/>
      <c r="FA642" s="1466"/>
    </row>
    <row r="643" spans="1:157" ht="12.95" customHeight="1">
      <c r="A643" s="55" t="s">
        <v>112</v>
      </c>
      <c r="B643" t="s">
        <v>463</v>
      </c>
      <c r="G643" s="1380" t="str">
        <f>C627</f>
        <v>Safehold</v>
      </c>
      <c r="H643" s="1380"/>
      <c r="I643" s="1380"/>
      <c r="J643" s="1380"/>
      <c r="K643" s="1380"/>
      <c r="L643" s="1380"/>
      <c r="M643" s="1380"/>
      <c r="N643" s="1380"/>
      <c r="O643" s="1380"/>
      <c r="P643" s="1380"/>
      <c r="Q643" s="1380"/>
      <c r="R643" s="1380"/>
      <c r="S643" s="8"/>
      <c r="T643" s="55" t="s">
        <v>113</v>
      </c>
      <c r="U643" t="s">
        <v>463</v>
      </c>
      <c r="Z643" s="1380" t="str">
        <f>C628</f>
        <v>Citibank Tax-Exempt Permanent Loan</v>
      </c>
      <c r="AA643" s="1380"/>
      <c r="AB643" s="1380"/>
      <c r="AC643" s="1380"/>
      <c r="AD643" s="1380"/>
      <c r="AE643" s="1380"/>
      <c r="AF643" s="1380"/>
      <c r="AG643" s="1380"/>
      <c r="AH643" s="1380"/>
      <c r="AI643" s="1380"/>
      <c r="AJ643" s="1380"/>
      <c r="AK643" s="1380"/>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466" t="e">
        <f t="shared" si="2"/>
        <v>#VALUE!</v>
      </c>
      <c r="DY643" s="1466"/>
      <c r="DZ643" s="1466"/>
      <c r="EA643" s="1466"/>
      <c r="EB643" s="1466"/>
      <c r="EC643" s="1466" t="e">
        <f t="shared" si="3"/>
        <v>#VALUE!</v>
      </c>
      <c r="ED643" s="1466"/>
      <c r="EE643" s="1466"/>
      <c r="EF643" s="1466"/>
      <c r="EG643" s="1466"/>
      <c r="EH643" s="1466" t="e">
        <f t="shared" si="4"/>
        <v>#VALUE!</v>
      </c>
      <c r="EI643" s="1466"/>
      <c r="EJ643" s="1466"/>
      <c r="EK643" s="1466"/>
      <c r="EL643" s="1466"/>
      <c r="EM643" s="1466" t="e">
        <f t="shared" si="5"/>
        <v>#VALUE!</v>
      </c>
      <c r="EN643" s="1466"/>
      <c r="EO643" s="1466"/>
      <c r="EP643" s="1466"/>
      <c r="EQ643" s="1466"/>
      <c r="ER643" s="1466" t="e">
        <f t="shared" si="6"/>
        <v>#VALUE!</v>
      </c>
      <c r="ES643" s="1466"/>
      <c r="ET643" s="1466"/>
      <c r="EU643" s="1466"/>
      <c r="EV643" s="1466"/>
      <c r="EW643" s="1466" t="e">
        <f t="shared" si="7"/>
        <v>#VALUE!</v>
      </c>
      <c r="EX643" s="1466"/>
      <c r="EY643" s="1466"/>
      <c r="EZ643" s="1466"/>
      <c r="FA643" s="1466"/>
    </row>
    <row r="644" spans="1:157" ht="12.95" customHeight="1">
      <c r="A644" s="22"/>
      <c r="B644" t="s">
        <v>85</v>
      </c>
      <c r="G644" s="1425" t="s">
        <v>2738</v>
      </c>
      <c r="H644" s="1425"/>
      <c r="I644" s="1425"/>
      <c r="J644" s="1425"/>
      <c r="K644" s="1425"/>
      <c r="L644" s="1425"/>
      <c r="M644" s="1425"/>
      <c r="N644" s="1425"/>
      <c r="O644" s="1425"/>
      <c r="P644" s="1425"/>
      <c r="Q644" s="1425"/>
      <c r="R644" s="1425"/>
      <c r="S644" s="8"/>
      <c r="T644" s="22"/>
      <c r="U644" t="s">
        <v>85</v>
      </c>
      <c r="Z644" s="1425" t="s">
        <v>2704</v>
      </c>
      <c r="AA644" s="1425"/>
      <c r="AB644" s="1425"/>
      <c r="AC644" s="1425"/>
      <c r="AD644" s="1425"/>
      <c r="AE644" s="1425"/>
      <c r="AF644" s="1425"/>
      <c r="AG644" s="1425"/>
      <c r="AH644" s="1425"/>
      <c r="AI644" s="1425"/>
      <c r="AJ644" s="1425"/>
      <c r="AK644" s="1425"/>
      <c r="AV644" s="3"/>
      <c r="AW644" s="3"/>
      <c r="AX644" s="3"/>
      <c r="AY644" s="3"/>
      <c r="AZ644" s="3"/>
      <c r="BA644" s="3"/>
      <c r="BB644" s="3"/>
      <c r="BC644" s="3"/>
      <c r="BD644" s="3"/>
      <c r="BE644" s="3"/>
      <c r="BF644" s="3"/>
      <c r="BG644" s="3"/>
      <c r="BH644" s="3"/>
      <c r="BI644" s="3"/>
      <c r="BJ644" s="3"/>
      <c r="BK644" s="3"/>
      <c r="BL644" s="3"/>
      <c r="BM644" s="3"/>
      <c r="DX644" s="1466" t="e">
        <f t="shared" si="2"/>
        <v>#VALUE!</v>
      </c>
      <c r="DY644" s="1466"/>
      <c r="DZ644" s="1466"/>
      <c r="EA644" s="1466"/>
      <c r="EB644" s="1466"/>
      <c r="EC644" s="1466" t="e">
        <f t="shared" si="3"/>
        <v>#VALUE!</v>
      </c>
      <c r="ED644" s="1466"/>
      <c r="EE644" s="1466"/>
      <c r="EF644" s="1466"/>
      <c r="EG644" s="1466"/>
      <c r="EH644" s="1466" t="e">
        <f t="shared" si="4"/>
        <v>#VALUE!</v>
      </c>
      <c r="EI644" s="1466"/>
      <c r="EJ644" s="1466"/>
      <c r="EK644" s="1466"/>
      <c r="EL644" s="1466"/>
      <c r="EM644" s="1466" t="e">
        <f t="shared" si="5"/>
        <v>#VALUE!</v>
      </c>
      <c r="EN644" s="1466"/>
      <c r="EO644" s="1466"/>
      <c r="EP644" s="1466"/>
      <c r="EQ644" s="1466"/>
      <c r="ER644" s="1466" t="e">
        <f t="shared" si="6"/>
        <v>#VALUE!</v>
      </c>
      <c r="ES644" s="1466"/>
      <c r="ET644" s="1466"/>
      <c r="EU644" s="1466"/>
      <c r="EV644" s="1466"/>
      <c r="EW644" s="1466" t="e">
        <f t="shared" si="7"/>
        <v>#VALUE!</v>
      </c>
      <c r="EX644" s="1466"/>
      <c r="EY644" s="1466"/>
      <c r="EZ644" s="1466"/>
      <c r="FA644" s="1466"/>
    </row>
    <row r="645" spans="1:157" ht="12.95" customHeight="1">
      <c r="A645" s="22"/>
      <c r="B645" t="s">
        <v>580</v>
      </c>
      <c r="G645" s="1425" t="s">
        <v>2739</v>
      </c>
      <c r="H645" s="1425"/>
      <c r="I645" s="1425"/>
      <c r="J645" s="1425"/>
      <c r="K645" s="1425"/>
      <c r="L645" s="1425"/>
      <c r="M645" s="1425"/>
      <c r="N645" s="1425"/>
      <c r="O645" s="1425"/>
      <c r="P645" s="1425"/>
      <c r="Q645" s="1425"/>
      <c r="R645" s="1425"/>
      <c r="T645" s="22"/>
      <c r="U645" t="s">
        <v>580</v>
      </c>
      <c r="Z645" s="1458" t="s">
        <v>2705</v>
      </c>
      <c r="AA645" s="1458"/>
      <c r="AB645" s="1458"/>
      <c r="AC645" s="1458"/>
      <c r="AD645" s="1458"/>
      <c r="AE645" s="1458"/>
      <c r="AF645" s="1458"/>
      <c r="AG645" s="1458"/>
      <c r="AH645" s="1458"/>
      <c r="AI645" s="1458"/>
      <c r="AJ645" s="1458"/>
      <c r="AK645" s="1458"/>
      <c r="AV645" s="3"/>
      <c r="AW645" s="3"/>
      <c r="AX645" s="3"/>
      <c r="AY645" s="3"/>
      <c r="AZ645" s="3"/>
      <c r="BA645" s="3"/>
      <c r="BB645" s="3"/>
      <c r="BC645" s="3"/>
      <c r="BD645" s="3"/>
      <c r="BE645" s="3"/>
      <c r="BF645" s="3"/>
      <c r="BG645" s="3"/>
      <c r="BH645" s="3"/>
      <c r="BI645" s="3"/>
      <c r="BJ645" s="3"/>
      <c r="BK645" s="3"/>
      <c r="BL645" s="3"/>
      <c r="BM645" s="3"/>
      <c r="DX645" s="1466" t="e">
        <f t="shared" si="2"/>
        <v>#VALUE!</v>
      </c>
      <c r="DY645" s="1466"/>
      <c r="DZ645" s="1466"/>
      <c r="EA645" s="1466"/>
      <c r="EB645" s="1466"/>
      <c r="EC645" s="1466" t="e">
        <f t="shared" si="3"/>
        <v>#VALUE!</v>
      </c>
      <c r="ED645" s="1466"/>
      <c r="EE645" s="1466"/>
      <c r="EF645" s="1466"/>
      <c r="EG645" s="1466"/>
      <c r="EH645" s="1466" t="e">
        <f t="shared" si="4"/>
        <v>#VALUE!</v>
      </c>
      <c r="EI645" s="1466"/>
      <c r="EJ645" s="1466"/>
      <c r="EK645" s="1466"/>
      <c r="EL645" s="1466"/>
      <c r="EM645" s="1466" t="e">
        <f t="shared" si="5"/>
        <v>#VALUE!</v>
      </c>
      <c r="EN645" s="1466"/>
      <c r="EO645" s="1466"/>
      <c r="EP645" s="1466"/>
      <c r="EQ645" s="1466"/>
      <c r="ER645" s="1466" t="e">
        <f t="shared" si="6"/>
        <v>#VALUE!</v>
      </c>
      <c r="ES645" s="1466"/>
      <c r="ET645" s="1466"/>
      <c r="EU645" s="1466"/>
      <c r="EV645" s="1466"/>
      <c r="EW645" s="1466" t="e">
        <f t="shared" si="7"/>
        <v>#VALUE!</v>
      </c>
      <c r="EX645" s="1466"/>
      <c r="EY645" s="1466"/>
      <c r="EZ645" s="1466"/>
      <c r="FA645" s="1466"/>
    </row>
    <row r="646" spans="1:157" ht="12.95" customHeight="1">
      <c r="A646" s="22"/>
      <c r="B646" t="s">
        <v>17</v>
      </c>
      <c r="G646" s="1425" t="s">
        <v>2740</v>
      </c>
      <c r="H646" s="1425"/>
      <c r="I646" s="1425"/>
      <c r="J646" s="1425"/>
      <c r="K646" s="1425"/>
      <c r="L646" s="1425"/>
      <c r="M646" s="1425"/>
      <c r="N646" s="1425"/>
      <c r="O646" s="1425"/>
      <c r="P646" s="1425"/>
      <c r="Q646" s="1425"/>
      <c r="R646" s="1425"/>
      <c r="S646" s="8"/>
      <c r="T646" s="22"/>
      <c r="U646" t="s">
        <v>17</v>
      </c>
      <c r="Z646" s="1458" t="s">
        <v>2706</v>
      </c>
      <c r="AA646" s="1458"/>
      <c r="AB646" s="1458"/>
      <c r="AC646" s="1458"/>
      <c r="AD646" s="1458"/>
      <c r="AE646" s="1458"/>
      <c r="AF646" s="1458"/>
      <c r="AG646" s="1458"/>
      <c r="AH646" s="1458"/>
      <c r="AI646" s="1458"/>
      <c r="AJ646" s="1458"/>
      <c r="AK646" s="1458"/>
      <c r="AZ646" s="3"/>
      <c r="BA646" s="3"/>
      <c r="BB646" s="3"/>
      <c r="BC646" s="3"/>
      <c r="BD646" s="3"/>
      <c r="BE646" s="3"/>
      <c r="BF646" s="3"/>
      <c r="BG646" s="3"/>
      <c r="BH646" s="3"/>
      <c r="BI646" s="3"/>
      <c r="BJ646" s="3"/>
      <c r="BK646" s="3"/>
      <c r="BL646" s="3"/>
      <c r="BM646" s="3"/>
      <c r="DX646" s="1466" t="e">
        <f t="shared" si="2"/>
        <v>#VALUE!</v>
      </c>
      <c r="DY646" s="1466"/>
      <c r="DZ646" s="1466"/>
      <c r="EA646" s="1466"/>
      <c r="EB646" s="1466"/>
      <c r="EC646" s="1466" t="e">
        <f t="shared" si="3"/>
        <v>#VALUE!</v>
      </c>
      <c r="ED646" s="1466"/>
      <c r="EE646" s="1466"/>
      <c r="EF646" s="1466"/>
      <c r="EG646" s="1466"/>
      <c r="EH646" s="1466" t="e">
        <f t="shared" si="4"/>
        <v>#VALUE!</v>
      </c>
      <c r="EI646" s="1466"/>
      <c r="EJ646" s="1466"/>
      <c r="EK646" s="1466"/>
      <c r="EL646" s="1466"/>
      <c r="EM646" s="1466" t="e">
        <f t="shared" si="5"/>
        <v>#VALUE!</v>
      </c>
      <c r="EN646" s="1466"/>
      <c r="EO646" s="1466"/>
      <c r="EP646" s="1466"/>
      <c r="EQ646" s="1466"/>
      <c r="ER646" s="1466" t="e">
        <f t="shared" si="6"/>
        <v>#VALUE!</v>
      </c>
      <c r="ES646" s="1466"/>
      <c r="ET646" s="1466"/>
      <c r="EU646" s="1466"/>
      <c r="EV646" s="1466"/>
      <c r="EW646" s="1466" t="e">
        <f t="shared" si="7"/>
        <v>#VALUE!</v>
      </c>
      <c r="EX646" s="1466"/>
      <c r="EY646" s="1466"/>
      <c r="EZ646" s="1466"/>
      <c r="FA646" s="1466"/>
    </row>
    <row r="647" spans="1:157" ht="12.95" customHeight="1">
      <c r="A647" s="22"/>
      <c r="B647" t="s">
        <v>315</v>
      </c>
      <c r="G647" s="1459">
        <v>3103155580</v>
      </c>
      <c r="H647" s="1459"/>
      <c r="I647" s="1459"/>
      <c r="J647" s="1459"/>
      <c r="K647" s="1459"/>
      <c r="L647" s="1459"/>
      <c r="O647" s="33" t="s">
        <v>205</v>
      </c>
      <c r="P647" s="1439"/>
      <c r="Q647" s="1439"/>
      <c r="R647" s="1439"/>
      <c r="S647" s="10"/>
      <c r="T647" s="22"/>
      <c r="U647" t="s">
        <v>315</v>
      </c>
      <c r="Z647" s="1459" t="s">
        <v>2707</v>
      </c>
      <c r="AA647" s="1459"/>
      <c r="AB647" s="1459"/>
      <c r="AC647" s="1459"/>
      <c r="AD647" s="1459"/>
      <c r="AE647" s="1459"/>
      <c r="AH647" s="33" t="s">
        <v>205</v>
      </c>
      <c r="AI647" s="1439"/>
      <c r="AJ647" s="1439"/>
      <c r="AK647" s="1439"/>
      <c r="AZ647" s="34"/>
      <c r="BA647" s="34"/>
      <c r="BB647" s="34"/>
      <c r="BC647" s="34"/>
      <c r="BD647" s="34"/>
      <c r="BE647" s="34"/>
      <c r="BF647" s="34"/>
      <c r="BG647" s="34"/>
      <c r="BH647" s="34"/>
      <c r="BI647" s="34"/>
      <c r="BJ647" s="34"/>
      <c r="BK647" s="34"/>
      <c r="BL647" s="34"/>
      <c r="BM647" s="34"/>
      <c r="DX647" s="1466" t="e">
        <f t="shared" si="2"/>
        <v>#VALUE!</v>
      </c>
      <c r="DY647" s="1466"/>
      <c r="DZ647" s="1466"/>
      <c r="EA647" s="1466"/>
      <c r="EB647" s="1466"/>
      <c r="EC647" s="1466" t="e">
        <f t="shared" si="3"/>
        <v>#VALUE!</v>
      </c>
      <c r="ED647" s="1466"/>
      <c r="EE647" s="1466"/>
      <c r="EF647" s="1466"/>
      <c r="EG647" s="1466"/>
      <c r="EH647" s="1466" t="e">
        <f t="shared" si="4"/>
        <v>#VALUE!</v>
      </c>
      <c r="EI647" s="1466"/>
      <c r="EJ647" s="1466"/>
      <c r="EK647" s="1466"/>
      <c r="EL647" s="1466"/>
      <c r="EM647" s="1466" t="e">
        <f t="shared" si="5"/>
        <v>#VALUE!</v>
      </c>
      <c r="EN647" s="1466"/>
      <c r="EO647" s="1466"/>
      <c r="EP647" s="1466"/>
      <c r="EQ647" s="1466"/>
      <c r="ER647" s="1466" t="e">
        <f t="shared" si="6"/>
        <v>#VALUE!</v>
      </c>
      <c r="ES647" s="1466"/>
      <c r="ET647" s="1466"/>
      <c r="EU647" s="1466"/>
      <c r="EV647" s="1466"/>
      <c r="EW647" s="1466" t="e">
        <f t="shared" si="7"/>
        <v>#VALUE!</v>
      </c>
      <c r="EX647" s="1466"/>
      <c r="EY647" s="1466"/>
      <c r="EZ647" s="1466"/>
      <c r="FA647" s="1466"/>
    </row>
    <row r="648" spans="1:157" ht="12.95" customHeight="1">
      <c r="A648" s="22"/>
      <c r="B648" t="s">
        <v>18</v>
      </c>
      <c r="H648" s="1425" t="s">
        <v>2741</v>
      </c>
      <c r="I648" s="1425"/>
      <c r="J648" s="1425"/>
      <c r="K648" s="1425"/>
      <c r="L648" s="1425"/>
      <c r="M648" s="1425"/>
      <c r="N648" s="1425"/>
      <c r="O648" s="1425"/>
      <c r="P648" s="1425"/>
      <c r="Q648" s="1425"/>
      <c r="R648" s="1425"/>
      <c r="S648" s="8"/>
      <c r="T648" s="22"/>
      <c r="U648" t="s">
        <v>18</v>
      </c>
      <c r="AA648" s="1425" t="s">
        <v>2742</v>
      </c>
      <c r="AB648" s="1425"/>
      <c r="AC648" s="1425"/>
      <c r="AD648" s="1425"/>
      <c r="AE648" s="1425"/>
      <c r="AF648" s="1425"/>
      <c r="AG648" s="1425"/>
      <c r="AH648" s="1425"/>
      <c r="AI648" s="1425"/>
      <c r="AJ648" s="1425"/>
      <c r="AK648" s="1425"/>
      <c r="AZ648" s="34"/>
      <c r="BA648" s="34"/>
      <c r="BB648" s="34"/>
      <c r="BC648" s="34"/>
      <c r="BD648" s="34"/>
      <c r="BE648" s="34"/>
      <c r="BF648" s="34"/>
      <c r="BG648" s="34"/>
      <c r="BH648" s="34"/>
      <c r="BI648" s="34"/>
      <c r="BJ648" s="34"/>
      <c r="BK648" s="34"/>
      <c r="BL648" s="34"/>
      <c r="BM648" s="34"/>
      <c r="DX648" s="1466" t="e">
        <f t="shared" si="2"/>
        <v>#VALUE!</v>
      </c>
      <c r="DY648" s="1466"/>
      <c r="DZ648" s="1466"/>
      <c r="EA648" s="1466"/>
      <c r="EB648" s="1466"/>
      <c r="EC648" s="1466" t="e">
        <f t="shared" si="3"/>
        <v>#VALUE!</v>
      </c>
      <c r="ED648" s="1466"/>
      <c r="EE648" s="1466"/>
      <c r="EF648" s="1466"/>
      <c r="EG648" s="1466"/>
      <c r="EH648" s="1466" t="e">
        <f t="shared" si="4"/>
        <v>#VALUE!</v>
      </c>
      <c r="EI648" s="1466"/>
      <c r="EJ648" s="1466"/>
      <c r="EK648" s="1466"/>
      <c r="EL648" s="1466"/>
      <c r="EM648" s="1466" t="e">
        <f t="shared" si="5"/>
        <v>#VALUE!</v>
      </c>
      <c r="EN648" s="1466"/>
      <c r="EO648" s="1466"/>
      <c r="EP648" s="1466"/>
      <c r="EQ648" s="1466"/>
      <c r="ER648" s="1466" t="e">
        <f t="shared" si="6"/>
        <v>#VALUE!</v>
      </c>
      <c r="ES648" s="1466"/>
      <c r="ET648" s="1466"/>
      <c r="EU648" s="1466"/>
      <c r="EV648" s="1466"/>
      <c r="EW648" s="1466" t="e">
        <f t="shared" si="7"/>
        <v>#VALUE!</v>
      </c>
      <c r="EX648" s="1466"/>
      <c r="EY648" s="1466"/>
      <c r="EZ648" s="1466"/>
      <c r="FA648" s="1466"/>
    </row>
    <row r="649" spans="1:157" ht="12.95" customHeight="1">
      <c r="A649" s="22"/>
      <c r="B649" t="s">
        <v>20</v>
      </c>
      <c r="N649" s="1330" t="s">
        <v>545</v>
      </c>
      <c r="O649" s="1330"/>
      <c r="T649" s="22"/>
      <c r="U649" t="s">
        <v>20</v>
      </c>
      <c r="AG649" s="1330" t="s">
        <v>545</v>
      </c>
      <c r="AH649" s="1330"/>
      <c r="AZ649" s="34"/>
      <c r="BA649" s="34"/>
      <c r="BB649" s="34"/>
      <c r="BC649" s="34"/>
      <c r="BD649" s="34"/>
      <c r="BE649" s="34"/>
      <c r="BF649" s="34"/>
      <c r="BG649" s="34"/>
      <c r="BH649" s="34"/>
      <c r="BI649" s="34"/>
      <c r="BJ649" s="34"/>
      <c r="BK649" s="34"/>
      <c r="BL649" s="34"/>
      <c r="BM649" s="34"/>
      <c r="DX649" s="1466" t="e">
        <f t="shared" si="2"/>
        <v>#VALUE!</v>
      </c>
      <c r="DY649" s="1466"/>
      <c r="DZ649" s="1466"/>
      <c r="EA649" s="1466"/>
      <c r="EB649" s="1466"/>
      <c r="EC649" s="1466" t="e">
        <f t="shared" si="3"/>
        <v>#VALUE!</v>
      </c>
      <c r="ED649" s="1466"/>
      <c r="EE649" s="1466"/>
      <c r="EF649" s="1466"/>
      <c r="EG649" s="1466"/>
      <c r="EH649" s="1466" t="e">
        <f t="shared" si="4"/>
        <v>#VALUE!</v>
      </c>
      <c r="EI649" s="1466"/>
      <c r="EJ649" s="1466"/>
      <c r="EK649" s="1466"/>
      <c r="EL649" s="1466"/>
      <c r="EM649" s="1466" t="e">
        <f t="shared" si="5"/>
        <v>#VALUE!</v>
      </c>
      <c r="EN649" s="1466"/>
      <c r="EO649" s="1466"/>
      <c r="EP649" s="1466"/>
      <c r="EQ649" s="1466"/>
      <c r="ER649" s="1466" t="e">
        <f t="shared" si="6"/>
        <v>#VALUE!</v>
      </c>
      <c r="ES649" s="1466"/>
      <c r="ET649" s="1466"/>
      <c r="EU649" s="1466"/>
      <c r="EV649" s="1466"/>
      <c r="EW649" s="1466" t="e">
        <f t="shared" si="7"/>
        <v>#VALUE!</v>
      </c>
      <c r="EX649" s="1466"/>
      <c r="EY649" s="1466"/>
      <c r="EZ649" s="1466"/>
      <c r="FA649" s="1466"/>
    </row>
    <row r="650" spans="1:157" ht="12.95" customHeight="1">
      <c r="A650" s="22"/>
      <c r="T650" s="22"/>
      <c r="AZ650" s="34"/>
      <c r="BA650" s="34"/>
      <c r="BB650" s="34"/>
      <c r="BC650" s="34"/>
      <c r="BD650" s="34"/>
      <c r="BE650" s="34"/>
      <c r="BF650" s="34"/>
      <c r="BG650" s="34"/>
      <c r="BH650" s="34"/>
      <c r="BI650" s="34"/>
      <c r="BJ650" s="34"/>
      <c r="BK650" s="34"/>
      <c r="BL650" s="34"/>
      <c r="BM650" s="34"/>
      <c r="DX650" s="1466" t="e">
        <f t="shared" si="2"/>
        <v>#VALUE!</v>
      </c>
      <c r="DY650" s="1466"/>
      <c r="DZ650" s="1466"/>
      <c r="EA650" s="1466"/>
      <c r="EB650" s="1466"/>
      <c r="EC650" s="1466" t="e">
        <f t="shared" si="3"/>
        <v>#VALUE!</v>
      </c>
      <c r="ED650" s="1466"/>
      <c r="EE650" s="1466"/>
      <c r="EF650" s="1466"/>
      <c r="EG650" s="1466"/>
      <c r="EH650" s="1466" t="e">
        <f t="shared" si="4"/>
        <v>#VALUE!</v>
      </c>
      <c r="EI650" s="1466"/>
      <c r="EJ650" s="1466"/>
      <c r="EK650" s="1466"/>
      <c r="EL650" s="1466"/>
      <c r="EM650" s="1466" t="e">
        <f t="shared" si="5"/>
        <v>#VALUE!</v>
      </c>
      <c r="EN650" s="1466"/>
      <c r="EO650" s="1466"/>
      <c r="EP650" s="1466"/>
      <c r="EQ650" s="1466"/>
      <c r="ER650" s="1466" t="e">
        <f t="shared" si="6"/>
        <v>#VALUE!</v>
      </c>
      <c r="ES650" s="1466"/>
      <c r="ET650" s="1466"/>
      <c r="EU650" s="1466"/>
      <c r="EV650" s="1466"/>
      <c r="EW650" s="1466" t="e">
        <f t="shared" si="7"/>
        <v>#VALUE!</v>
      </c>
      <c r="EX650" s="1466"/>
      <c r="EY650" s="1466"/>
      <c r="EZ650" s="1466"/>
      <c r="FA650" s="1466"/>
    </row>
    <row r="651" spans="1:157" ht="12.95" customHeight="1">
      <c r="A651" s="55" t="s">
        <v>119</v>
      </c>
      <c r="B651" t="s">
        <v>463</v>
      </c>
      <c r="G651" s="1380" t="str">
        <f>C629</f>
        <v>GP Loan</v>
      </c>
      <c r="H651" s="1380"/>
      <c r="I651" s="1380"/>
      <c r="J651" s="1380"/>
      <c r="K651" s="1380"/>
      <c r="L651" s="1380"/>
      <c r="M651" s="1380"/>
      <c r="N651" s="1380"/>
      <c r="O651" s="1380"/>
      <c r="P651" s="1380"/>
      <c r="Q651" s="1380"/>
      <c r="R651" s="1380"/>
      <c r="T651" s="55" t="s">
        <v>581</v>
      </c>
      <c r="U651" t="s">
        <v>463</v>
      </c>
      <c r="Z651" s="1380" t="str">
        <f>C630</f>
        <v>Lease Up Income</v>
      </c>
      <c r="AA651" s="1380"/>
      <c r="AB651" s="1380"/>
      <c r="AC651" s="1380"/>
      <c r="AD651" s="1380"/>
      <c r="AE651" s="1380"/>
      <c r="AF651" s="1380"/>
      <c r="AG651" s="1380"/>
      <c r="AH651" s="1380"/>
      <c r="AI651" s="1380"/>
      <c r="AJ651" s="1380"/>
      <c r="AK651" s="1380"/>
      <c r="AZ651" s="34"/>
      <c r="BA651" s="34"/>
      <c r="BB651" s="34"/>
      <c r="BC651" s="34"/>
      <c r="BD651" s="34"/>
      <c r="BE651" s="34"/>
      <c r="BF651" s="34"/>
      <c r="BG651" s="34"/>
      <c r="BH651" s="34"/>
      <c r="BI651" s="34"/>
      <c r="BJ651" s="34"/>
      <c r="BK651" s="34"/>
      <c r="BL651" s="34"/>
      <c r="BM651" s="34"/>
      <c r="DX651" s="1466" t="e">
        <f t="shared" si="2"/>
        <v>#VALUE!</v>
      </c>
      <c r="DY651" s="1466"/>
      <c r="DZ651" s="1466"/>
      <c r="EA651" s="1466"/>
      <c r="EB651" s="1466"/>
      <c r="EC651" s="1466" t="e">
        <f t="shared" si="3"/>
        <v>#VALUE!</v>
      </c>
      <c r="ED651" s="1466"/>
      <c r="EE651" s="1466"/>
      <c r="EF651" s="1466"/>
      <c r="EG651" s="1466"/>
      <c r="EH651" s="1466" t="e">
        <f t="shared" si="4"/>
        <v>#VALUE!</v>
      </c>
      <c r="EI651" s="1466"/>
      <c r="EJ651" s="1466"/>
      <c r="EK651" s="1466"/>
      <c r="EL651" s="1466"/>
      <c r="EM651" s="1466" t="e">
        <f t="shared" si="5"/>
        <v>#VALUE!</v>
      </c>
      <c r="EN651" s="1466"/>
      <c r="EO651" s="1466"/>
      <c r="EP651" s="1466"/>
      <c r="EQ651" s="1466"/>
      <c r="ER651" s="1466" t="e">
        <f t="shared" si="6"/>
        <v>#VALUE!</v>
      </c>
      <c r="ES651" s="1466"/>
      <c r="ET651" s="1466"/>
      <c r="EU651" s="1466"/>
      <c r="EV651" s="1466"/>
      <c r="EW651" s="1466" t="e">
        <f t="shared" si="7"/>
        <v>#VALUE!</v>
      </c>
      <c r="EX651" s="1466"/>
      <c r="EY651" s="1466"/>
      <c r="EZ651" s="1466"/>
      <c r="FA651" s="1466"/>
    </row>
    <row r="652" spans="1:157" ht="12.95" customHeight="1">
      <c r="A652" s="22"/>
      <c r="B652" t="s">
        <v>85</v>
      </c>
      <c r="G652" s="1425" t="s">
        <v>2628</v>
      </c>
      <c r="H652" s="1425"/>
      <c r="I652" s="1425"/>
      <c r="J652" s="1425"/>
      <c r="K652" s="1425"/>
      <c r="L652" s="1425"/>
      <c r="M652" s="1425"/>
      <c r="N652" s="1425"/>
      <c r="O652" s="1425"/>
      <c r="P652" s="1425"/>
      <c r="Q652" s="1425"/>
      <c r="R652" s="1425"/>
      <c r="T652" s="22"/>
      <c r="U652" t="s">
        <v>85</v>
      </c>
      <c r="Z652" s="1425" t="s">
        <v>2628</v>
      </c>
      <c r="AA652" s="1425"/>
      <c r="AB652" s="1425"/>
      <c r="AC652" s="1425"/>
      <c r="AD652" s="1425"/>
      <c r="AE652" s="1425"/>
      <c r="AF652" s="1425"/>
      <c r="AG652" s="1425"/>
      <c r="AH652" s="1425"/>
      <c r="AI652" s="1425"/>
      <c r="AJ652" s="1425"/>
      <c r="AK652" s="1425"/>
      <c r="AZ652" s="34"/>
      <c r="BA652" s="34"/>
      <c r="BB652" s="34"/>
      <c r="BC652" s="34"/>
      <c r="BD652" s="34"/>
      <c r="BE652" s="34"/>
      <c r="BF652" s="34"/>
      <c r="BG652" s="34"/>
      <c r="BH652" s="34"/>
      <c r="BI652" s="34"/>
      <c r="BJ652" s="34"/>
      <c r="BK652" s="34"/>
      <c r="BL652" s="34"/>
      <c r="BM652" s="34"/>
      <c r="DX652" s="1466" t="e">
        <f t="shared" si="2"/>
        <v>#VALUE!</v>
      </c>
      <c r="DY652" s="1466"/>
      <c r="DZ652" s="1466"/>
      <c r="EA652" s="1466"/>
      <c r="EB652" s="1466"/>
      <c r="EC652" s="1466" t="e">
        <f t="shared" si="3"/>
        <v>#VALUE!</v>
      </c>
      <c r="ED652" s="1466"/>
      <c r="EE652" s="1466"/>
      <c r="EF652" s="1466"/>
      <c r="EG652" s="1466"/>
      <c r="EH652" s="1466" t="e">
        <f t="shared" si="4"/>
        <v>#VALUE!</v>
      </c>
      <c r="EI652" s="1466"/>
      <c r="EJ652" s="1466"/>
      <c r="EK652" s="1466"/>
      <c r="EL652" s="1466"/>
      <c r="EM652" s="1466" t="e">
        <f t="shared" si="5"/>
        <v>#VALUE!</v>
      </c>
      <c r="EN652" s="1466"/>
      <c r="EO652" s="1466"/>
      <c r="EP652" s="1466"/>
      <c r="EQ652" s="1466"/>
      <c r="ER652" s="1466" t="e">
        <f t="shared" si="6"/>
        <v>#VALUE!</v>
      </c>
      <c r="ES652" s="1466"/>
      <c r="ET652" s="1466"/>
      <c r="EU652" s="1466"/>
      <c r="EV652" s="1466"/>
      <c r="EW652" s="1466" t="e">
        <f t="shared" si="7"/>
        <v>#VALUE!</v>
      </c>
      <c r="EX652" s="1466"/>
      <c r="EY652" s="1466"/>
      <c r="EZ652" s="1466"/>
      <c r="FA652" s="1466"/>
    </row>
    <row r="653" spans="1:157" ht="12.95" customHeight="1">
      <c r="A653" s="22"/>
      <c r="B653" t="s">
        <v>580</v>
      </c>
      <c r="G653" s="1458" t="s">
        <v>2716</v>
      </c>
      <c r="H653" s="1458"/>
      <c r="I653" s="1458"/>
      <c r="J653" s="1458"/>
      <c r="K653" s="1458"/>
      <c r="L653" s="1458"/>
      <c r="M653" s="1458"/>
      <c r="N653" s="1458"/>
      <c r="O653" s="1458"/>
      <c r="P653" s="1458"/>
      <c r="Q653" s="1458"/>
      <c r="R653" s="1458"/>
      <c r="T653" s="22"/>
      <c r="U653" t="s">
        <v>580</v>
      </c>
      <c r="Z653" s="1458" t="s">
        <v>2716</v>
      </c>
      <c r="AA653" s="1458"/>
      <c r="AB653" s="1458"/>
      <c r="AC653" s="1458"/>
      <c r="AD653" s="1458"/>
      <c r="AE653" s="1458"/>
      <c r="AF653" s="1458"/>
      <c r="AG653" s="1458"/>
      <c r="AH653" s="1458"/>
      <c r="AI653" s="1458"/>
      <c r="AJ653" s="1458"/>
      <c r="AK653" s="1458"/>
      <c r="AZ653" s="34"/>
      <c r="BA653" s="34"/>
      <c r="BB653" s="34"/>
      <c r="BC653" s="34"/>
      <c r="BD653" s="34"/>
      <c r="BE653" s="34"/>
      <c r="BF653" s="34"/>
      <c r="BG653" s="34"/>
      <c r="BH653" s="34"/>
      <c r="BI653" s="34"/>
      <c r="BJ653" s="34"/>
      <c r="BK653" s="34"/>
      <c r="BL653" s="34"/>
      <c r="BM653" s="34"/>
      <c r="DX653" s="1466" t="e">
        <f t="shared" si="2"/>
        <v>#VALUE!</v>
      </c>
      <c r="DY653" s="1466"/>
      <c r="DZ653" s="1466"/>
      <c r="EA653" s="1466"/>
      <c r="EB653" s="1466"/>
      <c r="EC653" s="1466" t="e">
        <f t="shared" si="3"/>
        <v>#VALUE!</v>
      </c>
      <c r="ED653" s="1466"/>
      <c r="EE653" s="1466"/>
      <c r="EF653" s="1466"/>
      <c r="EG653" s="1466"/>
      <c r="EH653" s="1466" t="e">
        <f t="shared" si="4"/>
        <v>#VALUE!</v>
      </c>
      <c r="EI653" s="1466"/>
      <c r="EJ653" s="1466"/>
      <c r="EK653" s="1466"/>
      <c r="EL653" s="1466"/>
      <c r="EM653" s="1466" t="e">
        <f t="shared" si="5"/>
        <v>#VALUE!</v>
      </c>
      <c r="EN653" s="1466"/>
      <c r="EO653" s="1466"/>
      <c r="EP653" s="1466"/>
      <c r="EQ653" s="1466"/>
      <c r="ER653" s="1466" t="e">
        <f t="shared" si="6"/>
        <v>#VALUE!</v>
      </c>
      <c r="ES653" s="1466"/>
      <c r="ET653" s="1466"/>
      <c r="EU653" s="1466"/>
      <c r="EV653" s="1466"/>
      <c r="EW653" s="1466" t="e">
        <f t="shared" si="7"/>
        <v>#VALUE!</v>
      </c>
      <c r="EX653" s="1466"/>
      <c r="EY653" s="1466"/>
      <c r="EZ653" s="1466"/>
      <c r="FA653" s="1466"/>
    </row>
    <row r="654" spans="1:157" ht="12.95" customHeight="1">
      <c r="A654" s="22"/>
      <c r="B654" t="s">
        <v>17</v>
      </c>
      <c r="G654" s="1458" t="s">
        <v>2630</v>
      </c>
      <c r="H654" s="1458"/>
      <c r="I654" s="1458"/>
      <c r="J654" s="1458"/>
      <c r="K654" s="1458"/>
      <c r="L654" s="1458"/>
      <c r="M654" s="1458"/>
      <c r="N654" s="1458"/>
      <c r="O654" s="1458"/>
      <c r="P654" s="1458"/>
      <c r="Q654" s="1458"/>
      <c r="R654" s="1458"/>
      <c r="T654" s="22"/>
      <c r="U654" t="s">
        <v>17</v>
      </c>
      <c r="Z654" s="1458" t="s">
        <v>2630</v>
      </c>
      <c r="AA654" s="1458"/>
      <c r="AB654" s="1458"/>
      <c r="AC654" s="1458"/>
      <c r="AD654" s="1458"/>
      <c r="AE654" s="1458"/>
      <c r="AF654" s="1458"/>
      <c r="AG654" s="1458"/>
      <c r="AH654" s="1458"/>
      <c r="AI654" s="1458"/>
      <c r="AJ654" s="1458"/>
      <c r="AK654" s="1458"/>
      <c r="AZ654" s="34"/>
      <c r="BA654" s="34"/>
      <c r="BB654" s="34"/>
      <c r="BC654" s="34"/>
      <c r="BD654" s="34"/>
      <c r="BE654" s="34"/>
      <c r="BF654" s="34"/>
      <c r="BG654" s="34"/>
      <c r="BH654" s="34"/>
      <c r="BI654" s="34"/>
      <c r="BJ654" s="34"/>
      <c r="BK654" s="34"/>
      <c r="BL654" s="34"/>
      <c r="BM654" s="34"/>
      <c r="DX654" s="1466" t="e">
        <f t="shared" si="2"/>
        <v>#VALUE!</v>
      </c>
      <c r="DY654" s="1466"/>
      <c r="DZ654" s="1466"/>
      <c r="EA654" s="1466"/>
      <c r="EB654" s="1466"/>
      <c r="EC654" s="1466" t="e">
        <f t="shared" si="3"/>
        <v>#VALUE!</v>
      </c>
      <c r="ED654" s="1466"/>
      <c r="EE654" s="1466"/>
      <c r="EF654" s="1466"/>
      <c r="EG654" s="1466"/>
      <c r="EH654" s="1466" t="e">
        <f t="shared" si="4"/>
        <v>#VALUE!</v>
      </c>
      <c r="EI654" s="1466"/>
      <c r="EJ654" s="1466"/>
      <c r="EK654" s="1466"/>
      <c r="EL654" s="1466"/>
      <c r="EM654" s="1466" t="e">
        <f t="shared" si="5"/>
        <v>#VALUE!</v>
      </c>
      <c r="EN654" s="1466"/>
      <c r="EO654" s="1466"/>
      <c r="EP654" s="1466"/>
      <c r="EQ654" s="1466"/>
      <c r="ER654" s="1466" t="e">
        <f t="shared" si="6"/>
        <v>#VALUE!</v>
      </c>
      <c r="ES654" s="1466"/>
      <c r="ET654" s="1466"/>
      <c r="EU654" s="1466"/>
      <c r="EV654" s="1466"/>
      <c r="EW654" s="1466" t="e">
        <f t="shared" si="7"/>
        <v>#VALUE!</v>
      </c>
      <c r="EX654" s="1466"/>
      <c r="EY654" s="1466"/>
      <c r="EZ654" s="1466"/>
      <c r="FA654" s="1466"/>
    </row>
    <row r="655" spans="1:157" ht="12.95" customHeight="1">
      <c r="A655" s="22"/>
      <c r="B655" t="s">
        <v>315</v>
      </c>
      <c r="G655" s="1459" t="s">
        <v>2692</v>
      </c>
      <c r="H655" s="1459"/>
      <c r="I655" s="1459"/>
      <c r="J655" s="1459"/>
      <c r="K655" s="1459"/>
      <c r="L655" s="1459"/>
      <c r="O655" s="33" t="s">
        <v>205</v>
      </c>
      <c r="P655" s="1439"/>
      <c r="Q655" s="1439"/>
      <c r="R655" s="1439"/>
      <c r="T655" s="22"/>
      <c r="U655" t="s">
        <v>315</v>
      </c>
      <c r="Z655" s="1459" t="s">
        <v>2692</v>
      </c>
      <c r="AA655" s="1459"/>
      <c r="AB655" s="1459"/>
      <c r="AC655" s="1459"/>
      <c r="AD655" s="1459"/>
      <c r="AE655" s="1459"/>
      <c r="AH655" s="33" t="s">
        <v>205</v>
      </c>
      <c r="AI655" s="1439"/>
      <c r="AJ655" s="1439"/>
      <c r="AK655" s="1439"/>
      <c r="AZ655" s="34"/>
      <c r="BA655" s="34"/>
      <c r="BB655" s="34"/>
      <c r="BC655" s="34"/>
      <c r="BD655" s="34"/>
      <c r="BE655" s="34"/>
      <c r="BF655" s="34"/>
      <c r="BG655" s="34"/>
      <c r="BH655" s="34"/>
      <c r="BI655" s="34"/>
      <c r="BJ655" s="34"/>
      <c r="BK655" s="34"/>
      <c r="BL655" s="34"/>
      <c r="BM655" s="34"/>
      <c r="DX655" s="1466" t="e">
        <f t="shared" si="2"/>
        <v>#VALUE!</v>
      </c>
      <c r="DY655" s="1466"/>
      <c r="DZ655" s="1466"/>
      <c r="EA655" s="1466"/>
      <c r="EB655" s="1466"/>
      <c r="EC655" s="1466" t="e">
        <f t="shared" si="3"/>
        <v>#VALUE!</v>
      </c>
      <c r="ED655" s="1466"/>
      <c r="EE655" s="1466"/>
      <c r="EF655" s="1466"/>
      <c r="EG655" s="1466"/>
      <c r="EH655" s="1466" t="e">
        <f t="shared" si="4"/>
        <v>#VALUE!</v>
      </c>
      <c r="EI655" s="1466"/>
      <c r="EJ655" s="1466"/>
      <c r="EK655" s="1466"/>
      <c r="EL655" s="1466"/>
      <c r="EM655" s="1466" t="e">
        <f t="shared" si="5"/>
        <v>#VALUE!</v>
      </c>
      <c r="EN655" s="1466"/>
      <c r="EO655" s="1466"/>
      <c r="EP655" s="1466"/>
      <c r="EQ655" s="1466"/>
      <c r="ER655" s="1466" t="e">
        <f t="shared" si="6"/>
        <v>#VALUE!</v>
      </c>
      <c r="ES655" s="1466"/>
      <c r="ET655" s="1466"/>
      <c r="EU655" s="1466"/>
      <c r="EV655" s="1466"/>
      <c r="EW655" s="1466" t="e">
        <f t="shared" si="7"/>
        <v>#VALUE!</v>
      </c>
      <c r="EX655" s="1466"/>
      <c r="EY655" s="1466"/>
      <c r="EZ655" s="1466"/>
      <c r="FA655" s="1466"/>
    </row>
    <row r="656" spans="1:157" ht="12.95" customHeight="1">
      <c r="A656" s="22"/>
      <c r="B656" t="s">
        <v>18</v>
      </c>
      <c r="H656" s="1416" t="s">
        <v>2700</v>
      </c>
      <c r="I656" s="1425"/>
      <c r="J656" s="1425"/>
      <c r="K656" s="1425"/>
      <c r="L656" s="1425"/>
      <c r="M656" s="1425"/>
      <c r="N656" s="1425"/>
      <c r="O656" s="1425"/>
      <c r="P656" s="1425"/>
      <c r="Q656" s="1425"/>
      <c r="R656" s="1425"/>
      <c r="T656" s="22"/>
      <c r="U656" t="s">
        <v>18</v>
      </c>
      <c r="AA656" s="1425" t="s">
        <v>2717</v>
      </c>
      <c r="AB656" s="1425"/>
      <c r="AC656" s="1425"/>
      <c r="AD656" s="1425"/>
      <c r="AE656" s="1425"/>
      <c r="AF656" s="1425"/>
      <c r="AG656" s="1425"/>
      <c r="AH656" s="1425"/>
      <c r="AI656" s="1425"/>
      <c r="AJ656" s="1425"/>
      <c r="AK656" s="1425"/>
      <c r="AZ656" s="34"/>
      <c r="BA656" s="34"/>
      <c r="BB656" s="34"/>
      <c r="BC656" s="34"/>
      <c r="BD656" s="34"/>
      <c r="BE656" s="34"/>
      <c r="BF656" s="34"/>
      <c r="BG656" s="34"/>
      <c r="BH656" s="34"/>
      <c r="BI656" s="34"/>
      <c r="BJ656" s="34"/>
      <c r="BK656" s="34"/>
      <c r="BL656" s="34"/>
      <c r="BM656" s="34"/>
      <c r="DX656" s="1466" t="e">
        <f t="shared" si="2"/>
        <v>#VALUE!</v>
      </c>
      <c r="DY656" s="1466"/>
      <c r="DZ656" s="1466"/>
      <c r="EA656" s="1466"/>
      <c r="EB656" s="1466"/>
      <c r="EC656" s="1466" t="e">
        <f t="shared" si="3"/>
        <v>#VALUE!</v>
      </c>
      <c r="ED656" s="1466"/>
      <c r="EE656" s="1466"/>
      <c r="EF656" s="1466"/>
      <c r="EG656" s="1466"/>
      <c r="EH656" s="1466" t="e">
        <f t="shared" si="4"/>
        <v>#VALUE!</v>
      </c>
      <c r="EI656" s="1466"/>
      <c r="EJ656" s="1466"/>
      <c r="EK656" s="1466"/>
      <c r="EL656" s="1466"/>
      <c r="EM656" s="1466" t="e">
        <f t="shared" si="5"/>
        <v>#VALUE!</v>
      </c>
      <c r="EN656" s="1466"/>
      <c r="EO656" s="1466"/>
      <c r="EP656" s="1466"/>
      <c r="EQ656" s="1466"/>
      <c r="ER656" s="1466" t="e">
        <f t="shared" si="6"/>
        <v>#VALUE!</v>
      </c>
      <c r="ES656" s="1466"/>
      <c r="ET656" s="1466"/>
      <c r="EU656" s="1466"/>
      <c r="EV656" s="1466"/>
      <c r="EW656" s="1466" t="e">
        <f t="shared" si="7"/>
        <v>#VALUE!</v>
      </c>
      <c r="EX656" s="1466"/>
      <c r="EY656" s="1466"/>
      <c r="EZ656" s="1466"/>
      <c r="FA656" s="1466"/>
    </row>
    <row r="657" spans="1:157" ht="12.95" customHeight="1">
      <c r="A657" s="22"/>
      <c r="B657" t="s">
        <v>20</v>
      </c>
      <c r="N657" s="1330" t="s">
        <v>545</v>
      </c>
      <c r="O657" s="1330"/>
      <c r="T657" s="22"/>
      <c r="U657" t="s">
        <v>20</v>
      </c>
      <c r="AG657" s="1330" t="s">
        <v>545</v>
      </c>
      <c r="AH657" s="1330"/>
      <c r="AZ657" s="34"/>
      <c r="BA657" s="34"/>
      <c r="BB657" s="34"/>
      <c r="BC657" s="34"/>
      <c r="BD657" s="34"/>
      <c r="BE657" s="34"/>
      <c r="BF657" s="34"/>
      <c r="BG657" s="34"/>
      <c r="BH657" s="34"/>
      <c r="BI657" s="34"/>
      <c r="BJ657" s="34"/>
      <c r="BK657" s="34"/>
      <c r="BL657" s="34"/>
      <c r="BM657" s="34"/>
      <c r="DX657" s="1466" t="e">
        <f t="shared" si="2"/>
        <v>#VALUE!</v>
      </c>
      <c r="DY657" s="1466"/>
      <c r="DZ657" s="1466"/>
      <c r="EA657" s="1466"/>
      <c r="EB657" s="1466"/>
      <c r="EC657" s="1466" t="e">
        <f t="shared" si="3"/>
        <v>#VALUE!</v>
      </c>
      <c r="ED657" s="1466"/>
      <c r="EE657" s="1466"/>
      <c r="EF657" s="1466"/>
      <c r="EG657" s="1466"/>
      <c r="EH657" s="1466" t="e">
        <f t="shared" si="4"/>
        <v>#VALUE!</v>
      </c>
      <c r="EI657" s="1466"/>
      <c r="EJ657" s="1466"/>
      <c r="EK657" s="1466"/>
      <c r="EL657" s="1466"/>
      <c r="EM657" s="1466" t="e">
        <f t="shared" si="5"/>
        <v>#VALUE!</v>
      </c>
      <c r="EN657" s="1466"/>
      <c r="EO657" s="1466"/>
      <c r="EP657" s="1466"/>
      <c r="EQ657" s="1466"/>
      <c r="ER657" s="1466" t="e">
        <f t="shared" si="6"/>
        <v>#VALUE!</v>
      </c>
      <c r="ES657" s="1466"/>
      <c r="ET657" s="1466"/>
      <c r="EU657" s="1466"/>
      <c r="EV657" s="1466"/>
      <c r="EW657" s="1466" t="e">
        <f t="shared" si="7"/>
        <v>#VALUE!</v>
      </c>
      <c r="EX657" s="1466"/>
      <c r="EY657" s="1466"/>
      <c r="EZ657" s="1466"/>
      <c r="FA657" s="1466"/>
    </row>
    <row r="658" spans="1:157" ht="12.95" customHeight="1">
      <c r="A658" s="22"/>
      <c r="T658" s="22"/>
      <c r="AZ658" s="34"/>
      <c r="BA658" s="34"/>
      <c r="BB658" s="34"/>
      <c r="BC658" s="34"/>
      <c r="BD658" s="34"/>
      <c r="BE658" s="34"/>
      <c r="BF658" s="34"/>
      <c r="BG658" s="34"/>
      <c r="BH658" s="34"/>
      <c r="BI658" s="34"/>
      <c r="BJ658" s="34"/>
      <c r="BK658" s="34"/>
      <c r="BL658" s="34"/>
      <c r="BM658" s="34"/>
      <c r="DX658" s="1466" t="e">
        <f t="shared" si="2"/>
        <v>#VALUE!</v>
      </c>
      <c r="DY658" s="1466"/>
      <c r="DZ658" s="1466"/>
      <c r="EA658" s="1466"/>
      <c r="EB658" s="1466"/>
      <c r="EC658" s="1466" t="e">
        <f t="shared" si="3"/>
        <v>#VALUE!</v>
      </c>
      <c r="ED658" s="1466"/>
      <c r="EE658" s="1466"/>
      <c r="EF658" s="1466"/>
      <c r="EG658" s="1466"/>
      <c r="EH658" s="1466" t="e">
        <f t="shared" si="4"/>
        <v>#VALUE!</v>
      </c>
      <c r="EI658" s="1466"/>
      <c r="EJ658" s="1466"/>
      <c r="EK658" s="1466"/>
      <c r="EL658" s="1466"/>
      <c r="EM658" s="1466" t="e">
        <f t="shared" si="5"/>
        <v>#VALUE!</v>
      </c>
      <c r="EN658" s="1466"/>
      <c r="EO658" s="1466"/>
      <c r="EP658" s="1466"/>
      <c r="EQ658" s="1466"/>
      <c r="ER658" s="1466" t="e">
        <f t="shared" si="6"/>
        <v>#VALUE!</v>
      </c>
      <c r="ES658" s="1466"/>
      <c r="ET658" s="1466"/>
      <c r="EU658" s="1466"/>
      <c r="EV658" s="1466"/>
      <c r="EW658" s="1466" t="e">
        <f t="shared" si="7"/>
        <v>#VALUE!</v>
      </c>
      <c r="EX658" s="1466"/>
      <c r="EY658" s="1466"/>
      <c r="EZ658" s="1466"/>
      <c r="FA658" s="1466"/>
    </row>
    <row r="659" spans="1:157" ht="12.95" customHeight="1">
      <c r="A659" s="55" t="s">
        <v>763</v>
      </c>
      <c r="B659" t="s">
        <v>463</v>
      </c>
      <c r="G659" s="1380" t="str">
        <f>C631</f>
        <v>Deferred Developer Fee</v>
      </c>
      <c r="H659" s="1380"/>
      <c r="I659" s="1380"/>
      <c r="J659" s="1380"/>
      <c r="K659" s="1380"/>
      <c r="L659" s="1380"/>
      <c r="M659" s="1380"/>
      <c r="N659" s="1380"/>
      <c r="O659" s="1380"/>
      <c r="P659" s="1380"/>
      <c r="Q659" s="1380"/>
      <c r="R659" s="1380"/>
      <c r="T659" s="55" t="s">
        <v>584</v>
      </c>
      <c r="U659" t="s">
        <v>463</v>
      </c>
      <c r="Z659" s="1380">
        <f>C632</f>
        <v>0</v>
      </c>
      <c r="AA659" s="1380"/>
      <c r="AB659" s="1380"/>
      <c r="AC659" s="1380"/>
      <c r="AD659" s="1380"/>
      <c r="AE659" s="1380"/>
      <c r="AF659" s="1380"/>
      <c r="AG659" s="1380"/>
      <c r="AH659" s="1380"/>
      <c r="AI659" s="1380"/>
      <c r="AJ659" s="1380"/>
      <c r="AK659" s="1380"/>
      <c r="AZ659" s="34"/>
      <c r="BA659" s="34"/>
      <c r="BB659" s="34"/>
      <c r="BC659" s="34"/>
      <c r="BD659" s="34"/>
      <c r="BE659" s="34"/>
      <c r="BF659" s="34"/>
      <c r="BG659" s="34"/>
      <c r="BH659" s="34"/>
      <c r="BI659" s="34"/>
      <c r="BJ659" s="34"/>
      <c r="BK659" s="34"/>
      <c r="BL659" s="34"/>
      <c r="BM659" s="34"/>
      <c r="DX659" s="1466" t="e">
        <f t="shared" si="2"/>
        <v>#VALUE!</v>
      </c>
      <c r="DY659" s="1466"/>
      <c r="DZ659" s="1466"/>
      <c r="EA659" s="1466"/>
      <c r="EB659" s="1466"/>
      <c r="EC659" s="1466" t="e">
        <f t="shared" si="3"/>
        <v>#VALUE!</v>
      </c>
      <c r="ED659" s="1466"/>
      <c r="EE659" s="1466"/>
      <c r="EF659" s="1466"/>
      <c r="EG659" s="1466"/>
      <c r="EH659" s="1466" t="e">
        <f t="shared" si="4"/>
        <v>#VALUE!</v>
      </c>
      <c r="EI659" s="1466"/>
      <c r="EJ659" s="1466"/>
      <c r="EK659" s="1466"/>
      <c r="EL659" s="1466"/>
      <c r="EM659" s="1466" t="e">
        <f t="shared" si="5"/>
        <v>#VALUE!</v>
      </c>
      <c r="EN659" s="1466"/>
      <c r="EO659" s="1466"/>
      <c r="EP659" s="1466"/>
      <c r="EQ659" s="1466"/>
      <c r="ER659" s="1466" t="e">
        <f t="shared" si="6"/>
        <v>#VALUE!</v>
      </c>
      <c r="ES659" s="1466"/>
      <c r="ET659" s="1466"/>
      <c r="EU659" s="1466"/>
      <c r="EV659" s="1466"/>
      <c r="EW659" s="1466" t="e">
        <f t="shared" si="7"/>
        <v>#VALUE!</v>
      </c>
      <c r="EX659" s="1466"/>
      <c r="EY659" s="1466"/>
      <c r="EZ659" s="1466"/>
      <c r="FA659" s="1466"/>
    </row>
    <row r="660" spans="1:157" ht="12.95" customHeight="1">
      <c r="A660" s="22"/>
      <c r="B660" t="s">
        <v>85</v>
      </c>
      <c r="G660" s="1425" t="s">
        <v>2628</v>
      </c>
      <c r="H660" s="1425"/>
      <c r="I660" s="1425"/>
      <c r="J660" s="1425"/>
      <c r="K660" s="1425"/>
      <c r="L660" s="1425"/>
      <c r="M660" s="1425"/>
      <c r="N660" s="1425"/>
      <c r="O660" s="1425"/>
      <c r="P660" s="1425"/>
      <c r="Q660" s="1425"/>
      <c r="R660" s="1425"/>
      <c r="T660" s="22"/>
      <c r="U660" t="s">
        <v>85</v>
      </c>
      <c r="Z660" s="1425"/>
      <c r="AA660" s="1425"/>
      <c r="AB660" s="1425"/>
      <c r="AC660" s="1425"/>
      <c r="AD660" s="1425"/>
      <c r="AE660" s="1425"/>
      <c r="AF660" s="1425"/>
      <c r="AG660" s="1425"/>
      <c r="AH660" s="1425"/>
      <c r="AI660" s="1425"/>
      <c r="AJ660" s="1425"/>
      <c r="AK660" s="1425"/>
      <c r="AZ660" s="34"/>
      <c r="BA660" s="34"/>
      <c r="BB660" s="34"/>
      <c r="BC660" s="34"/>
      <c r="BD660" s="34"/>
      <c r="BE660" s="34"/>
      <c r="BF660" s="34"/>
      <c r="BG660" s="34"/>
      <c r="BH660" s="34"/>
      <c r="BI660" s="34"/>
      <c r="BJ660" s="34"/>
      <c r="BK660" s="34"/>
      <c r="BL660" s="34"/>
      <c r="BM660" s="34"/>
      <c r="DX660" s="1466" t="e">
        <f t="shared" si="2"/>
        <v>#VALUE!</v>
      </c>
      <c r="DY660" s="1466"/>
      <c r="DZ660" s="1466"/>
      <c r="EA660" s="1466"/>
      <c r="EB660" s="1466"/>
      <c r="EC660" s="1466" t="e">
        <f t="shared" si="3"/>
        <v>#VALUE!</v>
      </c>
      <c r="ED660" s="1466"/>
      <c r="EE660" s="1466"/>
      <c r="EF660" s="1466"/>
      <c r="EG660" s="1466"/>
      <c r="EH660" s="1466" t="e">
        <f t="shared" si="4"/>
        <v>#VALUE!</v>
      </c>
      <c r="EI660" s="1466"/>
      <c r="EJ660" s="1466"/>
      <c r="EK660" s="1466"/>
      <c r="EL660" s="1466"/>
      <c r="EM660" s="1466" t="e">
        <f t="shared" si="5"/>
        <v>#VALUE!</v>
      </c>
      <c r="EN660" s="1466"/>
      <c r="EO660" s="1466"/>
      <c r="EP660" s="1466"/>
      <c r="EQ660" s="1466"/>
      <c r="ER660" s="1466" t="e">
        <f t="shared" si="6"/>
        <v>#VALUE!</v>
      </c>
      <c r="ES660" s="1466"/>
      <c r="ET660" s="1466"/>
      <c r="EU660" s="1466"/>
      <c r="EV660" s="1466"/>
      <c r="EW660" s="1466" t="e">
        <f t="shared" si="7"/>
        <v>#VALUE!</v>
      </c>
      <c r="EX660" s="1466"/>
      <c r="EY660" s="1466"/>
      <c r="EZ660" s="1466"/>
      <c r="FA660" s="1466"/>
    </row>
    <row r="661" spans="1:157" ht="12.95" customHeight="1">
      <c r="A661" s="22"/>
      <c r="B661" t="s">
        <v>580</v>
      </c>
      <c r="G661" s="1425" t="s">
        <v>2716</v>
      </c>
      <c r="H661" s="1425"/>
      <c r="I661" s="1425"/>
      <c r="J661" s="1425"/>
      <c r="K661" s="1425"/>
      <c r="L661" s="1425"/>
      <c r="M661" s="1425"/>
      <c r="N661" s="1425"/>
      <c r="O661" s="1425"/>
      <c r="P661" s="1425"/>
      <c r="Q661" s="1425"/>
      <c r="R661" s="1425"/>
      <c r="T661" s="22"/>
      <c r="U661" t="s">
        <v>580</v>
      </c>
      <c r="Z661" s="1458"/>
      <c r="AA661" s="1458"/>
      <c r="AB661" s="1458"/>
      <c r="AC661" s="1458"/>
      <c r="AD661" s="1458"/>
      <c r="AE661" s="1458"/>
      <c r="AF661" s="1458"/>
      <c r="AG661" s="1458"/>
      <c r="AH661" s="1458"/>
      <c r="AI661" s="1458"/>
      <c r="AJ661" s="1458"/>
      <c r="AK661" s="1458"/>
      <c r="AZ661" s="34"/>
      <c r="BA661" s="34"/>
      <c r="BB661" s="34"/>
      <c r="BC661" s="34"/>
      <c r="BD661" s="34"/>
      <c r="BE661" s="34"/>
      <c r="BF661" s="34"/>
      <c r="BG661" s="34"/>
      <c r="BH661" s="34"/>
      <c r="BI661" s="34"/>
      <c r="BJ661" s="34"/>
      <c r="BK661" s="34"/>
      <c r="BL661" s="34"/>
      <c r="BM661" s="34"/>
      <c r="DX661" s="1466" t="e">
        <f t="shared" si="2"/>
        <v>#VALUE!</v>
      </c>
      <c r="DY661" s="1466"/>
      <c r="DZ661" s="1466"/>
      <c r="EA661" s="1466"/>
      <c r="EB661" s="1466"/>
      <c r="EC661" s="1466" t="e">
        <f t="shared" si="3"/>
        <v>#VALUE!</v>
      </c>
      <c r="ED661" s="1466"/>
      <c r="EE661" s="1466"/>
      <c r="EF661" s="1466"/>
      <c r="EG661" s="1466"/>
      <c r="EH661" s="1466" t="e">
        <f t="shared" si="4"/>
        <v>#VALUE!</v>
      </c>
      <c r="EI661" s="1466"/>
      <c r="EJ661" s="1466"/>
      <c r="EK661" s="1466"/>
      <c r="EL661" s="1466"/>
      <c r="EM661" s="1466" t="e">
        <f t="shared" si="5"/>
        <v>#VALUE!</v>
      </c>
      <c r="EN661" s="1466"/>
      <c r="EO661" s="1466"/>
      <c r="EP661" s="1466"/>
      <c r="EQ661" s="1466"/>
      <c r="ER661" s="1466" t="e">
        <f t="shared" si="6"/>
        <v>#VALUE!</v>
      </c>
      <c r="ES661" s="1466"/>
      <c r="ET661" s="1466"/>
      <c r="EU661" s="1466"/>
      <c r="EV661" s="1466"/>
      <c r="EW661" s="1466" t="e">
        <f t="shared" si="7"/>
        <v>#VALUE!</v>
      </c>
      <c r="EX661" s="1466"/>
      <c r="EY661" s="1466"/>
      <c r="EZ661" s="1466"/>
      <c r="FA661" s="1466"/>
    </row>
    <row r="662" spans="1:157" ht="12.95" customHeight="1">
      <c r="A662" s="22"/>
      <c r="B662" t="s">
        <v>17</v>
      </c>
      <c r="G662" s="1425" t="s">
        <v>2630</v>
      </c>
      <c r="H662" s="1425"/>
      <c r="I662" s="1425"/>
      <c r="J662" s="1425"/>
      <c r="K662" s="1425"/>
      <c r="L662" s="1425"/>
      <c r="M662" s="1425"/>
      <c r="N662" s="1425"/>
      <c r="O662" s="1425"/>
      <c r="P662" s="1425"/>
      <c r="Q662" s="1425"/>
      <c r="R662" s="1425"/>
      <c r="T662" s="22"/>
      <c r="U662" t="s">
        <v>17</v>
      </c>
      <c r="Z662" s="1458"/>
      <c r="AA662" s="1458"/>
      <c r="AB662" s="1458"/>
      <c r="AC662" s="1458"/>
      <c r="AD662" s="1458"/>
      <c r="AE662" s="1458"/>
      <c r="AF662" s="1458"/>
      <c r="AG662" s="1458"/>
      <c r="AH662" s="1458"/>
      <c r="AI662" s="1458"/>
      <c r="AJ662" s="1458"/>
      <c r="AK662" s="1458"/>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466" t="e">
        <f t="shared" si="2"/>
        <v>#VALUE!</v>
      </c>
      <c r="DY662" s="1466"/>
      <c r="DZ662" s="1466"/>
      <c r="EA662" s="1466"/>
      <c r="EB662" s="1466"/>
      <c r="EC662" s="1466" t="e">
        <f t="shared" si="3"/>
        <v>#VALUE!</v>
      </c>
      <c r="ED662" s="1466"/>
      <c r="EE662" s="1466"/>
      <c r="EF662" s="1466"/>
      <c r="EG662" s="1466"/>
      <c r="EH662" s="1466" t="e">
        <f t="shared" si="4"/>
        <v>#VALUE!</v>
      </c>
      <c r="EI662" s="1466"/>
      <c r="EJ662" s="1466"/>
      <c r="EK662" s="1466"/>
      <c r="EL662" s="1466"/>
      <c r="EM662" s="1466" t="e">
        <f t="shared" si="5"/>
        <v>#VALUE!</v>
      </c>
      <c r="EN662" s="1466"/>
      <c r="EO662" s="1466"/>
      <c r="EP662" s="1466"/>
      <c r="EQ662" s="1466"/>
      <c r="ER662" s="1466" t="e">
        <f t="shared" si="6"/>
        <v>#VALUE!</v>
      </c>
      <c r="ES662" s="1466"/>
      <c r="ET662" s="1466"/>
      <c r="EU662" s="1466"/>
      <c r="EV662" s="1466"/>
      <c r="EW662" s="1466" t="e">
        <f t="shared" si="7"/>
        <v>#VALUE!</v>
      </c>
      <c r="EX662" s="1466"/>
      <c r="EY662" s="1466"/>
      <c r="EZ662" s="1466"/>
      <c r="FA662" s="1466"/>
    </row>
    <row r="663" spans="1:157" ht="12.95" customHeight="1">
      <c r="A663" s="22"/>
      <c r="B663" t="s">
        <v>315</v>
      </c>
      <c r="G663" s="1459" t="s">
        <v>2692</v>
      </c>
      <c r="H663" s="1459"/>
      <c r="I663" s="1459"/>
      <c r="J663" s="1459"/>
      <c r="K663" s="1459"/>
      <c r="L663" s="1459"/>
      <c r="O663" s="33" t="s">
        <v>205</v>
      </c>
      <c r="P663" s="1439"/>
      <c r="Q663" s="1439"/>
      <c r="R663" s="1439"/>
      <c r="T663" s="22"/>
      <c r="U663" t="s">
        <v>315</v>
      </c>
      <c r="Z663" s="1459"/>
      <c r="AA663" s="1459"/>
      <c r="AB663" s="1459"/>
      <c r="AC663" s="1459"/>
      <c r="AD663" s="1459"/>
      <c r="AE663" s="1459"/>
      <c r="AH663" s="33" t="s">
        <v>205</v>
      </c>
      <c r="AI663" s="1439"/>
      <c r="AJ663" s="1439"/>
      <c r="AK663" s="1439"/>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466" t="e">
        <f t="shared" si="2"/>
        <v>#VALUE!</v>
      </c>
      <c r="DY663" s="1466"/>
      <c r="DZ663" s="1466"/>
      <c r="EA663" s="1466"/>
      <c r="EB663" s="1466"/>
      <c r="EC663" s="1466" t="e">
        <f t="shared" si="3"/>
        <v>#VALUE!</v>
      </c>
      <c r="ED663" s="1466"/>
      <c r="EE663" s="1466"/>
      <c r="EF663" s="1466"/>
      <c r="EG663" s="1466"/>
      <c r="EH663" s="1466" t="e">
        <f t="shared" si="4"/>
        <v>#VALUE!</v>
      </c>
      <c r="EI663" s="1466"/>
      <c r="EJ663" s="1466"/>
      <c r="EK663" s="1466"/>
      <c r="EL663" s="1466"/>
      <c r="EM663" s="1466" t="e">
        <f t="shared" si="5"/>
        <v>#VALUE!</v>
      </c>
      <c r="EN663" s="1466"/>
      <c r="EO663" s="1466"/>
      <c r="EP663" s="1466"/>
      <c r="EQ663" s="1466"/>
      <c r="ER663" s="1466" t="e">
        <f t="shared" si="6"/>
        <v>#VALUE!</v>
      </c>
      <c r="ES663" s="1466"/>
      <c r="ET663" s="1466"/>
      <c r="EU663" s="1466"/>
      <c r="EV663" s="1466"/>
      <c r="EW663" s="1466" t="e">
        <f t="shared" si="7"/>
        <v>#VALUE!</v>
      </c>
      <c r="EX663" s="1466"/>
      <c r="EY663" s="1466"/>
      <c r="EZ663" s="1466"/>
      <c r="FA663" s="1466"/>
    </row>
    <row r="664" spans="1:157" ht="12.95" customHeight="1">
      <c r="A664" s="22"/>
      <c r="B664" t="s">
        <v>18</v>
      </c>
      <c r="H664" s="1425" t="s">
        <v>2323</v>
      </c>
      <c r="I664" s="1425"/>
      <c r="J664" s="1425"/>
      <c r="K664" s="1425"/>
      <c r="L664" s="1425"/>
      <c r="M664" s="1425"/>
      <c r="N664" s="1425"/>
      <c r="O664" s="1425"/>
      <c r="P664" s="1425"/>
      <c r="Q664" s="1425"/>
      <c r="R664" s="1425"/>
      <c r="T664" s="22"/>
      <c r="U664" t="s">
        <v>18</v>
      </c>
      <c r="AA664" s="1425"/>
      <c r="AB664" s="1425"/>
      <c r="AC664" s="1425"/>
      <c r="AD664" s="1425"/>
      <c r="AE664" s="1425"/>
      <c r="AF664" s="1425"/>
      <c r="AG664" s="1425"/>
      <c r="AH664" s="1425"/>
      <c r="AI664" s="1425"/>
      <c r="AJ664" s="1425"/>
      <c r="AK664" s="1425"/>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466" t="e">
        <f t="shared" si="2"/>
        <v>#VALUE!</v>
      </c>
      <c r="DY664" s="1466"/>
      <c r="DZ664" s="1466"/>
      <c r="EA664" s="1466"/>
      <c r="EB664" s="1466"/>
      <c r="EC664" s="1466" t="e">
        <f t="shared" si="3"/>
        <v>#VALUE!</v>
      </c>
      <c r="ED664" s="1466"/>
      <c r="EE664" s="1466"/>
      <c r="EF664" s="1466"/>
      <c r="EG664" s="1466"/>
      <c r="EH664" s="1466" t="e">
        <f t="shared" si="4"/>
        <v>#VALUE!</v>
      </c>
      <c r="EI664" s="1466"/>
      <c r="EJ664" s="1466"/>
      <c r="EK664" s="1466"/>
      <c r="EL664" s="1466"/>
      <c r="EM664" s="1466" t="e">
        <f t="shared" si="5"/>
        <v>#VALUE!</v>
      </c>
      <c r="EN664" s="1466"/>
      <c r="EO664" s="1466"/>
      <c r="EP664" s="1466"/>
      <c r="EQ664" s="1466"/>
      <c r="ER664" s="1466" t="e">
        <f t="shared" si="6"/>
        <v>#VALUE!</v>
      </c>
      <c r="ES664" s="1466"/>
      <c r="ET664" s="1466"/>
      <c r="EU664" s="1466"/>
      <c r="EV664" s="1466"/>
      <c r="EW664" s="1466" t="e">
        <f t="shared" si="7"/>
        <v>#VALUE!</v>
      </c>
      <c r="EX664" s="1466"/>
      <c r="EY664" s="1466"/>
      <c r="EZ664" s="1466"/>
      <c r="FA664" s="1466"/>
    </row>
    <row r="665" spans="1:157" ht="12.95" customHeight="1">
      <c r="A665" s="22"/>
      <c r="B665" t="s">
        <v>20</v>
      </c>
      <c r="N665" s="1330" t="s">
        <v>545</v>
      </c>
      <c r="O665" s="1330"/>
      <c r="T665" s="22"/>
      <c r="U665" t="s">
        <v>20</v>
      </c>
      <c r="AG665" s="1330" t="s">
        <v>669</v>
      </c>
      <c r="AH665" s="1330"/>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466" t="e">
        <f t="shared" si="2"/>
        <v>#VALUE!</v>
      </c>
      <c r="DY665" s="1466"/>
      <c r="DZ665" s="1466"/>
      <c r="EA665" s="1466"/>
      <c r="EB665" s="1466"/>
      <c r="EC665" s="1466" t="e">
        <f t="shared" si="3"/>
        <v>#VALUE!</v>
      </c>
      <c r="ED665" s="1466"/>
      <c r="EE665" s="1466"/>
      <c r="EF665" s="1466"/>
      <c r="EG665" s="1466"/>
      <c r="EH665" s="1466" t="e">
        <f t="shared" si="4"/>
        <v>#VALUE!</v>
      </c>
      <c r="EI665" s="1466"/>
      <c r="EJ665" s="1466"/>
      <c r="EK665" s="1466"/>
      <c r="EL665" s="1466"/>
      <c r="EM665" s="1466" t="e">
        <f t="shared" si="5"/>
        <v>#VALUE!</v>
      </c>
      <c r="EN665" s="1466"/>
      <c r="EO665" s="1466"/>
      <c r="EP665" s="1466"/>
      <c r="EQ665" s="1466"/>
      <c r="ER665" s="1466" t="e">
        <f t="shared" si="6"/>
        <v>#VALUE!</v>
      </c>
      <c r="ES665" s="1466"/>
      <c r="ET665" s="1466"/>
      <c r="EU665" s="1466"/>
      <c r="EV665" s="1466"/>
      <c r="EW665" s="1466" t="e">
        <f t="shared" si="7"/>
        <v>#VALUE!</v>
      </c>
      <c r="EX665" s="1466"/>
      <c r="EY665" s="1466"/>
      <c r="EZ665" s="1466"/>
      <c r="FA665" s="1466"/>
    </row>
    <row r="666" spans="1:157" ht="12.95" customHeight="1">
      <c r="A666" s="22"/>
      <c r="T666" s="22"/>
      <c r="AZ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466" t="e">
        <f t="shared" si="2"/>
        <v>#VALUE!</v>
      </c>
      <c r="DY666" s="1466"/>
      <c r="DZ666" s="1466"/>
      <c r="EA666" s="1466"/>
      <c r="EB666" s="1466"/>
      <c r="EC666" s="1466" t="e">
        <f t="shared" si="3"/>
        <v>#VALUE!</v>
      </c>
      <c r="ED666" s="1466"/>
      <c r="EE666" s="1466"/>
      <c r="EF666" s="1466"/>
      <c r="EG666" s="1466"/>
      <c r="EH666" s="1466" t="e">
        <f t="shared" si="4"/>
        <v>#VALUE!</v>
      </c>
      <c r="EI666" s="1466"/>
      <c r="EJ666" s="1466"/>
      <c r="EK666" s="1466"/>
      <c r="EL666" s="1466"/>
      <c r="EM666" s="1466" t="e">
        <f t="shared" si="5"/>
        <v>#VALUE!</v>
      </c>
      <c r="EN666" s="1466"/>
      <c r="EO666" s="1466"/>
      <c r="EP666" s="1466"/>
      <c r="EQ666" s="1466"/>
      <c r="ER666" s="1466" t="e">
        <f t="shared" si="6"/>
        <v>#VALUE!</v>
      </c>
      <c r="ES666" s="1466"/>
      <c r="ET666" s="1466"/>
      <c r="EU666" s="1466"/>
      <c r="EV666" s="1466"/>
      <c r="EW666" s="1466" t="e">
        <f t="shared" si="7"/>
        <v>#VALUE!</v>
      </c>
      <c r="EX666" s="1466"/>
      <c r="EY666" s="1466"/>
      <c r="EZ666" s="1466"/>
      <c r="FA666" s="1466"/>
    </row>
    <row r="667" spans="1:157" ht="12.95" customHeight="1">
      <c r="A667" s="55" t="s">
        <v>455</v>
      </c>
      <c r="B667" t="s">
        <v>463</v>
      </c>
      <c r="G667" s="1380">
        <f>C633</f>
        <v>0</v>
      </c>
      <c r="H667" s="1380"/>
      <c r="I667" s="1380"/>
      <c r="J667" s="1380"/>
      <c r="K667" s="1380"/>
      <c r="L667" s="1380"/>
      <c r="M667" s="1380"/>
      <c r="N667" s="1380"/>
      <c r="O667" s="1380"/>
      <c r="P667" s="1380"/>
      <c r="Q667" s="1380"/>
      <c r="R667" s="1380"/>
      <c r="T667" s="55" t="s">
        <v>456</v>
      </c>
      <c r="U667" t="s">
        <v>463</v>
      </c>
      <c r="Z667" s="1380">
        <f>C634</f>
        <v>0</v>
      </c>
      <c r="AA667" s="1380"/>
      <c r="AB667" s="1380"/>
      <c r="AC667" s="1380"/>
      <c r="AD667" s="1380"/>
      <c r="AE667" s="1380"/>
      <c r="AF667" s="1380"/>
      <c r="AG667" s="1380"/>
      <c r="AH667" s="1380"/>
      <c r="AI667" s="1380"/>
      <c r="AJ667" s="1380"/>
      <c r="AK667" s="1380"/>
      <c r="AZ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466" t="e">
        <f t="shared" si="2"/>
        <v>#VALUE!</v>
      </c>
      <c r="DY667" s="1466"/>
      <c r="DZ667" s="1466"/>
      <c r="EA667" s="1466"/>
      <c r="EB667" s="1466"/>
      <c r="EC667" s="1466" t="e">
        <f t="shared" si="3"/>
        <v>#VALUE!</v>
      </c>
      <c r="ED667" s="1466"/>
      <c r="EE667" s="1466"/>
      <c r="EF667" s="1466"/>
      <c r="EG667" s="1466"/>
      <c r="EH667" s="1466" t="e">
        <f t="shared" si="4"/>
        <v>#VALUE!</v>
      </c>
      <c r="EI667" s="1466"/>
      <c r="EJ667" s="1466"/>
      <c r="EK667" s="1466"/>
      <c r="EL667" s="1466"/>
      <c r="EM667" s="1466" t="e">
        <f t="shared" si="5"/>
        <v>#VALUE!</v>
      </c>
      <c r="EN667" s="1466"/>
      <c r="EO667" s="1466"/>
      <c r="EP667" s="1466"/>
      <c r="EQ667" s="1466"/>
      <c r="ER667" s="1466" t="e">
        <f t="shared" si="6"/>
        <v>#VALUE!</v>
      </c>
      <c r="ES667" s="1466"/>
      <c r="ET667" s="1466"/>
      <c r="EU667" s="1466"/>
      <c r="EV667" s="1466"/>
      <c r="EW667" s="1466" t="e">
        <f t="shared" si="7"/>
        <v>#VALUE!</v>
      </c>
      <c r="EX667" s="1466"/>
      <c r="EY667" s="1466"/>
      <c r="EZ667" s="1466"/>
      <c r="FA667" s="1466"/>
    </row>
    <row r="668" spans="1:157" ht="12.95" customHeight="1">
      <c r="A668" s="22"/>
      <c r="B668" t="s">
        <v>85</v>
      </c>
      <c r="G668" s="1425"/>
      <c r="H668" s="1425"/>
      <c r="I668" s="1425"/>
      <c r="J668" s="1425"/>
      <c r="K668" s="1425"/>
      <c r="L668" s="1425"/>
      <c r="M668" s="1425"/>
      <c r="N668" s="1425"/>
      <c r="O668" s="1425"/>
      <c r="P668" s="1425"/>
      <c r="Q668" s="1425"/>
      <c r="R668" s="1425"/>
      <c r="T668" s="22"/>
      <c r="U668" t="s">
        <v>85</v>
      </c>
      <c r="Z668" s="1425"/>
      <c r="AA668" s="1425"/>
      <c r="AB668" s="1425"/>
      <c r="AC668" s="1425"/>
      <c r="AD668" s="1425"/>
      <c r="AE668" s="1425"/>
      <c r="AF668" s="1425"/>
      <c r="AG668" s="1425"/>
      <c r="AH668" s="1425"/>
      <c r="AI668" s="1425"/>
      <c r="AJ668" s="1425"/>
      <c r="AK668" s="1425"/>
      <c r="AZ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466" t="e">
        <f t="shared" si="2"/>
        <v>#VALUE!</v>
      </c>
      <c r="DY668" s="1466"/>
      <c r="DZ668" s="1466"/>
      <c r="EA668" s="1466"/>
      <c r="EB668" s="1466"/>
      <c r="EC668" s="1466" t="e">
        <f t="shared" si="3"/>
        <v>#VALUE!</v>
      </c>
      <c r="ED668" s="1466"/>
      <c r="EE668" s="1466"/>
      <c r="EF668" s="1466"/>
      <c r="EG668" s="1466"/>
      <c r="EH668" s="1466" t="e">
        <f t="shared" si="4"/>
        <v>#VALUE!</v>
      </c>
      <c r="EI668" s="1466"/>
      <c r="EJ668" s="1466"/>
      <c r="EK668" s="1466"/>
      <c r="EL668" s="1466"/>
      <c r="EM668" s="1466" t="e">
        <f t="shared" si="5"/>
        <v>#VALUE!</v>
      </c>
      <c r="EN668" s="1466"/>
      <c r="EO668" s="1466"/>
      <c r="EP668" s="1466"/>
      <c r="EQ668" s="1466"/>
      <c r="ER668" s="1466" t="e">
        <f t="shared" si="6"/>
        <v>#VALUE!</v>
      </c>
      <c r="ES668" s="1466"/>
      <c r="ET668" s="1466"/>
      <c r="EU668" s="1466"/>
      <c r="EV668" s="1466"/>
      <c r="EW668" s="1466" t="e">
        <f t="shared" si="7"/>
        <v>#VALUE!</v>
      </c>
      <c r="EX668" s="1466"/>
      <c r="EY668" s="1466"/>
      <c r="EZ668" s="1466"/>
      <c r="FA668" s="1466"/>
    </row>
    <row r="669" spans="1:157" ht="12.95" customHeight="1">
      <c r="A669" s="22"/>
      <c r="B669" t="s">
        <v>580</v>
      </c>
      <c r="G669" s="1425"/>
      <c r="H669" s="1425"/>
      <c r="I669" s="1425"/>
      <c r="J669" s="1425"/>
      <c r="K669" s="1425"/>
      <c r="L669" s="1425"/>
      <c r="M669" s="1425"/>
      <c r="N669" s="1425"/>
      <c r="O669" s="1425"/>
      <c r="P669" s="1425"/>
      <c r="Q669" s="1425"/>
      <c r="R669" s="1425"/>
      <c r="T669" s="22"/>
      <c r="U669" t="s">
        <v>580</v>
      </c>
      <c r="Z669" s="1458"/>
      <c r="AA669" s="1458"/>
      <c r="AB669" s="1458"/>
      <c r="AC669" s="1458"/>
      <c r="AD669" s="1458"/>
      <c r="AE669" s="1458"/>
      <c r="AF669" s="1458"/>
      <c r="AG669" s="1458"/>
      <c r="AH669" s="1458"/>
      <c r="AI669" s="1458"/>
      <c r="AJ669" s="1458"/>
      <c r="AK669" s="1458"/>
      <c r="AZ669" s="3"/>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466" t="e">
        <f t="shared" si="2"/>
        <v>#VALUE!</v>
      </c>
      <c r="DY669" s="1466"/>
      <c r="DZ669" s="1466"/>
      <c r="EA669" s="1466"/>
      <c r="EB669" s="1466"/>
      <c r="EC669" s="1466" t="e">
        <f t="shared" si="3"/>
        <v>#VALUE!</v>
      </c>
      <c r="ED669" s="1466"/>
      <c r="EE669" s="1466"/>
      <c r="EF669" s="1466"/>
      <c r="EG669" s="1466"/>
      <c r="EH669" s="1466" t="e">
        <f t="shared" si="4"/>
        <v>#VALUE!</v>
      </c>
      <c r="EI669" s="1466"/>
      <c r="EJ669" s="1466"/>
      <c r="EK669" s="1466"/>
      <c r="EL669" s="1466"/>
      <c r="EM669" s="1466" t="e">
        <f t="shared" si="5"/>
        <v>#VALUE!</v>
      </c>
      <c r="EN669" s="1466"/>
      <c r="EO669" s="1466"/>
      <c r="EP669" s="1466"/>
      <c r="EQ669" s="1466"/>
      <c r="ER669" s="1466" t="e">
        <f t="shared" si="6"/>
        <v>#VALUE!</v>
      </c>
      <c r="ES669" s="1466"/>
      <c r="ET669" s="1466"/>
      <c r="EU669" s="1466"/>
      <c r="EV669" s="1466"/>
      <c r="EW669" s="1466" t="e">
        <f t="shared" si="7"/>
        <v>#VALUE!</v>
      </c>
      <c r="EX669" s="1466"/>
      <c r="EY669" s="1466"/>
      <c r="EZ669" s="1466"/>
      <c r="FA669" s="1466"/>
    </row>
    <row r="670" spans="1:157" ht="12.95" customHeight="1">
      <c r="A670" s="22"/>
      <c r="B670" t="s">
        <v>17</v>
      </c>
      <c r="G670" s="1425"/>
      <c r="H670" s="1425"/>
      <c r="I670" s="1425"/>
      <c r="J670" s="1425"/>
      <c r="K670" s="1425"/>
      <c r="L670" s="1425"/>
      <c r="M670" s="1425"/>
      <c r="N670" s="1425"/>
      <c r="O670" s="1425"/>
      <c r="P670" s="1425"/>
      <c r="Q670" s="1425"/>
      <c r="R670" s="1425"/>
      <c r="T670" s="22"/>
      <c r="U670" t="s">
        <v>17</v>
      </c>
      <c r="Z670" s="1458"/>
      <c r="AA670" s="1458"/>
      <c r="AB670" s="1458"/>
      <c r="AC670" s="1458"/>
      <c r="AD670" s="1458"/>
      <c r="AE670" s="1458"/>
      <c r="AF670" s="1458"/>
      <c r="AG670" s="1458"/>
      <c r="AH670" s="1458"/>
      <c r="AI670" s="1458"/>
      <c r="AJ670" s="1458"/>
      <c r="AK670" s="1458"/>
      <c r="AZ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466">
        <f>SUMIF(DX635:EB669,"&gt;0")</f>
        <v>1225.2673267326734</v>
      </c>
      <c r="DY670" s="1466"/>
      <c r="DZ670" s="1466"/>
      <c r="EA670" s="1466"/>
      <c r="EB670" s="1466"/>
      <c r="EC670" s="1466">
        <f>SUMIF(EC635:EG669,"&gt;0")</f>
        <v>1560</v>
      </c>
      <c r="ED670" s="1466"/>
      <c r="EE670" s="1466"/>
      <c r="EF670" s="1466"/>
      <c r="EG670" s="1466"/>
      <c r="EH670" s="1466">
        <f>SUMIF(EH635:EL669,"&gt;0")</f>
        <v>2059.8709677419356</v>
      </c>
      <c r="EI670" s="1466"/>
      <c r="EJ670" s="1466"/>
      <c r="EK670" s="1466"/>
      <c r="EL670" s="1466"/>
      <c r="EM670" s="1466">
        <f>SUMIF(EM635:EQ669,"&gt;0")</f>
        <v>0</v>
      </c>
      <c r="EN670" s="1466"/>
      <c r="EO670" s="1466"/>
      <c r="EP670" s="1466"/>
      <c r="EQ670" s="1466"/>
      <c r="ER670" s="1466">
        <f>SUMIF(ER635:EV669,"&gt;0")</f>
        <v>0</v>
      </c>
      <c r="ES670" s="1466"/>
      <c r="ET670" s="1466"/>
      <c r="EU670" s="1466"/>
      <c r="EV670" s="1466"/>
      <c r="EW670" s="1466">
        <f>SUMIF(EW635:FA669,"&gt;0")</f>
        <v>0</v>
      </c>
      <c r="EX670" s="1466"/>
      <c r="EY670" s="1466"/>
      <c r="EZ670" s="1466"/>
      <c r="FA670" s="1466"/>
    </row>
    <row r="671" spans="1:157" ht="12.95" customHeight="1">
      <c r="A671" s="22"/>
      <c r="B671" t="s">
        <v>315</v>
      </c>
      <c r="G671" s="1459"/>
      <c r="H671" s="1459"/>
      <c r="I671" s="1459"/>
      <c r="J671" s="1459"/>
      <c r="K671" s="1459"/>
      <c r="L671" s="1459"/>
      <c r="O671" s="33" t="s">
        <v>205</v>
      </c>
      <c r="P671" s="1439"/>
      <c r="Q671" s="1439"/>
      <c r="R671" s="1439"/>
      <c r="T671" s="22"/>
      <c r="U671" t="s">
        <v>315</v>
      </c>
      <c r="Z671" s="1459"/>
      <c r="AA671" s="1459"/>
      <c r="AB671" s="1459"/>
      <c r="AC671" s="1459"/>
      <c r="AD671" s="1459"/>
      <c r="AE671" s="1459"/>
      <c r="AH671" s="33" t="s">
        <v>205</v>
      </c>
      <c r="AI671" s="1439"/>
      <c r="AJ671" s="1439"/>
      <c r="AK671" s="1439"/>
      <c r="AZ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95" customHeight="1">
      <c r="A672" s="22"/>
      <c r="B672" t="s">
        <v>18</v>
      </c>
      <c r="H672" s="1425"/>
      <c r="I672" s="1425"/>
      <c r="J672" s="1425"/>
      <c r="K672" s="1425"/>
      <c r="L672" s="1425"/>
      <c r="M672" s="1425"/>
      <c r="N672" s="1425"/>
      <c r="O672" s="1425"/>
      <c r="P672" s="1425"/>
      <c r="Q672" s="1425"/>
      <c r="R672" s="1425"/>
      <c r="T672" s="22"/>
      <c r="U672" t="s">
        <v>18</v>
      </c>
      <c r="AA672" s="1425"/>
      <c r="AB672" s="1425"/>
      <c r="AC672" s="1425"/>
      <c r="AD672" s="1425"/>
      <c r="AE672" s="1425"/>
      <c r="AF672" s="1425"/>
      <c r="AG672" s="1425"/>
      <c r="AH672" s="1425"/>
      <c r="AI672" s="1425"/>
      <c r="AJ672" s="1425"/>
      <c r="AK672" s="1425"/>
      <c r="AZ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52" ht="12.95" customHeight="1">
      <c r="A673" s="22"/>
      <c r="B673" t="s">
        <v>20</v>
      </c>
      <c r="N673" s="1330" t="s">
        <v>669</v>
      </c>
      <c r="O673" s="1330"/>
      <c r="T673" s="22"/>
      <c r="U673" t="s">
        <v>20</v>
      </c>
      <c r="AG673" s="1330" t="s">
        <v>669</v>
      </c>
      <c r="AH673" s="1330"/>
      <c r="AZ673" s="3"/>
    </row>
    <row r="674" spans="1:52" ht="12.95" customHeight="1">
      <c r="A674" s="22"/>
      <c r="T674" s="22"/>
      <c r="AZ674" s="3"/>
    </row>
    <row r="675" spans="1:52" ht="12.95" customHeight="1">
      <c r="A675" s="55" t="s">
        <v>461</v>
      </c>
      <c r="B675" t="s">
        <v>463</v>
      </c>
      <c r="G675" s="1380">
        <f>C635</f>
        <v>0</v>
      </c>
      <c r="H675" s="1380"/>
      <c r="I675" s="1380"/>
      <c r="J675" s="1380"/>
      <c r="K675" s="1380"/>
      <c r="L675" s="1380"/>
      <c r="M675" s="1380"/>
      <c r="N675" s="1380"/>
      <c r="O675" s="1380"/>
      <c r="P675" s="1380"/>
      <c r="Q675" s="1380"/>
      <c r="R675" s="1380"/>
      <c r="T675" s="55" t="s">
        <v>646</v>
      </c>
      <c r="U675" t="s">
        <v>463</v>
      </c>
      <c r="Z675" s="1380">
        <f>C636</f>
        <v>0</v>
      </c>
      <c r="AA675" s="1380"/>
      <c r="AB675" s="1380"/>
      <c r="AC675" s="1380"/>
      <c r="AD675" s="1380"/>
      <c r="AE675" s="1380"/>
      <c r="AF675" s="1380"/>
      <c r="AG675" s="1380"/>
      <c r="AH675" s="1380"/>
      <c r="AI675" s="1380"/>
      <c r="AJ675" s="1380"/>
      <c r="AK675" s="1380"/>
      <c r="AZ675" s="3"/>
    </row>
    <row r="676" spans="1:52" ht="12.95" customHeight="1">
      <c r="A676" s="22"/>
      <c r="B676" t="s">
        <v>85</v>
      </c>
      <c r="G676" s="1425"/>
      <c r="H676" s="1425"/>
      <c r="I676" s="1425"/>
      <c r="J676" s="1425"/>
      <c r="K676" s="1425"/>
      <c r="L676" s="1425"/>
      <c r="M676" s="1425"/>
      <c r="N676" s="1425"/>
      <c r="O676" s="1425"/>
      <c r="P676" s="1425"/>
      <c r="Q676" s="1425"/>
      <c r="R676" s="1425"/>
      <c r="T676" s="22"/>
      <c r="U676" t="s">
        <v>85</v>
      </c>
      <c r="Z676" s="1425"/>
      <c r="AA676" s="1425"/>
      <c r="AB676" s="1425"/>
      <c r="AC676" s="1425"/>
      <c r="AD676" s="1425"/>
      <c r="AE676" s="1425"/>
      <c r="AF676" s="1425"/>
      <c r="AG676" s="1425"/>
      <c r="AH676" s="1425"/>
      <c r="AI676" s="1425"/>
      <c r="AJ676" s="1425"/>
      <c r="AK676" s="1425"/>
      <c r="AZ676" s="3"/>
    </row>
    <row r="677" spans="1:52" ht="12.95" customHeight="1">
      <c r="A677" s="22"/>
      <c r="B677" t="s">
        <v>580</v>
      </c>
      <c r="G677" s="1425"/>
      <c r="H677" s="1425"/>
      <c r="I677" s="1425"/>
      <c r="J677" s="1425"/>
      <c r="K677" s="1425"/>
      <c r="L677" s="1425"/>
      <c r="M677" s="1425"/>
      <c r="N677" s="1425"/>
      <c r="O677" s="1425"/>
      <c r="P677" s="1425"/>
      <c r="Q677" s="1425"/>
      <c r="R677" s="1425"/>
      <c r="T677" s="22"/>
      <c r="U677" t="s">
        <v>580</v>
      </c>
      <c r="Z677" s="1458"/>
      <c r="AA677" s="1458"/>
      <c r="AB677" s="1458"/>
      <c r="AC677" s="1458"/>
      <c r="AD677" s="1458"/>
      <c r="AE677" s="1458"/>
      <c r="AF677" s="1458"/>
      <c r="AG677" s="1458"/>
      <c r="AH677" s="1458"/>
      <c r="AI677" s="1458"/>
      <c r="AJ677" s="1458"/>
      <c r="AK677" s="1458"/>
      <c r="AZ677" s="3"/>
    </row>
    <row r="678" spans="1:52" ht="12.95" customHeight="1">
      <c r="A678" s="22"/>
      <c r="B678" t="s">
        <v>17</v>
      </c>
      <c r="G678" s="1425"/>
      <c r="H678" s="1425"/>
      <c r="I678" s="1425"/>
      <c r="J678" s="1425"/>
      <c r="K678" s="1425"/>
      <c r="L678" s="1425"/>
      <c r="M678" s="1425"/>
      <c r="N678" s="1425"/>
      <c r="O678" s="1425"/>
      <c r="P678" s="1425"/>
      <c r="Q678" s="1425"/>
      <c r="R678" s="1425"/>
      <c r="T678" s="22"/>
      <c r="U678" t="s">
        <v>17</v>
      </c>
      <c r="Z678" s="1458"/>
      <c r="AA678" s="1458"/>
      <c r="AB678" s="1458"/>
      <c r="AC678" s="1458"/>
      <c r="AD678" s="1458"/>
      <c r="AE678" s="1458"/>
      <c r="AF678" s="1458"/>
      <c r="AG678" s="1458"/>
      <c r="AH678" s="1458"/>
      <c r="AI678" s="1458"/>
      <c r="AJ678" s="1458"/>
      <c r="AK678" s="1458"/>
      <c r="AZ678" s="3"/>
    </row>
    <row r="679" spans="1:52" ht="12.95" customHeight="1">
      <c r="A679" s="22"/>
      <c r="B679" t="s">
        <v>315</v>
      </c>
      <c r="G679" s="1459"/>
      <c r="H679" s="1459"/>
      <c r="I679" s="1459"/>
      <c r="J679" s="1459"/>
      <c r="K679" s="1459"/>
      <c r="L679" s="1459"/>
      <c r="O679" s="33" t="s">
        <v>205</v>
      </c>
      <c r="P679" s="1439"/>
      <c r="Q679" s="1439"/>
      <c r="R679" s="1439"/>
      <c r="T679" s="22"/>
      <c r="U679" t="s">
        <v>315</v>
      </c>
      <c r="Z679" s="1459"/>
      <c r="AA679" s="1459"/>
      <c r="AB679" s="1459"/>
      <c r="AC679" s="1459"/>
      <c r="AD679" s="1459"/>
      <c r="AE679" s="1459"/>
      <c r="AH679" s="33" t="s">
        <v>205</v>
      </c>
      <c r="AI679" s="1439"/>
      <c r="AJ679" s="1439"/>
      <c r="AK679" s="1439"/>
      <c r="AZ679" s="3"/>
    </row>
    <row r="680" spans="1:52" ht="12.95" customHeight="1">
      <c r="A680" s="22"/>
      <c r="B680" t="s">
        <v>18</v>
      </c>
      <c r="H680" s="1425"/>
      <c r="I680" s="1425"/>
      <c r="J680" s="1425"/>
      <c r="K680" s="1425"/>
      <c r="L680" s="1425"/>
      <c r="M680" s="1425"/>
      <c r="N680" s="1425"/>
      <c r="O680" s="1425"/>
      <c r="P680" s="1425"/>
      <c r="Q680" s="1425"/>
      <c r="R680" s="1425"/>
      <c r="T680" s="22"/>
      <c r="U680" t="s">
        <v>18</v>
      </c>
      <c r="AA680" s="1425"/>
      <c r="AB680" s="1425"/>
      <c r="AC680" s="1425"/>
      <c r="AD680" s="1425"/>
      <c r="AE680" s="1425"/>
      <c r="AF680" s="1425"/>
      <c r="AG680" s="1425"/>
      <c r="AH680" s="1425"/>
      <c r="AI680" s="1425"/>
      <c r="AJ680" s="1425"/>
      <c r="AK680" s="1425"/>
      <c r="AZ680" s="3"/>
    </row>
    <row r="681" spans="1:52" ht="12.95" customHeight="1">
      <c r="A681" s="22"/>
      <c r="B681" t="s">
        <v>20</v>
      </c>
      <c r="N681" s="1330" t="s">
        <v>669</v>
      </c>
      <c r="O681" s="1330"/>
      <c r="T681" s="22"/>
      <c r="U681" t="s">
        <v>20</v>
      </c>
      <c r="AG681" s="1330" t="s">
        <v>669</v>
      </c>
      <c r="AH681" s="1330"/>
      <c r="AZ681" s="3"/>
    </row>
    <row r="682" spans="1:52" ht="12.95" customHeight="1">
      <c r="A682" s="22"/>
      <c r="T682" s="22"/>
      <c r="AZ682" s="3"/>
    </row>
    <row r="683" spans="1:52" ht="12.95" customHeight="1">
      <c r="A683" s="55" t="s">
        <v>361</v>
      </c>
      <c r="B683" t="s">
        <v>463</v>
      </c>
      <c r="G683" s="1380">
        <f>C637</f>
        <v>0</v>
      </c>
      <c r="H683" s="1380"/>
      <c r="I683" s="1380"/>
      <c r="J683" s="1380"/>
      <c r="K683" s="1380"/>
      <c r="L683" s="1380"/>
      <c r="M683" s="1380"/>
      <c r="N683" s="1380"/>
      <c r="O683" s="1380"/>
      <c r="P683" s="1380"/>
      <c r="Q683" s="1380"/>
      <c r="R683" s="1380"/>
      <c r="T683" s="55" t="s">
        <v>362</v>
      </c>
      <c r="U683" t="s">
        <v>463</v>
      </c>
      <c r="Z683" s="1380">
        <f>C638</f>
        <v>0</v>
      </c>
      <c r="AA683" s="1380"/>
      <c r="AB683" s="1380"/>
      <c r="AC683" s="1380"/>
      <c r="AD683" s="1380"/>
      <c r="AE683" s="1380"/>
      <c r="AF683" s="1380"/>
      <c r="AG683" s="1380"/>
      <c r="AH683" s="1380"/>
      <c r="AI683" s="1380"/>
      <c r="AJ683" s="1380"/>
      <c r="AK683" s="1380"/>
      <c r="AZ683" s="3"/>
    </row>
    <row r="684" spans="1:52" ht="12.95" customHeight="1">
      <c r="B684" t="s">
        <v>85</v>
      </c>
      <c r="G684" s="1425"/>
      <c r="H684" s="1425"/>
      <c r="I684" s="1425"/>
      <c r="J684" s="1425"/>
      <c r="K684" s="1425"/>
      <c r="L684" s="1425"/>
      <c r="M684" s="1425"/>
      <c r="N684" s="1425"/>
      <c r="O684" s="1425"/>
      <c r="P684" s="1425"/>
      <c r="Q684" s="1425"/>
      <c r="R684" s="1425"/>
      <c r="T684" s="22"/>
      <c r="U684" t="s">
        <v>85</v>
      </c>
      <c r="Z684" s="1425"/>
      <c r="AA684" s="1425"/>
      <c r="AB684" s="1425"/>
      <c r="AC684" s="1425"/>
      <c r="AD684" s="1425"/>
      <c r="AE684" s="1425"/>
      <c r="AF684" s="1425"/>
      <c r="AG684" s="1425"/>
      <c r="AH684" s="1425"/>
      <c r="AI684" s="1425"/>
      <c r="AJ684" s="1425"/>
      <c r="AK684" s="1425"/>
      <c r="AZ684" s="3"/>
    </row>
    <row r="685" spans="1:52" ht="12.95" customHeight="1">
      <c r="B685" t="s">
        <v>580</v>
      </c>
      <c r="G685" s="1425"/>
      <c r="H685" s="1425"/>
      <c r="I685" s="1425"/>
      <c r="J685" s="1425"/>
      <c r="K685" s="1425"/>
      <c r="L685" s="1425"/>
      <c r="M685" s="1425"/>
      <c r="N685" s="1425"/>
      <c r="O685" s="1425"/>
      <c r="P685" s="1425"/>
      <c r="Q685" s="1425"/>
      <c r="R685" s="1425"/>
      <c r="U685" t="s">
        <v>580</v>
      </c>
      <c r="Z685" s="1458"/>
      <c r="AA685" s="1458"/>
      <c r="AB685" s="1458"/>
      <c r="AC685" s="1458"/>
      <c r="AD685" s="1458"/>
      <c r="AE685" s="1458"/>
      <c r="AF685" s="1458"/>
      <c r="AG685" s="1458"/>
      <c r="AH685" s="1458"/>
      <c r="AI685" s="1458"/>
      <c r="AJ685" s="1458"/>
      <c r="AK685" s="1458"/>
      <c r="AZ685" s="3"/>
    </row>
    <row r="686" spans="1:52" ht="12.95" customHeight="1">
      <c r="B686" t="s">
        <v>17</v>
      </c>
      <c r="G686" s="1425"/>
      <c r="H686" s="1425"/>
      <c r="I686" s="1425"/>
      <c r="J686" s="1425"/>
      <c r="K686" s="1425"/>
      <c r="L686" s="1425"/>
      <c r="M686" s="1425"/>
      <c r="N686" s="1425"/>
      <c r="O686" s="1425"/>
      <c r="P686" s="1425"/>
      <c r="Q686" s="1425"/>
      <c r="R686" s="1425"/>
      <c r="U686" t="s">
        <v>17</v>
      </c>
      <c r="Z686" s="1458"/>
      <c r="AA686" s="1458"/>
      <c r="AB686" s="1458"/>
      <c r="AC686" s="1458"/>
      <c r="AD686" s="1458"/>
      <c r="AE686" s="1458"/>
      <c r="AF686" s="1458"/>
      <c r="AG686" s="1458"/>
      <c r="AH686" s="1458"/>
      <c r="AI686" s="1458"/>
      <c r="AJ686" s="1458"/>
      <c r="AK686" s="1458"/>
      <c r="AZ686" s="3"/>
    </row>
    <row r="687" spans="1:52" ht="12.95" customHeight="1">
      <c r="B687" t="s">
        <v>315</v>
      </c>
      <c r="G687" s="1459"/>
      <c r="H687" s="1459"/>
      <c r="I687" s="1459"/>
      <c r="J687" s="1459"/>
      <c r="K687" s="1459"/>
      <c r="L687" s="1459"/>
      <c r="O687" s="33" t="s">
        <v>205</v>
      </c>
      <c r="P687" s="1439"/>
      <c r="Q687" s="1439"/>
      <c r="R687" s="1439"/>
      <c r="U687" t="s">
        <v>315</v>
      </c>
      <c r="Z687" s="1459"/>
      <c r="AA687" s="1459"/>
      <c r="AB687" s="1459"/>
      <c r="AC687" s="1459"/>
      <c r="AD687" s="1459"/>
      <c r="AE687" s="1459"/>
      <c r="AH687" s="33" t="s">
        <v>205</v>
      </c>
      <c r="AI687" s="1439"/>
      <c r="AJ687" s="1439"/>
      <c r="AK687" s="1439"/>
      <c r="AZ687" s="3"/>
    </row>
    <row r="688" spans="1:52" ht="12.95" customHeight="1">
      <c r="B688" t="s">
        <v>18</v>
      </c>
      <c r="H688" s="1425"/>
      <c r="I688" s="1425"/>
      <c r="J688" s="1425"/>
      <c r="K688" s="1425"/>
      <c r="L688" s="1425"/>
      <c r="M688" s="1425"/>
      <c r="N688" s="1425"/>
      <c r="O688" s="1425"/>
      <c r="P688" s="1425"/>
      <c r="Q688" s="1425"/>
      <c r="R688" s="1425"/>
      <c r="U688" t="s">
        <v>18</v>
      </c>
      <c r="AA688" s="1425"/>
      <c r="AB688" s="1425"/>
      <c r="AC688" s="1425"/>
      <c r="AD688" s="1425"/>
      <c r="AE688" s="1425"/>
      <c r="AF688" s="1425"/>
      <c r="AG688" s="1425"/>
      <c r="AH688" s="1425"/>
      <c r="AI688" s="1425"/>
      <c r="AJ688" s="1425"/>
      <c r="AK688" s="1425"/>
      <c r="AZ688" s="3"/>
    </row>
    <row r="689" spans="1:67" ht="12.95" customHeight="1">
      <c r="B689" t="s">
        <v>20</v>
      </c>
      <c r="N689" s="1330" t="s">
        <v>669</v>
      </c>
      <c r="O689" s="1330"/>
      <c r="U689" t="s">
        <v>20</v>
      </c>
      <c r="AG689" s="1330" t="s">
        <v>669</v>
      </c>
      <c r="AH689" s="1330"/>
      <c r="AZ689" s="3"/>
    </row>
    <row r="690" spans="1:67" ht="12.95" customHeight="1">
      <c r="AZ690" s="3"/>
    </row>
    <row r="691" spans="1:67" ht="12.95" customHeight="1">
      <c r="A691" s="2" t="s">
        <v>576</v>
      </c>
      <c r="C691" s="2" t="s">
        <v>326</v>
      </c>
      <c r="E691" s="130"/>
      <c r="F691" s="130"/>
      <c r="G691" s="130"/>
      <c r="H691" s="130"/>
      <c r="AZ691" s="3"/>
    </row>
    <row r="692" spans="1:67" ht="12.95" customHeight="1">
      <c r="B692" s="135"/>
      <c r="C692" s="135"/>
      <c r="D692" s="136" t="s">
        <v>433</v>
      </c>
      <c r="E692" s="135"/>
      <c r="F692" s="135"/>
      <c r="G692" s="135"/>
      <c r="H692" s="135"/>
      <c r="AZ692" s="3"/>
    </row>
    <row r="693" spans="1:67" ht="12.95" customHeight="1">
      <c r="B693" s="135"/>
      <c r="C693" s="135"/>
      <c r="E693" s="136" t="s">
        <v>434</v>
      </c>
      <c r="F693" s="135"/>
      <c r="G693" s="135"/>
      <c r="H693" s="135"/>
      <c r="AE693" s="1330" t="s">
        <v>545</v>
      </c>
      <c r="AF693" s="1330"/>
      <c r="AZ693" s="3"/>
    </row>
    <row r="694" spans="1:67" ht="12.95" customHeight="1">
      <c r="B694" s="135"/>
      <c r="C694" s="135"/>
      <c r="D694" s="136" t="s">
        <v>437</v>
      </c>
      <c r="E694" s="135"/>
      <c r="F694" s="135"/>
      <c r="G694" s="135"/>
      <c r="H694" s="135"/>
      <c r="AE694" s="1330" t="s">
        <v>669</v>
      </c>
      <c r="AF694" s="1330"/>
      <c r="AZ694" s="3"/>
    </row>
    <row r="695" spans="1:67" ht="12.95" customHeight="1">
      <c r="B695" s="135"/>
      <c r="C695" s="135"/>
      <c r="D695" s="136" t="s">
        <v>920</v>
      </c>
      <c r="E695" s="135"/>
      <c r="F695" s="135"/>
      <c r="G695" s="135"/>
      <c r="H695" s="135"/>
      <c r="AE695" s="1671"/>
      <c r="AF695" s="1671"/>
      <c r="AG695" s="1671"/>
      <c r="AH695" s="1671"/>
      <c r="AI695" s="1671"/>
    </row>
    <row r="696" spans="1:67" ht="12.95" customHeight="1">
      <c r="B696" s="135"/>
      <c r="C696" s="135"/>
      <c r="D696" s="318" t="s">
        <v>982</v>
      </c>
      <c r="E696" s="135"/>
      <c r="F696" s="135"/>
      <c r="G696" s="135"/>
      <c r="H696" s="135"/>
      <c r="AE696" s="1708"/>
      <c r="AF696" s="1708"/>
      <c r="AG696" s="1708"/>
      <c r="AH696" s="1708"/>
      <c r="AI696" s="1708"/>
    </row>
    <row r="697" spans="1:67" ht="12.95" customHeight="1">
      <c r="B697" s="135"/>
      <c r="C697" s="135"/>
    </row>
    <row r="698" spans="1:67" ht="12.95" customHeight="1">
      <c r="B698" s="135"/>
      <c r="C698" s="135"/>
      <c r="D698" s="136" t="s">
        <v>816</v>
      </c>
      <c r="E698" s="135"/>
      <c r="F698" s="135"/>
      <c r="G698" s="135"/>
      <c r="H698" s="135"/>
      <c r="AE698" s="1671">
        <v>45901</v>
      </c>
      <c r="AF698" s="1671"/>
      <c r="AG698" s="1671"/>
      <c r="AH698" s="1671"/>
      <c r="AI698" s="1671"/>
    </row>
    <row r="699" spans="1:67" ht="12.95" customHeight="1">
      <c r="B699" s="135"/>
      <c r="C699" s="135"/>
      <c r="D699" s="136" t="s">
        <v>435</v>
      </c>
      <c r="E699" s="135"/>
      <c r="F699" s="135"/>
      <c r="G699" s="135"/>
      <c r="H699" s="135"/>
      <c r="AE699" s="1670">
        <f>AM554/('Sources and Uses Budget'!S107+'Sources and Uses Budget'!C4+'Sources and Uses Budget'!C6)</f>
        <v>0.5305572891655338</v>
      </c>
      <c r="AF699" s="1670"/>
      <c r="AG699" s="1670"/>
      <c r="AH699" s="1670"/>
      <c r="AI699" s="1670"/>
    </row>
    <row r="700" spans="1:67" ht="12.95" customHeight="1">
      <c r="B700" s="135"/>
      <c r="C700" s="135"/>
      <c r="D700" s="136" t="s">
        <v>436</v>
      </c>
      <c r="E700" s="135"/>
      <c r="F700" s="135"/>
      <c r="G700" s="135"/>
      <c r="H700" s="135"/>
      <c r="W700" s="1380" t="str">
        <f>H335</f>
        <v>California Municipal Finance Authority</v>
      </c>
      <c r="X700" s="1380"/>
      <c r="Y700" s="1380"/>
      <c r="Z700" s="1380"/>
      <c r="AA700" s="1380"/>
      <c r="AB700" s="1380"/>
      <c r="AC700" s="1380"/>
      <c r="AD700" s="1380"/>
      <c r="AE700" s="1380"/>
      <c r="AF700" s="1380"/>
      <c r="AG700" s="1380"/>
      <c r="AH700" s="1380"/>
      <c r="AI700" s="1380"/>
      <c r="AJ700" s="1380"/>
      <c r="AK700" s="1380"/>
    </row>
    <row r="701" spans="1:67" ht="12.95" customHeight="1">
      <c r="B701" s="135"/>
      <c r="C701" s="135"/>
      <c r="D701" s="136"/>
      <c r="E701" s="135"/>
      <c r="F701" s="135"/>
      <c r="G701" s="135"/>
      <c r="H701" s="135"/>
    </row>
    <row r="702" spans="1:67" ht="12.95" customHeight="1">
      <c r="B702" s="135"/>
      <c r="C702" s="135"/>
      <c r="D702" s="136" t="s">
        <v>438</v>
      </c>
      <c r="E702" s="135"/>
      <c r="F702" s="135"/>
      <c r="G702" s="135"/>
      <c r="H702" s="135"/>
      <c r="AE702" s="1330" t="s">
        <v>669</v>
      </c>
      <c r="AF702" s="1330"/>
      <c r="AZ702" s="4" t="s">
        <v>323</v>
      </c>
    </row>
    <row r="703" spans="1:67" ht="12.95" customHeight="1">
      <c r="B703" s="135"/>
      <c r="C703" s="135"/>
      <c r="D703" s="136" t="s">
        <v>442</v>
      </c>
      <c r="E703" s="135"/>
      <c r="F703" s="135"/>
      <c r="G703" s="135"/>
      <c r="H703" s="135"/>
      <c r="W703" s="1425"/>
      <c r="X703" s="1425"/>
      <c r="Y703" s="1425"/>
      <c r="Z703" s="1425"/>
      <c r="AA703" s="1425"/>
      <c r="AB703" s="1425"/>
      <c r="AC703" s="1425"/>
      <c r="AD703" s="1425"/>
      <c r="AE703" s="1425"/>
      <c r="AF703" s="1425"/>
      <c r="AG703" s="1425"/>
      <c r="AH703" s="1425"/>
      <c r="AI703" s="1425"/>
      <c r="AJ703" s="1425"/>
      <c r="AK703" s="1425"/>
      <c r="AZ703" s="4" t="s">
        <v>324</v>
      </c>
    </row>
    <row r="704" spans="1:67" ht="12.95" customHeight="1">
      <c r="B704" s="135"/>
      <c r="C704" s="135"/>
      <c r="D704" s="136" t="s">
        <v>87</v>
      </c>
      <c r="E704" s="135"/>
      <c r="F704" s="135"/>
      <c r="G704" s="135"/>
      <c r="H704" s="135"/>
      <c r="J704" s="1425"/>
      <c r="K704" s="1425"/>
      <c r="L704" s="1425"/>
      <c r="M704" s="1425"/>
      <c r="N704" s="1425"/>
      <c r="O704" s="1425"/>
      <c r="P704" s="1425"/>
      <c r="Q704" s="1425"/>
      <c r="R704" s="1425"/>
      <c r="S704" s="1425"/>
      <c r="T704" s="1425"/>
      <c r="U704" s="1425"/>
      <c r="V704" s="1425"/>
      <c r="W704" s="1425"/>
      <c r="X704" s="1425"/>
      <c r="AZ704" s="4" t="s">
        <v>163</v>
      </c>
      <c r="BB704" s="34"/>
      <c r="BC704" s="34"/>
      <c r="BD704" s="34"/>
      <c r="BE704" s="3"/>
      <c r="BF704" s="3"/>
      <c r="BJ704" s="3"/>
      <c r="BK704" s="3"/>
      <c r="BL704" s="3"/>
      <c r="BM704" s="3"/>
      <c r="BN704" s="34"/>
      <c r="BO704" s="34"/>
    </row>
    <row r="705" spans="1:185" ht="12.95" customHeight="1">
      <c r="B705" s="135"/>
      <c r="C705" s="135"/>
      <c r="D705" s="136" t="s">
        <v>88</v>
      </c>
      <c r="J705" s="1459"/>
      <c r="K705" s="1459"/>
      <c r="L705" s="1459"/>
      <c r="M705" s="1459"/>
      <c r="N705" s="1459"/>
      <c r="O705" s="1459"/>
      <c r="P705" s="4" t="s">
        <v>205</v>
      </c>
      <c r="Q705" s="4"/>
      <c r="R705" s="1439"/>
      <c r="S705" s="1439"/>
      <c r="T705" s="1439"/>
      <c r="AZ705" s="4" t="s">
        <v>164</v>
      </c>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85" ht="12.95" customHeight="1">
      <c r="B706" s="135"/>
      <c r="C706" s="135"/>
      <c r="D706" s="136" t="s">
        <v>443</v>
      </c>
      <c r="W706" s="1425" t="s">
        <v>306</v>
      </c>
      <c r="X706" s="1425"/>
      <c r="Y706" s="1425"/>
      <c r="Z706" s="1425"/>
      <c r="AA706" s="1425"/>
      <c r="AB706" s="1425"/>
      <c r="AC706" s="1425"/>
      <c r="AD706" s="1425"/>
      <c r="AE706" s="1425"/>
      <c r="AF706" s="1425"/>
      <c r="AG706" s="1425"/>
      <c r="AH706" s="1425"/>
      <c r="AI706" s="1425"/>
      <c r="AJ706" s="1425"/>
      <c r="AK706" s="1425"/>
      <c r="AZ706" s="4" t="s">
        <v>165</v>
      </c>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85" ht="12.95" customHeight="1">
      <c r="B707" s="135"/>
      <c r="C707" s="135"/>
      <c r="D707" s="136"/>
      <c r="E707" s="1425" t="s">
        <v>333</v>
      </c>
      <c r="F707" s="1425"/>
      <c r="G707" s="1425"/>
      <c r="H707" s="1425"/>
      <c r="I707" s="1425"/>
      <c r="J707" s="1425"/>
      <c r="K707" s="1425"/>
      <c r="L707" s="1425"/>
      <c r="M707" s="1425"/>
      <c r="N707" s="1425"/>
      <c r="O707" s="1425"/>
      <c r="P707" s="1425"/>
      <c r="Q707" s="1425"/>
      <c r="R707" s="1425"/>
      <c r="S707" s="1425"/>
      <c r="T707" s="1425"/>
      <c r="U707" s="1425"/>
      <c r="V707" s="1425"/>
      <c r="W707" s="1425"/>
      <c r="X707" s="1425"/>
      <c r="Y707" s="1425"/>
      <c r="Z707" s="1425"/>
      <c r="AA707" s="1425"/>
      <c r="AB707" s="1425"/>
      <c r="AC707" s="1425"/>
      <c r="AD707" s="1425"/>
      <c r="AE707" s="1425"/>
      <c r="AF707" s="1425"/>
      <c r="AG707" s="1425"/>
      <c r="AH707" s="1425"/>
      <c r="AI707" s="1425"/>
      <c r="AJ707" s="1425"/>
      <c r="AK707" s="1425"/>
      <c r="AZ707" s="4" t="s">
        <v>30</v>
      </c>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85" ht="12.95"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85" ht="12.95" customHeight="1">
      <c r="A709" s="1258" t="s">
        <v>95</v>
      </c>
      <c r="B709" s="1258"/>
      <c r="C709" s="1258"/>
      <c r="D709" s="1258"/>
      <c r="E709" s="1258"/>
      <c r="F709" s="1258"/>
      <c r="G709" s="1258"/>
      <c r="H709" s="1258"/>
      <c r="I709" s="1258"/>
      <c r="J709" s="1258"/>
      <c r="K709" s="1258"/>
      <c r="L709" s="1258"/>
      <c r="M709" s="1258"/>
      <c r="N709" s="1258"/>
      <c r="O709" s="1258"/>
      <c r="P709" s="1258"/>
      <c r="Q709" s="1258"/>
      <c r="R709" s="1258"/>
      <c r="S709" s="1258"/>
      <c r="T709" s="1258"/>
      <c r="U709" s="1258"/>
      <c r="V709" s="1258"/>
      <c r="W709" s="1258"/>
      <c r="X709" s="1258"/>
      <c r="Y709" s="1258"/>
      <c r="Z709" s="1258"/>
      <c r="AA709" s="1258"/>
      <c r="AB709" s="1258"/>
      <c r="AC709" s="1258"/>
      <c r="AD709" s="1258"/>
      <c r="AE709" s="1258"/>
      <c r="AF709" s="1258"/>
      <c r="AG709" s="1258"/>
      <c r="AH709" s="1258"/>
      <c r="AI709" s="1258"/>
      <c r="AJ709" s="1258"/>
      <c r="AK709" s="1258"/>
      <c r="AL709" s="1258"/>
      <c r="AM709" s="1258"/>
      <c r="AN709" s="1258"/>
      <c r="AO709" s="1258"/>
      <c r="AP709" s="1258"/>
      <c r="AQ709" s="1258"/>
      <c r="AR709" s="1258"/>
      <c r="AS709" s="1258"/>
      <c r="AT709" s="1258"/>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85" ht="12.95" customHeight="1">
      <c r="A710" s="1258"/>
      <c r="B710" s="1258"/>
      <c r="C710" s="1258"/>
      <c r="D710" s="1258"/>
      <c r="E710" s="1258"/>
      <c r="F710" s="1258"/>
      <c r="G710" s="1258"/>
      <c r="H710" s="1258"/>
      <c r="I710" s="1258"/>
      <c r="J710" s="1258"/>
      <c r="K710" s="1258"/>
      <c r="L710" s="1258"/>
      <c r="M710" s="1258"/>
      <c r="N710" s="1258"/>
      <c r="O710" s="1258"/>
      <c r="P710" s="1258"/>
      <c r="Q710" s="1258"/>
      <c r="R710" s="1258"/>
      <c r="S710" s="1258"/>
      <c r="T710" s="1258"/>
      <c r="U710" s="1258"/>
      <c r="V710" s="1258"/>
      <c r="W710" s="1258"/>
      <c r="X710" s="1258"/>
      <c r="Y710" s="1258"/>
      <c r="Z710" s="1258"/>
      <c r="AA710" s="1258"/>
      <c r="AB710" s="1258"/>
      <c r="AC710" s="1258"/>
      <c r="AD710" s="1258"/>
      <c r="AE710" s="1258"/>
      <c r="AF710" s="1258"/>
      <c r="AG710" s="1258"/>
      <c r="AH710" s="1258"/>
      <c r="AI710" s="1258"/>
      <c r="AJ710" s="1258"/>
      <c r="AK710" s="1258"/>
      <c r="AL710" s="1258"/>
      <c r="AM710" s="1258"/>
      <c r="AN710" s="1258"/>
      <c r="AO710" s="1258"/>
      <c r="AP710" s="1258"/>
      <c r="AQ710" s="1258"/>
      <c r="AR710" s="1258"/>
      <c r="AS710" s="1258"/>
      <c r="AT710" s="1258"/>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85" ht="12.95" customHeight="1">
      <c r="A711" s="1258"/>
      <c r="B711" s="1258"/>
      <c r="C711" s="1258"/>
      <c r="D711" s="1258"/>
      <c r="E711" s="1258"/>
      <c r="F711" s="1258"/>
      <c r="G711" s="1258"/>
      <c r="H711" s="1258"/>
      <c r="I711" s="1258"/>
      <c r="J711" s="1258"/>
      <c r="K711" s="1258"/>
      <c r="L711" s="1258"/>
      <c r="M711" s="1258"/>
      <c r="N711" s="1258"/>
      <c r="O711" s="1258"/>
      <c r="P711" s="1258"/>
      <c r="Q711" s="1258"/>
      <c r="R711" s="1258"/>
      <c r="S711" s="1258"/>
      <c r="T711" s="1258"/>
      <c r="U711" s="1258"/>
      <c r="V711" s="1258"/>
      <c r="W711" s="1258"/>
      <c r="X711" s="1258"/>
      <c r="Y711" s="1258"/>
      <c r="Z711" s="1258"/>
      <c r="AA711" s="1258"/>
      <c r="AB711" s="1258"/>
      <c r="AC711" s="1258"/>
      <c r="AD711" s="1258"/>
      <c r="AE711" s="1258"/>
      <c r="AF711" s="1258"/>
      <c r="AG711" s="1258"/>
      <c r="AH711" s="1258"/>
      <c r="AI711" s="1258"/>
      <c r="AJ711" s="1258"/>
      <c r="AK711" s="1258"/>
      <c r="AL711" s="1258"/>
      <c r="AM711" s="1258"/>
      <c r="AN711" s="1258"/>
      <c r="AO711" s="1258"/>
      <c r="AP711" s="1258"/>
      <c r="AQ711" s="1258"/>
      <c r="AR711" s="1258"/>
      <c r="AS711" s="1258"/>
      <c r="AT711" s="1258"/>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85" ht="12.95" customHeight="1">
      <c r="A712" s="2" t="s">
        <v>318</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85" ht="12.95" customHeight="1">
      <c r="A713" s="2"/>
      <c r="B713" s="513"/>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85" ht="12.95" customHeight="1">
      <c r="B714" s="1476" t="s">
        <v>388</v>
      </c>
      <c r="C714" s="1477"/>
      <c r="D714" s="1477"/>
      <c r="E714" s="1477"/>
      <c r="F714" s="1478"/>
      <c r="G714" s="1476" t="s">
        <v>284</v>
      </c>
      <c r="H714" s="1477"/>
      <c r="I714" s="1477"/>
      <c r="J714" s="1478"/>
      <c r="K714" s="1617" t="s">
        <v>1678</v>
      </c>
      <c r="L714" s="1618"/>
      <c r="M714" s="1618"/>
      <c r="N714" s="1619"/>
      <c r="O714" s="1476" t="s">
        <v>447</v>
      </c>
      <c r="P714" s="1477"/>
      <c r="Q714" s="1477"/>
      <c r="R714" s="1477"/>
      <c r="S714" s="1478"/>
      <c r="T714" s="1665" t="s">
        <v>1949</v>
      </c>
      <c r="U714" s="1477"/>
      <c r="V714" s="1477"/>
      <c r="W714" s="1478"/>
      <c r="X714" s="1665" t="s">
        <v>1951</v>
      </c>
      <c r="Y714" s="1477"/>
      <c r="Z714" s="1477"/>
      <c r="AA714" s="1477"/>
      <c r="AB714" s="1478"/>
      <c r="AC714" s="1665" t="s">
        <v>1950</v>
      </c>
      <c r="AD714" s="1477"/>
      <c r="AE714" s="1477"/>
      <c r="AF714" s="1477"/>
      <c r="AG714" s="1478"/>
      <c r="AH714" s="1665" t="s">
        <v>1952</v>
      </c>
      <c r="AI714" s="1477"/>
      <c r="AJ714" s="1478"/>
      <c r="AK714" s="1665" t="s">
        <v>1979</v>
      </c>
      <c r="AL714" s="1477"/>
      <c r="AM714" s="1477"/>
      <c r="AN714" s="1477"/>
      <c r="AO714" s="1478"/>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85" ht="12.95" customHeight="1">
      <c r="B715" s="1479"/>
      <c r="C715" s="1480"/>
      <c r="D715" s="1480"/>
      <c r="E715" s="1480"/>
      <c r="F715" s="1481"/>
      <c r="G715" s="1479"/>
      <c r="H715" s="1480"/>
      <c r="I715" s="1480"/>
      <c r="J715" s="1481"/>
      <c r="K715" s="1620"/>
      <c r="L715" s="1621"/>
      <c r="M715" s="1621"/>
      <c r="N715" s="1622"/>
      <c r="O715" s="1479"/>
      <c r="P715" s="1480"/>
      <c r="Q715" s="1480"/>
      <c r="R715" s="1480"/>
      <c r="S715" s="1481"/>
      <c r="T715" s="1479"/>
      <c r="U715" s="1480"/>
      <c r="V715" s="1480"/>
      <c r="W715" s="1481"/>
      <c r="X715" s="1479"/>
      <c r="Y715" s="1480"/>
      <c r="Z715" s="1480"/>
      <c r="AA715" s="1480"/>
      <c r="AB715" s="1481"/>
      <c r="AC715" s="1479"/>
      <c r="AD715" s="1480"/>
      <c r="AE715" s="1480"/>
      <c r="AF715" s="1480"/>
      <c r="AG715" s="1481"/>
      <c r="AH715" s="1479"/>
      <c r="AI715" s="1480"/>
      <c r="AJ715" s="1481"/>
      <c r="AK715" s="1479"/>
      <c r="AL715" s="1480"/>
      <c r="AM715" s="1480"/>
      <c r="AN715" s="1480"/>
      <c r="AO715" s="1481"/>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85" ht="12.95" customHeight="1">
      <c r="A716" s="4"/>
      <c r="B716" s="1479"/>
      <c r="C716" s="1480"/>
      <c r="D716" s="1480"/>
      <c r="E716" s="1480"/>
      <c r="F716" s="1481"/>
      <c r="G716" s="1479"/>
      <c r="H716" s="1480"/>
      <c r="I716" s="1480"/>
      <c r="J716" s="1481"/>
      <c r="K716" s="1620"/>
      <c r="L716" s="1621"/>
      <c r="M716" s="1621"/>
      <c r="N716" s="1622"/>
      <c r="O716" s="1479"/>
      <c r="P716" s="1480"/>
      <c r="Q716" s="1480"/>
      <c r="R716" s="1480"/>
      <c r="S716" s="1481"/>
      <c r="T716" s="1479"/>
      <c r="U716" s="1480"/>
      <c r="V716" s="1480"/>
      <c r="W716" s="1481"/>
      <c r="X716" s="1479"/>
      <c r="Y716" s="1480"/>
      <c r="Z716" s="1480"/>
      <c r="AA716" s="1480"/>
      <c r="AB716" s="1481"/>
      <c r="AC716" s="1479"/>
      <c r="AD716" s="1480"/>
      <c r="AE716" s="1480"/>
      <c r="AF716" s="1480"/>
      <c r="AG716" s="1481"/>
      <c r="AH716" s="1479"/>
      <c r="AI716" s="1480"/>
      <c r="AJ716" s="1481"/>
      <c r="AK716" s="1479"/>
      <c r="AL716" s="1480"/>
      <c r="AM716" s="1480"/>
      <c r="AN716" s="1480"/>
      <c r="AO716" s="1481"/>
      <c r="AP716" s="3"/>
      <c r="AQ716" s="3"/>
      <c r="AR716" s="3"/>
      <c r="AS716" s="3"/>
      <c r="BA716" s="3"/>
      <c r="BB716" s="3"/>
      <c r="BC716" s="3"/>
      <c r="BD716" s="3"/>
      <c r="BE716" s="205"/>
      <c r="BF716" s="206" t="s">
        <v>895</v>
      </c>
      <c r="BG716" s="205"/>
      <c r="BH716" s="205"/>
      <c r="BI716" s="3"/>
      <c r="BJ716" s="3"/>
      <c r="BK716" s="3"/>
      <c r="BL716" s="3"/>
      <c r="BM716" s="3"/>
      <c r="BN716" s="3"/>
      <c r="BS716" s="206" t="s">
        <v>1627</v>
      </c>
      <c r="BT716" s="205"/>
      <c r="BU716" s="205"/>
      <c r="CC716" s="3"/>
      <c r="CD716" s="3"/>
      <c r="CE716" s="3"/>
      <c r="CF716" s="3"/>
      <c r="CG716" s="3"/>
      <c r="CH716" s="3"/>
      <c r="CI716" s="3"/>
      <c r="CJ716" s="3"/>
      <c r="CK716" s="3"/>
      <c r="CL716" s="3"/>
      <c r="CM716" s="3"/>
      <c r="CN716" s="3"/>
      <c r="CO716" s="3"/>
      <c r="CP716" s="3" t="s">
        <v>102</v>
      </c>
      <c r="CQ716" s="3"/>
      <c r="CR716" s="3"/>
      <c r="CS716" s="3"/>
      <c r="CT716" s="3"/>
      <c r="CU716" s="3"/>
      <c r="CV716" s="3"/>
      <c r="CW716" s="3"/>
      <c r="CX716" s="3"/>
      <c r="CY716" s="3"/>
      <c r="CZ716" s="3"/>
      <c r="DA716" s="3"/>
      <c r="DB716" s="3"/>
      <c r="DC716" s="3"/>
      <c r="DD716" s="3"/>
      <c r="DE716" s="3"/>
      <c r="DF716" s="3"/>
      <c r="DG716" s="3"/>
      <c r="DH716" s="3"/>
      <c r="DI716" s="3"/>
      <c r="DJ716" s="3"/>
      <c r="DK716" s="3"/>
      <c r="DL716" s="3"/>
      <c r="DM716" s="3"/>
      <c r="DN716" s="3"/>
      <c r="DO716" s="3"/>
      <c r="DP716" s="3"/>
      <c r="DQ716" s="3"/>
      <c r="DR716" s="3"/>
      <c r="DS716" s="3"/>
      <c r="DT716" s="3"/>
      <c r="DU716" s="3" t="s">
        <v>359</v>
      </c>
      <c r="DV716" s="3"/>
      <c r="DW716" s="3"/>
      <c r="DX716" s="3"/>
      <c r="DY716" s="3"/>
      <c r="DZ716" s="3"/>
      <c r="EA716" s="3"/>
      <c r="EB716" s="3"/>
      <c r="EC716" s="3"/>
      <c r="ED716" s="3"/>
      <c r="EE716" s="3"/>
      <c r="EF716" s="3"/>
      <c r="EG716" s="3"/>
      <c r="EH716" s="3"/>
      <c r="EI716" s="3"/>
      <c r="EJ716" s="3"/>
      <c r="EK716" s="3"/>
      <c r="EL716" s="3"/>
      <c r="EM716" s="3"/>
      <c r="EN716" s="3"/>
      <c r="EO716" s="3"/>
      <c r="EP716" s="3"/>
      <c r="EQ716" s="3"/>
      <c r="ER716" s="3"/>
      <c r="ES716" s="3"/>
      <c r="ET716" s="3"/>
      <c r="EU716" s="3"/>
      <c r="EV716" s="3"/>
      <c r="EW716" s="3"/>
      <c r="EX716" s="3"/>
      <c r="EY716" s="4"/>
      <c r="EZ716" s="3" t="s">
        <v>1842</v>
      </c>
      <c r="FA716" s="3"/>
      <c r="FB716" s="3"/>
      <c r="FC716" s="3"/>
      <c r="FD716" s="3"/>
      <c r="FE716" s="3"/>
      <c r="FF716" s="3"/>
      <c r="FG716" s="3"/>
      <c r="FH716" s="3"/>
      <c r="FI716" s="3"/>
      <c r="FJ716" s="3"/>
      <c r="FK716" s="3"/>
      <c r="FL716" s="3"/>
      <c r="FM716" s="3"/>
      <c r="FN716" s="3"/>
      <c r="FO716" s="3"/>
      <c r="FP716" s="3"/>
      <c r="FQ716" s="3"/>
      <c r="FR716" s="3"/>
      <c r="FS716" s="3"/>
      <c r="FT716" s="3"/>
      <c r="FU716" s="3"/>
      <c r="FV716" s="3"/>
      <c r="FW716" s="3"/>
      <c r="FX716" s="3"/>
      <c r="FY716" s="3"/>
      <c r="FZ716" s="3"/>
      <c r="GA716" s="3"/>
      <c r="GB716" s="3"/>
      <c r="GC716" s="3"/>
    </row>
    <row r="717" spans="1:185" ht="12.95" customHeight="1">
      <c r="A717" s="4"/>
      <c r="B717" s="1482"/>
      <c r="C717" s="1483"/>
      <c r="D717" s="1483"/>
      <c r="E717" s="1483"/>
      <c r="F717" s="1484"/>
      <c r="G717" s="1482"/>
      <c r="H717" s="1483"/>
      <c r="I717" s="1483"/>
      <c r="J717" s="1484"/>
      <c r="K717" s="1620"/>
      <c r="L717" s="1621"/>
      <c r="M717" s="1621"/>
      <c r="N717" s="1622"/>
      <c r="O717" s="1482"/>
      <c r="P717" s="1483"/>
      <c r="Q717" s="1483"/>
      <c r="R717" s="1483"/>
      <c r="S717" s="1484"/>
      <c r="T717" s="1482"/>
      <c r="U717" s="1483"/>
      <c r="V717" s="1483"/>
      <c r="W717" s="1484"/>
      <c r="X717" s="1482"/>
      <c r="Y717" s="1483"/>
      <c r="Z717" s="1483"/>
      <c r="AA717" s="1483"/>
      <c r="AB717" s="1484"/>
      <c r="AC717" s="1482"/>
      <c r="AD717" s="1483"/>
      <c r="AE717" s="1483"/>
      <c r="AF717" s="1483"/>
      <c r="AG717" s="1484"/>
      <c r="AH717" s="1482"/>
      <c r="AI717" s="1483"/>
      <c r="AJ717" s="1484"/>
      <c r="AK717" s="1482"/>
      <c r="AL717" s="1483"/>
      <c r="AM717" s="1483"/>
      <c r="AN717" s="1483"/>
      <c r="AO717" s="1484"/>
      <c r="AP717" s="3"/>
      <c r="AQ717" s="3"/>
      <c r="AR717" s="3"/>
      <c r="AS717" s="3"/>
      <c r="AZ717" s="166" t="s">
        <v>649</v>
      </c>
      <c r="BA717" s="3"/>
      <c r="BB717" s="3"/>
      <c r="BC717" s="3"/>
      <c r="BD717" s="3"/>
      <c r="BE717" s="205"/>
      <c r="BF717" s="292" t="s">
        <v>896</v>
      </c>
      <c r="BG717" s="297" t="s">
        <v>897</v>
      </c>
      <c r="BH717" s="296" t="s">
        <v>898</v>
      </c>
      <c r="BI717" s="3"/>
      <c r="BJ717" s="3"/>
      <c r="BK717" s="3"/>
      <c r="BL717" s="3"/>
      <c r="BM717" s="3"/>
      <c r="BN717" s="3"/>
      <c r="BS717" s="292" t="s">
        <v>896</v>
      </c>
      <c r="BT717" s="297" t="s">
        <v>897</v>
      </c>
      <c r="BU717" s="296" t="s">
        <v>898</v>
      </c>
      <c r="CC717" s="3"/>
      <c r="CD717" s="3"/>
      <c r="CE717" s="3"/>
      <c r="CF717" s="3"/>
      <c r="CG717" s="121" t="s">
        <v>474</v>
      </c>
      <c r="CH717" s="122"/>
      <c r="CI717" s="1489"/>
      <c r="CJ717" s="1491"/>
      <c r="CK717" s="121" t="s">
        <v>475</v>
      </c>
      <c r="CL717" s="122"/>
      <c r="CM717" s="1489"/>
      <c r="CN717" s="1491"/>
      <c r="CO717" s="3"/>
      <c r="CP717" s="1387" t="s">
        <v>633</v>
      </c>
      <c r="CQ717" s="1388"/>
      <c r="CR717" s="1388"/>
      <c r="CS717" s="1388"/>
      <c r="CT717" s="1389"/>
      <c r="CU717" s="1488" t="s">
        <v>324</v>
      </c>
      <c r="CV717" s="1488"/>
      <c r="CW717" s="1488"/>
      <c r="CX717" s="1488"/>
      <c r="CY717" s="1488"/>
      <c r="CZ717" s="1488" t="s">
        <v>163</v>
      </c>
      <c r="DA717" s="1488"/>
      <c r="DB717" s="1488"/>
      <c r="DC717" s="1488"/>
      <c r="DD717" s="1488"/>
      <c r="DE717" s="1488" t="s">
        <v>164</v>
      </c>
      <c r="DF717" s="1488"/>
      <c r="DG717" s="1488"/>
      <c r="DH717" s="1488"/>
      <c r="DI717" s="1488"/>
      <c r="DJ717" s="1488" t="s">
        <v>460</v>
      </c>
      <c r="DK717" s="1488"/>
      <c r="DL717" s="1488"/>
      <c r="DM717" s="1488"/>
      <c r="DN717" s="1488"/>
      <c r="DO717" s="1488" t="s">
        <v>30</v>
      </c>
      <c r="DP717" s="1488"/>
      <c r="DQ717" s="1488"/>
      <c r="DR717" s="1488"/>
      <c r="DS717" s="1488"/>
      <c r="DT717" s="89"/>
      <c r="DU717" s="1488" t="s">
        <v>633</v>
      </c>
      <c r="DV717" s="1488"/>
      <c r="DW717" s="1488"/>
      <c r="DX717" s="1488"/>
      <c r="DY717" s="1488"/>
      <c r="DZ717" s="1488" t="s">
        <v>324</v>
      </c>
      <c r="EA717" s="1488"/>
      <c r="EB717" s="1488"/>
      <c r="EC717" s="1488"/>
      <c r="ED717" s="1488"/>
      <c r="EE717" s="1488" t="s">
        <v>163</v>
      </c>
      <c r="EF717" s="1488"/>
      <c r="EG717" s="1488"/>
      <c r="EH717" s="1488"/>
      <c r="EI717" s="1488"/>
      <c r="EJ717" s="1488" t="s">
        <v>164</v>
      </c>
      <c r="EK717" s="1488"/>
      <c r="EL717" s="1488"/>
      <c r="EM717" s="1488"/>
      <c r="EN717" s="1488"/>
      <c r="EO717" s="1488" t="s">
        <v>460</v>
      </c>
      <c r="EP717" s="1488"/>
      <c r="EQ717" s="1488"/>
      <c r="ER717" s="1488"/>
      <c r="ES717" s="1488"/>
      <c r="ET717" s="1488" t="s">
        <v>30</v>
      </c>
      <c r="EU717" s="1488"/>
      <c r="EV717" s="1488"/>
      <c r="EW717" s="1488"/>
      <c r="EX717" s="1488"/>
      <c r="EY717" s="4"/>
      <c r="EZ717" s="1488" t="s">
        <v>633</v>
      </c>
      <c r="FA717" s="1488"/>
      <c r="FB717" s="1488"/>
      <c r="FC717" s="1488"/>
      <c r="FD717" s="1488"/>
      <c r="FE717" s="1488" t="s">
        <v>324</v>
      </c>
      <c r="FF717" s="1488"/>
      <c r="FG717" s="1488"/>
      <c r="FH717" s="1488"/>
      <c r="FI717" s="1488"/>
      <c r="FJ717" s="1488" t="s">
        <v>163</v>
      </c>
      <c r="FK717" s="1488"/>
      <c r="FL717" s="1488"/>
      <c r="FM717" s="1488"/>
      <c r="FN717" s="1488"/>
      <c r="FO717" s="1488" t="s">
        <v>164</v>
      </c>
      <c r="FP717" s="1488"/>
      <c r="FQ717" s="1488"/>
      <c r="FR717" s="1488"/>
      <c r="FS717" s="1488"/>
      <c r="FT717" s="1488" t="s">
        <v>460</v>
      </c>
      <c r="FU717" s="1488"/>
      <c r="FV717" s="1488"/>
      <c r="FW717" s="1488"/>
      <c r="FX717" s="1488"/>
      <c r="FY717" s="1488" t="s">
        <v>30</v>
      </c>
      <c r="FZ717" s="1488"/>
      <c r="GA717" s="1488"/>
      <c r="GB717" s="1488"/>
      <c r="GC717" s="1488"/>
    </row>
    <row r="718" spans="1:185" ht="12.95" customHeight="1">
      <c r="A718" s="4"/>
      <c r="B718" s="1355" t="s">
        <v>323</v>
      </c>
      <c r="C718" s="1356"/>
      <c r="D718" s="1356"/>
      <c r="E718" s="1356"/>
      <c r="F718" s="1357"/>
      <c r="G718" s="1349">
        <v>24</v>
      </c>
      <c r="H718" s="1350"/>
      <c r="I718" s="1350"/>
      <c r="J718" s="1351"/>
      <c r="K718" s="1352">
        <v>340</v>
      </c>
      <c r="L718" s="1353"/>
      <c r="M718" s="1353"/>
      <c r="N718" s="1354"/>
      <c r="O718" s="1370">
        <v>728</v>
      </c>
      <c r="P718" s="1371"/>
      <c r="Q718" s="1371"/>
      <c r="R718" s="1371"/>
      <c r="S718" s="1372"/>
      <c r="T718" s="1370">
        <v>0</v>
      </c>
      <c r="U718" s="1371"/>
      <c r="V718" s="1371"/>
      <c r="W718" s="1372"/>
      <c r="X718" s="1607">
        <f t="shared" ref="X718:X741" si="8">O718+T718</f>
        <v>728</v>
      </c>
      <c r="Y718" s="1422"/>
      <c r="Z718" s="1422"/>
      <c r="AA718" s="1422"/>
      <c r="AB718" s="1608"/>
      <c r="AC718" s="1473">
        <v>0.3</v>
      </c>
      <c r="AD718" s="1474"/>
      <c r="AE718" s="1474"/>
      <c r="AF718" s="1474"/>
      <c r="AG718" s="1475"/>
      <c r="AH718" s="1470">
        <f>IF($AC718&gt;0,($X718/$AZ718), "")</f>
        <v>0.30008244023083264</v>
      </c>
      <c r="AI718" s="1471"/>
      <c r="AJ718" s="1472"/>
      <c r="AK718" s="1355" t="s">
        <v>591</v>
      </c>
      <c r="AL718" s="1356"/>
      <c r="AM718" s="1356"/>
      <c r="AN718" s="1356"/>
      <c r="AO718" s="1357"/>
      <c r="AP718" s="3"/>
      <c r="AQ718" s="3"/>
      <c r="AR718" s="3"/>
      <c r="AS718" s="3"/>
      <c r="AZ718" s="118">
        <f>IF($G718=0,"N/A",VLOOKUP($T$189,TC_Rent,(MATCH($B718,bedrooms,FALSE)),FALSE))</f>
        <v>2426</v>
      </c>
      <c r="BA718" s="3"/>
      <c r="BB718" s="3"/>
      <c r="BC718" s="3"/>
      <c r="BD718" s="3"/>
      <c r="BE718" s="205"/>
      <c r="BF718" s="294">
        <f t="shared" ref="BF718:BF752" si="9">G718</f>
        <v>24</v>
      </c>
      <c r="BG718" s="298">
        <f t="shared" ref="BG718:BG752" si="10">IF($BF$753=0,0,BF718/$BF$753)</f>
        <v>0.10434782608695652</v>
      </c>
      <c r="BH718" s="299">
        <f t="shared" ref="BH718:BH752" si="11">IF(BG718=0,"",BG718*AC718)</f>
        <v>3.1304347826086952E-2</v>
      </c>
      <c r="BI718" s="3"/>
      <c r="BJ718" s="3"/>
      <c r="BK718" s="3"/>
      <c r="BL718" s="3"/>
      <c r="BM718" s="3"/>
      <c r="BN718" s="3"/>
      <c r="BS718" s="294">
        <f t="shared" ref="BS718:BS752" si="12">G718</f>
        <v>24</v>
      </c>
      <c r="BT718" s="298">
        <f t="shared" ref="BT718:BT752" si="13">IF($BS$753=0,0,BS718/$BS$753)</f>
        <v>0.10434782608695652</v>
      </c>
      <c r="BU718" s="299">
        <f t="shared" ref="BU718:BU752" si="14">IF(BT718=0,"",BT718*AH718)</f>
        <v>3.1312950284956446E-2</v>
      </c>
      <c r="CC718" s="3"/>
      <c r="CD718" s="3"/>
      <c r="CE718" s="3"/>
      <c r="CF718" s="3"/>
      <c r="CG718" s="1495">
        <f>IF(AND(AC718&lt;=0.5,AC718&gt;=0.36),1,0)</f>
        <v>0</v>
      </c>
      <c r="CH718" s="1497"/>
      <c r="CI718" s="1489">
        <f>IF(CG718=1,G718,0)</f>
        <v>0</v>
      </c>
      <c r="CJ718" s="1491"/>
      <c r="CK718" s="1495">
        <f t="shared" ref="CK718:CK752" si="15">IF(AND(AC718&lt;=0.35,AC718&gt;0),1,0)</f>
        <v>1</v>
      </c>
      <c r="CL718" s="1497"/>
      <c r="CM718" s="1489">
        <f t="shared" ref="CM718:CM752" si="16">IF(CK718=1,G718,0)</f>
        <v>24</v>
      </c>
      <c r="CN718" s="1491"/>
      <c r="CO718" s="3"/>
      <c r="CP718" s="1485">
        <f t="shared" ref="CP718:CP752" si="17">IF(B718="SRO/Studio",G718,0)</f>
        <v>24</v>
      </c>
      <c r="CQ718" s="1486"/>
      <c r="CR718" s="1486"/>
      <c r="CS718" s="1486"/>
      <c r="CT718" s="1487"/>
      <c r="CU718" s="1463">
        <f t="shared" ref="CU718:CU752" si="18">IF(B718="1 Bedroom",G718,0)</f>
        <v>0</v>
      </c>
      <c r="CV718" s="1463"/>
      <c r="CW718" s="1463"/>
      <c r="CX718" s="1463"/>
      <c r="CY718" s="1463"/>
      <c r="CZ718" s="1463">
        <f t="shared" ref="CZ718:CZ752" si="19">IF(B718="2 Bedrooms",G718,0)</f>
        <v>0</v>
      </c>
      <c r="DA718" s="1463"/>
      <c r="DB718" s="1463"/>
      <c r="DC718" s="1463"/>
      <c r="DD718" s="1463"/>
      <c r="DE718" s="1463">
        <f t="shared" ref="DE718:DE752" si="20">IF(B718="3 Bedrooms",G718,0)</f>
        <v>0</v>
      </c>
      <c r="DF718" s="1463"/>
      <c r="DG718" s="1463"/>
      <c r="DH718" s="1463"/>
      <c r="DI718" s="1463"/>
      <c r="DJ718" s="1463">
        <f t="shared" ref="DJ718:DJ752" si="21">IF(B718="4 Bedrooms",G718,0)</f>
        <v>0</v>
      </c>
      <c r="DK718" s="1463"/>
      <c r="DL718" s="1463"/>
      <c r="DM718" s="1463"/>
      <c r="DN718" s="1463"/>
      <c r="DO718" s="1463">
        <f t="shared" ref="DO718:DO752" si="22">IF(B718="5 Bedrooms",G718,0)</f>
        <v>0</v>
      </c>
      <c r="DP718" s="1463"/>
      <c r="DQ718" s="1463"/>
      <c r="DR718" s="1463"/>
      <c r="DS718" s="1463"/>
      <c r="DT718" s="6"/>
      <c r="DU718" s="1465">
        <f t="shared" ref="DU718:DU752" si="23">IF(AND(B718="SRO/Studio",AC718&lt;=0.3),G718,0)</f>
        <v>24</v>
      </c>
      <c r="DV718" s="1465"/>
      <c r="DW718" s="1465"/>
      <c r="DX718" s="1465"/>
      <c r="DY718" s="1465"/>
      <c r="DZ718" s="1465">
        <f t="shared" ref="DZ718:DZ752" si="24">IF(AND(B718="1 Bedroom",AC718&lt;=0.3),G718,0)</f>
        <v>0</v>
      </c>
      <c r="EA718" s="1465"/>
      <c r="EB718" s="1465"/>
      <c r="EC718" s="1465"/>
      <c r="ED718" s="1465"/>
      <c r="EE718" s="1465">
        <f t="shared" ref="EE718:EE752" si="25">IF(AND(B718="2 Bedrooms",AC718&lt;=0.3),G718,0)</f>
        <v>0</v>
      </c>
      <c r="EF718" s="1465"/>
      <c r="EG718" s="1465"/>
      <c r="EH718" s="1465"/>
      <c r="EI718" s="1465"/>
      <c r="EJ718" s="1465">
        <f t="shared" ref="EJ718:EJ752" si="26">IF(AND(B718="3 Bedrooms",AC718&lt;=0.3),G718,0)</f>
        <v>0</v>
      </c>
      <c r="EK718" s="1465"/>
      <c r="EL718" s="1465"/>
      <c r="EM718" s="1465"/>
      <c r="EN718" s="1465"/>
      <c r="EO718" s="1465">
        <f t="shared" ref="EO718:EO752" si="27">IF(AND(B718="4 Bedrooms",AC718&lt;=0.3),G718,0)</f>
        <v>0</v>
      </c>
      <c r="EP718" s="1465"/>
      <c r="EQ718" s="1465"/>
      <c r="ER718" s="1465"/>
      <c r="ES718" s="1465"/>
      <c r="ET718" s="1465">
        <f t="shared" ref="ET718:ET752" si="28">IF(AND(B718="5 Bedrooms",AC718&lt;=0.3),G718,0)</f>
        <v>0</v>
      </c>
      <c r="EU718" s="1465"/>
      <c r="EV718" s="1465"/>
      <c r="EW718" s="1465"/>
      <c r="EX718" s="1465"/>
      <c r="EY718" s="4"/>
      <c r="EZ718" s="1495">
        <f t="shared" ref="EZ718:EZ752" si="29">IF(CP718&gt;0,O718,"")</f>
        <v>728</v>
      </c>
      <c r="FA718" s="1496"/>
      <c r="FB718" s="1496"/>
      <c r="FC718" s="1496"/>
      <c r="FD718" s="1497"/>
      <c r="FE718" s="1495" t="str">
        <f t="shared" ref="FE718:FE752" si="30">IF(CU718&gt;0,O718,"")</f>
        <v/>
      </c>
      <c r="FF718" s="1496"/>
      <c r="FG718" s="1496"/>
      <c r="FH718" s="1496"/>
      <c r="FI718" s="1497"/>
      <c r="FJ718" s="1495" t="str">
        <f t="shared" ref="FJ718:FJ752" si="31">IF(CZ718&gt;0,O718,"")</f>
        <v/>
      </c>
      <c r="FK718" s="1496"/>
      <c r="FL718" s="1496"/>
      <c r="FM718" s="1496"/>
      <c r="FN718" s="1497"/>
      <c r="FO718" s="1495" t="str">
        <f t="shared" ref="FO718:FO752" si="32">IF(DE718&gt;0,O718,"")</f>
        <v/>
      </c>
      <c r="FP718" s="1496"/>
      <c r="FQ718" s="1496"/>
      <c r="FR718" s="1496"/>
      <c r="FS718" s="1497"/>
      <c r="FT718" s="1495" t="str">
        <f t="shared" ref="FT718:FT752" si="33">IF(DJ718&gt;0,O718,"")</f>
        <v/>
      </c>
      <c r="FU718" s="1496"/>
      <c r="FV718" s="1496"/>
      <c r="FW718" s="1496"/>
      <c r="FX718" s="1497"/>
      <c r="FY718" s="1495" t="str">
        <f t="shared" ref="FY718:FY752" si="34">IF(DO718&gt;0,O718,"")</f>
        <v/>
      </c>
      <c r="FZ718" s="1496"/>
      <c r="GA718" s="1496"/>
      <c r="GB718" s="1496"/>
      <c r="GC718" s="1497"/>
    </row>
    <row r="719" spans="1:185" ht="12.95" customHeight="1">
      <c r="A719" s="4"/>
      <c r="B719" s="1355" t="s">
        <v>323</v>
      </c>
      <c r="C719" s="1356"/>
      <c r="D719" s="1356"/>
      <c r="E719" s="1356"/>
      <c r="F719" s="1357"/>
      <c r="G719" s="1349">
        <v>24</v>
      </c>
      <c r="H719" s="1350"/>
      <c r="I719" s="1350"/>
      <c r="J719" s="1351"/>
      <c r="K719" s="1352">
        <v>340</v>
      </c>
      <c r="L719" s="1353"/>
      <c r="M719" s="1353"/>
      <c r="N719" s="1354"/>
      <c r="O719" s="1370">
        <v>1213</v>
      </c>
      <c r="P719" s="1371"/>
      <c r="Q719" s="1371"/>
      <c r="R719" s="1371"/>
      <c r="S719" s="1372"/>
      <c r="T719" s="1370">
        <v>0</v>
      </c>
      <c r="U719" s="1371"/>
      <c r="V719" s="1371"/>
      <c r="W719" s="1372"/>
      <c r="X719" s="1607">
        <f t="shared" si="8"/>
        <v>1213</v>
      </c>
      <c r="Y719" s="1422"/>
      <c r="Z719" s="1422"/>
      <c r="AA719" s="1422"/>
      <c r="AB719" s="1608"/>
      <c r="AC719" s="1473">
        <v>0.5</v>
      </c>
      <c r="AD719" s="1474"/>
      <c r="AE719" s="1474"/>
      <c r="AF719" s="1474"/>
      <c r="AG719" s="1475"/>
      <c r="AH719" s="1470">
        <f t="shared" ref="AH719:AH752" si="35">IF($AC719&gt;0,($X719/$AZ719), "")</f>
        <v>0.5</v>
      </c>
      <c r="AI719" s="1471"/>
      <c r="AJ719" s="1472"/>
      <c r="AK719" s="1355" t="s">
        <v>591</v>
      </c>
      <c r="AL719" s="1356"/>
      <c r="AM719" s="1356"/>
      <c r="AN719" s="1356"/>
      <c r="AO719" s="1357"/>
      <c r="AP719" s="3"/>
      <c r="AQ719" s="3"/>
      <c r="AR719" s="3"/>
      <c r="AS719" s="3"/>
      <c r="AZ719" s="118">
        <f>IF($G719=0,"N/A",VLOOKUP($T$189,TC_Rent,(MATCH($B719,bedrooms,FALSE)),FALSE))</f>
        <v>2426</v>
      </c>
      <c r="BA719" s="3"/>
      <c r="BB719" s="3"/>
      <c r="BC719" s="3"/>
      <c r="BD719" s="3"/>
      <c r="BE719" s="205"/>
      <c r="BF719" s="295">
        <f t="shared" si="9"/>
        <v>24</v>
      </c>
      <c r="BG719" s="298">
        <f t="shared" si="10"/>
        <v>0.10434782608695652</v>
      </c>
      <c r="BH719" s="299">
        <f t="shared" si="11"/>
        <v>5.2173913043478258E-2</v>
      </c>
      <c r="BI719" s="3"/>
      <c r="BJ719" s="3"/>
      <c r="BK719" s="3"/>
      <c r="BL719" s="3"/>
      <c r="BM719" s="3"/>
      <c r="BN719" s="3"/>
      <c r="BS719" s="295">
        <f t="shared" si="12"/>
        <v>24</v>
      </c>
      <c r="BT719" s="298">
        <f t="shared" si="13"/>
        <v>0.10434782608695652</v>
      </c>
      <c r="BU719" s="299">
        <f t="shared" si="14"/>
        <v>5.2173913043478258E-2</v>
      </c>
      <c r="CC719" s="3"/>
      <c r="CD719" s="3"/>
      <c r="CE719" s="3"/>
      <c r="CF719" s="3"/>
      <c r="CG719" s="1495">
        <f t="shared" ref="CG719:CG752" si="36">IF(AND(AC719&lt;=0.5,AC719&gt;=0.36),1,0)</f>
        <v>1</v>
      </c>
      <c r="CH719" s="1497"/>
      <c r="CI719" s="1489">
        <f t="shared" ref="CI719:CI752" si="37">IF(CG719=1,G719,0)</f>
        <v>24</v>
      </c>
      <c r="CJ719" s="1491"/>
      <c r="CK719" s="1495">
        <f t="shared" si="15"/>
        <v>0</v>
      </c>
      <c r="CL719" s="1497"/>
      <c r="CM719" s="1489">
        <f t="shared" si="16"/>
        <v>0</v>
      </c>
      <c r="CN719" s="1491"/>
      <c r="CO719" s="3"/>
      <c r="CP719" s="1485">
        <f t="shared" si="17"/>
        <v>24</v>
      </c>
      <c r="CQ719" s="1486"/>
      <c r="CR719" s="1486"/>
      <c r="CS719" s="1486"/>
      <c r="CT719" s="1487"/>
      <c r="CU719" s="1463">
        <f t="shared" si="18"/>
        <v>0</v>
      </c>
      <c r="CV719" s="1463"/>
      <c r="CW719" s="1463"/>
      <c r="CX719" s="1463"/>
      <c r="CY719" s="1463"/>
      <c r="CZ719" s="1463">
        <f t="shared" si="19"/>
        <v>0</v>
      </c>
      <c r="DA719" s="1463"/>
      <c r="DB719" s="1463"/>
      <c r="DC719" s="1463"/>
      <c r="DD719" s="1463"/>
      <c r="DE719" s="1463">
        <f t="shared" si="20"/>
        <v>0</v>
      </c>
      <c r="DF719" s="1463"/>
      <c r="DG719" s="1463"/>
      <c r="DH719" s="1463"/>
      <c r="DI719" s="1463"/>
      <c r="DJ719" s="1463">
        <f t="shared" si="21"/>
        <v>0</v>
      </c>
      <c r="DK719" s="1463"/>
      <c r="DL719" s="1463"/>
      <c r="DM719" s="1463"/>
      <c r="DN719" s="1463"/>
      <c r="DO719" s="1463">
        <f t="shared" si="22"/>
        <v>0</v>
      </c>
      <c r="DP719" s="1463"/>
      <c r="DQ719" s="1463"/>
      <c r="DR719" s="1463"/>
      <c r="DS719" s="1463"/>
      <c r="DT719" s="6"/>
      <c r="DU719" s="1465">
        <f t="shared" si="23"/>
        <v>0</v>
      </c>
      <c r="DV719" s="1465"/>
      <c r="DW719" s="1465"/>
      <c r="DX719" s="1465"/>
      <c r="DY719" s="1465"/>
      <c r="DZ719" s="1465">
        <f t="shared" si="24"/>
        <v>0</v>
      </c>
      <c r="EA719" s="1465"/>
      <c r="EB719" s="1465"/>
      <c r="EC719" s="1465"/>
      <c r="ED719" s="1465"/>
      <c r="EE719" s="1465">
        <f t="shared" si="25"/>
        <v>0</v>
      </c>
      <c r="EF719" s="1465"/>
      <c r="EG719" s="1465"/>
      <c r="EH719" s="1465"/>
      <c r="EI719" s="1465"/>
      <c r="EJ719" s="1465">
        <f t="shared" si="26"/>
        <v>0</v>
      </c>
      <c r="EK719" s="1465"/>
      <c r="EL719" s="1465"/>
      <c r="EM719" s="1465"/>
      <c r="EN719" s="1465"/>
      <c r="EO719" s="1465">
        <f t="shared" si="27"/>
        <v>0</v>
      </c>
      <c r="EP719" s="1465"/>
      <c r="EQ719" s="1465"/>
      <c r="ER719" s="1465"/>
      <c r="ES719" s="1465"/>
      <c r="ET719" s="1465">
        <f t="shared" si="28"/>
        <v>0</v>
      </c>
      <c r="EU719" s="1465"/>
      <c r="EV719" s="1465"/>
      <c r="EW719" s="1465"/>
      <c r="EX719" s="1465"/>
      <c r="EY719" s="4"/>
      <c r="EZ719" s="1495">
        <f t="shared" si="29"/>
        <v>1213</v>
      </c>
      <c r="FA719" s="1496"/>
      <c r="FB719" s="1496"/>
      <c r="FC719" s="1496"/>
      <c r="FD719" s="1497"/>
      <c r="FE719" s="1495" t="str">
        <f t="shared" si="30"/>
        <v/>
      </c>
      <c r="FF719" s="1496"/>
      <c r="FG719" s="1496"/>
      <c r="FH719" s="1496"/>
      <c r="FI719" s="1497"/>
      <c r="FJ719" s="1495" t="str">
        <f t="shared" si="31"/>
        <v/>
      </c>
      <c r="FK719" s="1496"/>
      <c r="FL719" s="1496"/>
      <c r="FM719" s="1496"/>
      <c r="FN719" s="1497"/>
      <c r="FO719" s="1495" t="str">
        <f t="shared" si="32"/>
        <v/>
      </c>
      <c r="FP719" s="1496"/>
      <c r="FQ719" s="1496"/>
      <c r="FR719" s="1496"/>
      <c r="FS719" s="1497"/>
      <c r="FT719" s="1495" t="str">
        <f t="shared" si="33"/>
        <v/>
      </c>
      <c r="FU719" s="1496"/>
      <c r="FV719" s="1496"/>
      <c r="FW719" s="1496"/>
      <c r="FX719" s="1497"/>
      <c r="FY719" s="1495" t="str">
        <f t="shared" si="34"/>
        <v/>
      </c>
      <c r="FZ719" s="1496"/>
      <c r="GA719" s="1496"/>
      <c r="GB719" s="1496"/>
      <c r="GC719" s="1497"/>
    </row>
    <row r="720" spans="1:185" ht="12.95" customHeight="1">
      <c r="A720" s="4"/>
      <c r="B720" s="1355" t="s">
        <v>323</v>
      </c>
      <c r="C720" s="1356"/>
      <c r="D720" s="1356"/>
      <c r="E720" s="1356"/>
      <c r="F720" s="1357"/>
      <c r="G720" s="1349">
        <v>53</v>
      </c>
      <c r="H720" s="1350"/>
      <c r="I720" s="1350"/>
      <c r="J720" s="1351"/>
      <c r="K720" s="1352">
        <v>340</v>
      </c>
      <c r="L720" s="1353"/>
      <c r="M720" s="1353"/>
      <c r="N720" s="1354"/>
      <c r="O720" s="1370">
        <v>1456</v>
      </c>
      <c r="P720" s="1371"/>
      <c r="Q720" s="1371"/>
      <c r="R720" s="1371"/>
      <c r="S720" s="1372"/>
      <c r="T720" s="1370">
        <v>0</v>
      </c>
      <c r="U720" s="1371"/>
      <c r="V720" s="1371"/>
      <c r="W720" s="1372"/>
      <c r="X720" s="1607">
        <f t="shared" si="8"/>
        <v>1456</v>
      </c>
      <c r="Y720" s="1422"/>
      <c r="Z720" s="1422"/>
      <c r="AA720" s="1422"/>
      <c r="AB720" s="1608"/>
      <c r="AC720" s="1473">
        <v>0.6</v>
      </c>
      <c r="AD720" s="1474"/>
      <c r="AE720" s="1474"/>
      <c r="AF720" s="1474"/>
      <c r="AG720" s="1475"/>
      <c r="AH720" s="1470">
        <f t="shared" si="35"/>
        <v>0.60016488046166527</v>
      </c>
      <c r="AI720" s="1471"/>
      <c r="AJ720" s="1472"/>
      <c r="AK720" s="1355" t="s">
        <v>591</v>
      </c>
      <c r="AL720" s="1356"/>
      <c r="AM720" s="1356"/>
      <c r="AN720" s="1356"/>
      <c r="AO720" s="1357"/>
      <c r="AP720" s="3"/>
      <c r="AQ720" s="3"/>
      <c r="AR720" s="3"/>
      <c r="AS720" s="3"/>
      <c r="AZ720" s="118">
        <f>IF($G720=0,"N/A",VLOOKUP($T$189,TC_Rent,(MATCH($B720,bedrooms,FALSE)),FALSE))</f>
        <v>2426</v>
      </c>
      <c r="BA720" s="3"/>
      <c r="BB720" s="3"/>
      <c r="BC720" s="3"/>
      <c r="BD720" s="3"/>
      <c r="BE720" s="205"/>
      <c r="BF720" s="295">
        <f t="shared" si="9"/>
        <v>53</v>
      </c>
      <c r="BG720" s="298">
        <f t="shared" si="10"/>
        <v>0.23043478260869565</v>
      </c>
      <c r="BH720" s="299">
        <f t="shared" si="11"/>
        <v>0.13826086956521738</v>
      </c>
      <c r="BI720" s="3"/>
      <c r="BJ720" s="3"/>
      <c r="BK720" s="3"/>
      <c r="BL720" s="3"/>
      <c r="BM720" s="3"/>
      <c r="BN720" s="3"/>
      <c r="BS720" s="295">
        <f t="shared" si="12"/>
        <v>53</v>
      </c>
      <c r="BT720" s="298">
        <f t="shared" si="13"/>
        <v>0.23043478260869565</v>
      </c>
      <c r="BU720" s="299">
        <f t="shared" si="14"/>
        <v>0.13829886375855766</v>
      </c>
      <c r="CC720" s="3"/>
      <c r="CD720" s="3"/>
      <c r="CE720" s="3"/>
      <c r="CF720" s="3"/>
      <c r="CG720" s="1495">
        <f t="shared" si="36"/>
        <v>0</v>
      </c>
      <c r="CH720" s="1497"/>
      <c r="CI720" s="1489">
        <f t="shared" si="37"/>
        <v>0</v>
      </c>
      <c r="CJ720" s="1491"/>
      <c r="CK720" s="1495">
        <f t="shared" si="15"/>
        <v>0</v>
      </c>
      <c r="CL720" s="1497"/>
      <c r="CM720" s="1489">
        <f t="shared" si="16"/>
        <v>0</v>
      </c>
      <c r="CN720" s="1491"/>
      <c r="CO720" s="3"/>
      <c r="CP720" s="1485">
        <f t="shared" si="17"/>
        <v>53</v>
      </c>
      <c r="CQ720" s="1486"/>
      <c r="CR720" s="1486"/>
      <c r="CS720" s="1486"/>
      <c r="CT720" s="1487"/>
      <c r="CU720" s="1463">
        <f t="shared" si="18"/>
        <v>0</v>
      </c>
      <c r="CV720" s="1463"/>
      <c r="CW720" s="1463"/>
      <c r="CX720" s="1463"/>
      <c r="CY720" s="1463"/>
      <c r="CZ720" s="1463">
        <f t="shared" si="19"/>
        <v>0</v>
      </c>
      <c r="DA720" s="1463"/>
      <c r="DB720" s="1463"/>
      <c r="DC720" s="1463"/>
      <c r="DD720" s="1463"/>
      <c r="DE720" s="1463">
        <f t="shared" si="20"/>
        <v>0</v>
      </c>
      <c r="DF720" s="1463"/>
      <c r="DG720" s="1463"/>
      <c r="DH720" s="1463"/>
      <c r="DI720" s="1463"/>
      <c r="DJ720" s="1463">
        <f t="shared" si="21"/>
        <v>0</v>
      </c>
      <c r="DK720" s="1463"/>
      <c r="DL720" s="1463"/>
      <c r="DM720" s="1463"/>
      <c r="DN720" s="1463"/>
      <c r="DO720" s="1463">
        <f t="shared" si="22"/>
        <v>0</v>
      </c>
      <c r="DP720" s="1463"/>
      <c r="DQ720" s="1463"/>
      <c r="DR720" s="1463"/>
      <c r="DS720" s="1463"/>
      <c r="DT720" s="6"/>
      <c r="DU720" s="1465">
        <f t="shared" si="23"/>
        <v>0</v>
      </c>
      <c r="DV720" s="1465"/>
      <c r="DW720" s="1465"/>
      <c r="DX720" s="1465"/>
      <c r="DY720" s="1465"/>
      <c r="DZ720" s="1465">
        <f t="shared" si="24"/>
        <v>0</v>
      </c>
      <c r="EA720" s="1465"/>
      <c r="EB720" s="1465"/>
      <c r="EC720" s="1465"/>
      <c r="ED720" s="1465"/>
      <c r="EE720" s="1465">
        <f t="shared" si="25"/>
        <v>0</v>
      </c>
      <c r="EF720" s="1465"/>
      <c r="EG720" s="1465"/>
      <c r="EH720" s="1465"/>
      <c r="EI720" s="1465"/>
      <c r="EJ720" s="1465">
        <f t="shared" si="26"/>
        <v>0</v>
      </c>
      <c r="EK720" s="1465"/>
      <c r="EL720" s="1465"/>
      <c r="EM720" s="1465"/>
      <c r="EN720" s="1465"/>
      <c r="EO720" s="1465">
        <f t="shared" si="27"/>
        <v>0</v>
      </c>
      <c r="EP720" s="1465"/>
      <c r="EQ720" s="1465"/>
      <c r="ER720" s="1465"/>
      <c r="ES720" s="1465"/>
      <c r="ET720" s="1465">
        <f t="shared" si="28"/>
        <v>0</v>
      </c>
      <c r="EU720" s="1465"/>
      <c r="EV720" s="1465"/>
      <c r="EW720" s="1465"/>
      <c r="EX720" s="1465"/>
      <c r="EZ720" s="1495">
        <f t="shared" si="29"/>
        <v>1456</v>
      </c>
      <c r="FA720" s="1496"/>
      <c r="FB720" s="1496"/>
      <c r="FC720" s="1496"/>
      <c r="FD720" s="1497"/>
      <c r="FE720" s="1495" t="str">
        <f t="shared" si="30"/>
        <v/>
      </c>
      <c r="FF720" s="1496"/>
      <c r="FG720" s="1496"/>
      <c r="FH720" s="1496"/>
      <c r="FI720" s="1497"/>
      <c r="FJ720" s="1495" t="str">
        <f t="shared" si="31"/>
        <v/>
      </c>
      <c r="FK720" s="1496"/>
      <c r="FL720" s="1496"/>
      <c r="FM720" s="1496"/>
      <c r="FN720" s="1497"/>
      <c r="FO720" s="1495" t="str">
        <f t="shared" si="32"/>
        <v/>
      </c>
      <c r="FP720" s="1496"/>
      <c r="FQ720" s="1496"/>
      <c r="FR720" s="1496"/>
      <c r="FS720" s="1497"/>
      <c r="FT720" s="1495" t="str">
        <f t="shared" si="33"/>
        <v/>
      </c>
      <c r="FU720" s="1496"/>
      <c r="FV720" s="1496"/>
      <c r="FW720" s="1496"/>
      <c r="FX720" s="1497"/>
      <c r="FY720" s="1495" t="str">
        <f t="shared" si="34"/>
        <v/>
      </c>
      <c r="FZ720" s="1496"/>
      <c r="GA720" s="1496"/>
      <c r="GB720" s="1496"/>
      <c r="GC720" s="1497"/>
    </row>
    <row r="721" spans="1:185" ht="12.95" customHeight="1">
      <c r="B721" s="1355" t="s">
        <v>324</v>
      </c>
      <c r="C721" s="1356"/>
      <c r="D721" s="1356"/>
      <c r="E721" s="1356"/>
      <c r="F721" s="1357"/>
      <c r="G721" s="1349">
        <v>36</v>
      </c>
      <c r="H721" s="1350"/>
      <c r="I721" s="1350"/>
      <c r="J721" s="1351"/>
      <c r="K721" s="1352">
        <v>453</v>
      </c>
      <c r="L721" s="1353"/>
      <c r="M721" s="1353"/>
      <c r="N721" s="1354"/>
      <c r="O721" s="1370">
        <v>1560</v>
      </c>
      <c r="P721" s="1371"/>
      <c r="Q721" s="1371"/>
      <c r="R721" s="1371"/>
      <c r="S721" s="1372"/>
      <c r="T721" s="1370">
        <v>0</v>
      </c>
      <c r="U721" s="1371"/>
      <c r="V721" s="1371"/>
      <c r="W721" s="1372"/>
      <c r="X721" s="1607">
        <f t="shared" si="8"/>
        <v>1560</v>
      </c>
      <c r="Y721" s="1422"/>
      <c r="Z721" s="1422"/>
      <c r="AA721" s="1422"/>
      <c r="AB721" s="1608"/>
      <c r="AC721" s="1473">
        <v>0.6</v>
      </c>
      <c r="AD721" s="1474"/>
      <c r="AE721" s="1474"/>
      <c r="AF721" s="1474"/>
      <c r="AG721" s="1475"/>
      <c r="AH721" s="1470">
        <f t="shared" si="35"/>
        <v>0.6</v>
      </c>
      <c r="AI721" s="1471"/>
      <c r="AJ721" s="1472"/>
      <c r="AK721" s="1355" t="s">
        <v>591</v>
      </c>
      <c r="AL721" s="1356"/>
      <c r="AM721" s="1356"/>
      <c r="AN721" s="1356"/>
      <c r="AO721" s="1357"/>
      <c r="AP721" s="3"/>
      <c r="AQ721" s="3"/>
      <c r="AR721" s="3"/>
      <c r="AS721" s="3"/>
      <c r="AY721" s="116"/>
      <c r="AZ721" s="118">
        <f>IF($G721=0,"N/A",VLOOKUP($T$189,TC_Rent,(MATCH($B721,bedrooms,FALSE)),FALSE))</f>
        <v>2600</v>
      </c>
      <c r="BA721" s="3"/>
      <c r="BB721" s="3"/>
      <c r="BC721" s="3"/>
      <c r="BD721" s="3"/>
      <c r="BE721" s="205"/>
      <c r="BF721" s="295">
        <f t="shared" si="9"/>
        <v>36</v>
      </c>
      <c r="BG721" s="298">
        <f t="shared" si="10"/>
        <v>0.15652173913043479</v>
      </c>
      <c r="BH721" s="299">
        <f t="shared" si="11"/>
        <v>9.3913043478260877E-2</v>
      </c>
      <c r="BI721" s="3"/>
      <c r="BJ721" s="3"/>
      <c r="BK721" s="3"/>
      <c r="BL721" s="3"/>
      <c r="BM721" s="3"/>
      <c r="BN721" s="3"/>
      <c r="BS721" s="295">
        <f t="shared" si="12"/>
        <v>36</v>
      </c>
      <c r="BT721" s="298">
        <f t="shared" si="13"/>
        <v>0.15652173913043479</v>
      </c>
      <c r="BU721" s="299">
        <f t="shared" si="14"/>
        <v>9.3913043478260877E-2</v>
      </c>
      <c r="CC721" s="3"/>
      <c r="CD721" s="3"/>
      <c r="CE721" s="3"/>
      <c r="CF721" s="3"/>
      <c r="CG721" s="1495">
        <f t="shared" si="36"/>
        <v>0</v>
      </c>
      <c r="CH721" s="1497"/>
      <c r="CI721" s="1489">
        <f t="shared" si="37"/>
        <v>0</v>
      </c>
      <c r="CJ721" s="1491"/>
      <c r="CK721" s="1495">
        <f t="shared" si="15"/>
        <v>0</v>
      </c>
      <c r="CL721" s="1497"/>
      <c r="CM721" s="1489">
        <f t="shared" si="16"/>
        <v>0</v>
      </c>
      <c r="CN721" s="1491"/>
      <c r="CO721" s="3"/>
      <c r="CP721" s="1485">
        <f t="shared" si="17"/>
        <v>0</v>
      </c>
      <c r="CQ721" s="1486"/>
      <c r="CR721" s="1486"/>
      <c r="CS721" s="1486"/>
      <c r="CT721" s="1487"/>
      <c r="CU721" s="1463">
        <f t="shared" si="18"/>
        <v>36</v>
      </c>
      <c r="CV721" s="1463"/>
      <c r="CW721" s="1463"/>
      <c r="CX721" s="1463"/>
      <c r="CY721" s="1463"/>
      <c r="CZ721" s="1463">
        <f t="shared" si="19"/>
        <v>0</v>
      </c>
      <c r="DA721" s="1463"/>
      <c r="DB721" s="1463"/>
      <c r="DC721" s="1463"/>
      <c r="DD721" s="1463"/>
      <c r="DE721" s="1463">
        <f t="shared" si="20"/>
        <v>0</v>
      </c>
      <c r="DF721" s="1463"/>
      <c r="DG721" s="1463"/>
      <c r="DH721" s="1463"/>
      <c r="DI721" s="1463"/>
      <c r="DJ721" s="1463">
        <f t="shared" si="21"/>
        <v>0</v>
      </c>
      <c r="DK721" s="1463"/>
      <c r="DL721" s="1463"/>
      <c r="DM721" s="1463"/>
      <c r="DN721" s="1463"/>
      <c r="DO721" s="1463">
        <f t="shared" si="22"/>
        <v>0</v>
      </c>
      <c r="DP721" s="1463"/>
      <c r="DQ721" s="1463"/>
      <c r="DR721" s="1463"/>
      <c r="DS721" s="1463"/>
      <c r="DT721" s="6"/>
      <c r="DU721" s="1465">
        <f t="shared" si="23"/>
        <v>0</v>
      </c>
      <c r="DV721" s="1465"/>
      <c r="DW721" s="1465"/>
      <c r="DX721" s="1465"/>
      <c r="DY721" s="1465"/>
      <c r="DZ721" s="1465">
        <f t="shared" si="24"/>
        <v>0</v>
      </c>
      <c r="EA721" s="1465"/>
      <c r="EB721" s="1465"/>
      <c r="EC721" s="1465"/>
      <c r="ED721" s="1465"/>
      <c r="EE721" s="1465">
        <f t="shared" si="25"/>
        <v>0</v>
      </c>
      <c r="EF721" s="1465"/>
      <c r="EG721" s="1465"/>
      <c r="EH721" s="1465"/>
      <c r="EI721" s="1465"/>
      <c r="EJ721" s="1465">
        <f t="shared" si="26"/>
        <v>0</v>
      </c>
      <c r="EK721" s="1465"/>
      <c r="EL721" s="1465"/>
      <c r="EM721" s="1465"/>
      <c r="EN721" s="1465"/>
      <c r="EO721" s="1465">
        <f t="shared" si="27"/>
        <v>0</v>
      </c>
      <c r="EP721" s="1465"/>
      <c r="EQ721" s="1465"/>
      <c r="ER721" s="1465"/>
      <c r="ES721" s="1465"/>
      <c r="ET721" s="1465">
        <f t="shared" si="28"/>
        <v>0</v>
      </c>
      <c r="EU721" s="1465"/>
      <c r="EV721" s="1465"/>
      <c r="EW721" s="1465"/>
      <c r="EX721" s="1465"/>
      <c r="EZ721" s="1495" t="str">
        <f t="shared" si="29"/>
        <v/>
      </c>
      <c r="FA721" s="1496"/>
      <c r="FB721" s="1496"/>
      <c r="FC721" s="1496"/>
      <c r="FD721" s="1497"/>
      <c r="FE721" s="1495">
        <f t="shared" si="30"/>
        <v>1560</v>
      </c>
      <c r="FF721" s="1496"/>
      <c r="FG721" s="1496"/>
      <c r="FH721" s="1496"/>
      <c r="FI721" s="1497"/>
      <c r="FJ721" s="1495" t="str">
        <f t="shared" si="31"/>
        <v/>
      </c>
      <c r="FK721" s="1496"/>
      <c r="FL721" s="1496"/>
      <c r="FM721" s="1496"/>
      <c r="FN721" s="1497"/>
      <c r="FO721" s="1495" t="str">
        <f t="shared" si="32"/>
        <v/>
      </c>
      <c r="FP721" s="1496"/>
      <c r="FQ721" s="1496"/>
      <c r="FR721" s="1496"/>
      <c r="FS721" s="1497"/>
      <c r="FT721" s="1495" t="str">
        <f t="shared" si="33"/>
        <v/>
      </c>
      <c r="FU721" s="1496"/>
      <c r="FV721" s="1496"/>
      <c r="FW721" s="1496"/>
      <c r="FX721" s="1497"/>
      <c r="FY721" s="1495" t="str">
        <f t="shared" si="34"/>
        <v/>
      </c>
      <c r="FZ721" s="1496"/>
      <c r="GA721" s="1496"/>
      <c r="GB721" s="1496"/>
      <c r="GC721" s="1497"/>
    </row>
    <row r="722" spans="1:185" ht="12.95" customHeight="1">
      <c r="B722" s="1355" t="s">
        <v>163</v>
      </c>
      <c r="C722" s="1356"/>
      <c r="D722" s="1356"/>
      <c r="E722" s="1356"/>
      <c r="F722" s="1357"/>
      <c r="G722" s="1349">
        <v>37</v>
      </c>
      <c r="H722" s="1350"/>
      <c r="I722" s="1350"/>
      <c r="J722" s="1351"/>
      <c r="K722" s="1352">
        <v>574</v>
      </c>
      <c r="L722" s="1353"/>
      <c r="M722" s="1353"/>
      <c r="N722" s="1354"/>
      <c r="O722" s="1370">
        <v>1872</v>
      </c>
      <c r="P722" s="1371"/>
      <c r="Q722" s="1371"/>
      <c r="R722" s="1371"/>
      <c r="S722" s="1372"/>
      <c r="T722" s="1370">
        <v>0</v>
      </c>
      <c r="U722" s="1371"/>
      <c r="V722" s="1371"/>
      <c r="W722" s="1372"/>
      <c r="X722" s="1607">
        <f t="shared" si="8"/>
        <v>1872</v>
      </c>
      <c r="Y722" s="1422"/>
      <c r="Z722" s="1422"/>
      <c r="AA722" s="1422"/>
      <c r="AB722" s="1608"/>
      <c r="AC722" s="1473">
        <v>0.6</v>
      </c>
      <c r="AD722" s="1474"/>
      <c r="AE722" s="1474"/>
      <c r="AF722" s="1474"/>
      <c r="AG722" s="1475"/>
      <c r="AH722" s="1470">
        <f t="shared" si="35"/>
        <v>0.6</v>
      </c>
      <c r="AI722" s="1471"/>
      <c r="AJ722" s="1472"/>
      <c r="AK722" s="1355" t="s">
        <v>591</v>
      </c>
      <c r="AL722" s="1356"/>
      <c r="AM722" s="1356"/>
      <c r="AN722" s="1356"/>
      <c r="AO722" s="1357"/>
      <c r="AP722" s="3"/>
      <c r="AQ722" s="3"/>
      <c r="AR722" s="3"/>
      <c r="AS722" s="3"/>
      <c r="AY722" s="116"/>
      <c r="AZ722" s="118">
        <f>IF($G722=0,"N/A",VLOOKUP($T$189,TC_Rent,(MATCH($B722,bedrooms,FALSE)),FALSE))</f>
        <v>3120</v>
      </c>
      <c r="BA722" s="3"/>
      <c r="BB722" s="3"/>
      <c r="BC722" s="3"/>
      <c r="BD722" s="3"/>
      <c r="BE722" s="205"/>
      <c r="BF722" s="295">
        <f t="shared" si="9"/>
        <v>37</v>
      </c>
      <c r="BG722" s="298">
        <f t="shared" si="10"/>
        <v>0.16086956521739129</v>
      </c>
      <c r="BH722" s="299">
        <f t="shared" si="11"/>
        <v>9.6521739130434769E-2</v>
      </c>
      <c r="BI722" s="3"/>
      <c r="BJ722" s="3"/>
      <c r="BK722" s="3"/>
      <c r="BL722" s="3"/>
      <c r="BM722" s="3"/>
      <c r="BN722" s="3"/>
      <c r="BS722" s="295">
        <f t="shared" si="12"/>
        <v>37</v>
      </c>
      <c r="BT722" s="298">
        <f t="shared" si="13"/>
        <v>0.16086956521739129</v>
      </c>
      <c r="BU722" s="299">
        <f t="shared" si="14"/>
        <v>9.6521739130434769E-2</v>
      </c>
      <c r="CC722" s="3"/>
      <c r="CD722" s="3"/>
      <c r="CE722" s="3"/>
      <c r="CF722" s="3"/>
      <c r="CG722" s="1495">
        <f t="shared" si="36"/>
        <v>0</v>
      </c>
      <c r="CH722" s="1497"/>
      <c r="CI722" s="1489">
        <f t="shared" si="37"/>
        <v>0</v>
      </c>
      <c r="CJ722" s="1491"/>
      <c r="CK722" s="1495">
        <f t="shared" si="15"/>
        <v>0</v>
      </c>
      <c r="CL722" s="1497"/>
      <c r="CM722" s="1489">
        <f t="shared" si="16"/>
        <v>0</v>
      </c>
      <c r="CN722" s="1491"/>
      <c r="CO722" s="3"/>
      <c r="CP722" s="1485">
        <f t="shared" si="17"/>
        <v>0</v>
      </c>
      <c r="CQ722" s="1486"/>
      <c r="CR722" s="1486"/>
      <c r="CS722" s="1486"/>
      <c r="CT722" s="1487"/>
      <c r="CU722" s="1463">
        <f t="shared" si="18"/>
        <v>0</v>
      </c>
      <c r="CV722" s="1463"/>
      <c r="CW722" s="1463"/>
      <c r="CX722" s="1463"/>
      <c r="CY722" s="1463"/>
      <c r="CZ722" s="1463">
        <f t="shared" si="19"/>
        <v>37</v>
      </c>
      <c r="DA722" s="1463"/>
      <c r="DB722" s="1463"/>
      <c r="DC722" s="1463"/>
      <c r="DD722" s="1463"/>
      <c r="DE722" s="1463">
        <f t="shared" si="20"/>
        <v>0</v>
      </c>
      <c r="DF722" s="1463"/>
      <c r="DG722" s="1463"/>
      <c r="DH722" s="1463"/>
      <c r="DI722" s="1463"/>
      <c r="DJ722" s="1463">
        <f t="shared" si="21"/>
        <v>0</v>
      </c>
      <c r="DK722" s="1463"/>
      <c r="DL722" s="1463"/>
      <c r="DM722" s="1463"/>
      <c r="DN722" s="1463"/>
      <c r="DO722" s="1463">
        <f t="shared" si="22"/>
        <v>0</v>
      </c>
      <c r="DP722" s="1463"/>
      <c r="DQ722" s="1463"/>
      <c r="DR722" s="1463"/>
      <c r="DS722" s="1463"/>
      <c r="DT722" s="6"/>
      <c r="DU722" s="1465">
        <f t="shared" si="23"/>
        <v>0</v>
      </c>
      <c r="DV722" s="1465"/>
      <c r="DW722" s="1465"/>
      <c r="DX722" s="1465"/>
      <c r="DY722" s="1465"/>
      <c r="DZ722" s="1465">
        <f t="shared" si="24"/>
        <v>0</v>
      </c>
      <c r="EA722" s="1465"/>
      <c r="EB722" s="1465"/>
      <c r="EC722" s="1465"/>
      <c r="ED722" s="1465"/>
      <c r="EE722" s="1465">
        <f t="shared" si="25"/>
        <v>0</v>
      </c>
      <c r="EF722" s="1465"/>
      <c r="EG722" s="1465"/>
      <c r="EH722" s="1465"/>
      <c r="EI722" s="1465"/>
      <c r="EJ722" s="1465">
        <f t="shared" si="26"/>
        <v>0</v>
      </c>
      <c r="EK722" s="1465"/>
      <c r="EL722" s="1465"/>
      <c r="EM722" s="1465"/>
      <c r="EN722" s="1465"/>
      <c r="EO722" s="1465">
        <f t="shared" si="27"/>
        <v>0</v>
      </c>
      <c r="EP722" s="1465"/>
      <c r="EQ722" s="1465"/>
      <c r="ER722" s="1465"/>
      <c r="ES722" s="1465"/>
      <c r="ET722" s="1465">
        <f t="shared" si="28"/>
        <v>0</v>
      </c>
      <c r="EU722" s="1465"/>
      <c r="EV722" s="1465"/>
      <c r="EW722" s="1465"/>
      <c r="EX722" s="1465"/>
      <c r="EZ722" s="1495" t="str">
        <f t="shared" si="29"/>
        <v/>
      </c>
      <c r="FA722" s="1496"/>
      <c r="FB722" s="1496"/>
      <c r="FC722" s="1496"/>
      <c r="FD722" s="1497"/>
      <c r="FE722" s="1495" t="str">
        <f t="shared" si="30"/>
        <v/>
      </c>
      <c r="FF722" s="1496"/>
      <c r="FG722" s="1496"/>
      <c r="FH722" s="1496"/>
      <c r="FI722" s="1497"/>
      <c r="FJ722" s="1495">
        <f t="shared" si="31"/>
        <v>1872</v>
      </c>
      <c r="FK722" s="1496"/>
      <c r="FL722" s="1496"/>
      <c r="FM722" s="1496"/>
      <c r="FN722" s="1497"/>
      <c r="FO722" s="1495" t="str">
        <f t="shared" si="32"/>
        <v/>
      </c>
      <c r="FP722" s="1496"/>
      <c r="FQ722" s="1496"/>
      <c r="FR722" s="1496"/>
      <c r="FS722" s="1497"/>
      <c r="FT722" s="1495" t="str">
        <f t="shared" si="33"/>
        <v/>
      </c>
      <c r="FU722" s="1496"/>
      <c r="FV722" s="1496"/>
      <c r="FW722" s="1496"/>
      <c r="FX722" s="1497"/>
      <c r="FY722" s="1495" t="str">
        <f t="shared" si="34"/>
        <v/>
      </c>
      <c r="FZ722" s="1496"/>
      <c r="GA722" s="1496"/>
      <c r="GB722" s="1496"/>
      <c r="GC722" s="1497"/>
    </row>
    <row r="723" spans="1:185" ht="12.95" customHeight="1">
      <c r="B723" s="1355" t="s">
        <v>163</v>
      </c>
      <c r="C723" s="1356"/>
      <c r="D723" s="1356"/>
      <c r="E723" s="1356"/>
      <c r="F723" s="1357"/>
      <c r="G723" s="1349">
        <v>56</v>
      </c>
      <c r="H723" s="1350"/>
      <c r="I723" s="1350"/>
      <c r="J723" s="1351"/>
      <c r="K723" s="1352">
        <v>574</v>
      </c>
      <c r="L723" s="1353"/>
      <c r="M723" s="1353"/>
      <c r="N723" s="1354"/>
      <c r="O723" s="1370">
        <v>2184</v>
      </c>
      <c r="P723" s="1371"/>
      <c r="Q723" s="1371"/>
      <c r="R723" s="1371"/>
      <c r="S723" s="1372"/>
      <c r="T723" s="1370">
        <v>0</v>
      </c>
      <c r="U723" s="1371"/>
      <c r="V723" s="1371"/>
      <c r="W723" s="1372"/>
      <c r="X723" s="1607">
        <f t="shared" si="8"/>
        <v>2184</v>
      </c>
      <c r="Y723" s="1422"/>
      <c r="Z723" s="1422"/>
      <c r="AA723" s="1422"/>
      <c r="AB723" s="1608"/>
      <c r="AC723" s="1473">
        <v>0.7</v>
      </c>
      <c r="AD723" s="1474"/>
      <c r="AE723" s="1474"/>
      <c r="AF723" s="1474"/>
      <c r="AG723" s="1475"/>
      <c r="AH723" s="1470">
        <f t="shared" si="35"/>
        <v>0.7</v>
      </c>
      <c r="AI723" s="1471"/>
      <c r="AJ723" s="1472"/>
      <c r="AK723" s="1355" t="s">
        <v>591</v>
      </c>
      <c r="AL723" s="1356"/>
      <c r="AM723" s="1356"/>
      <c r="AN723" s="1356"/>
      <c r="AO723" s="1357"/>
      <c r="AP723" s="3"/>
      <c r="AQ723" s="3"/>
      <c r="AR723" s="3"/>
      <c r="AS723" s="3"/>
      <c r="AY723" s="116"/>
      <c r="AZ723" s="118">
        <f>IF($G723=0,"N/A",VLOOKUP($T$189,TC_Rent,(MATCH($B723,bedrooms,FALSE)),FALSE))</f>
        <v>3120</v>
      </c>
      <c r="BA723" s="3"/>
      <c r="BB723" s="3"/>
      <c r="BC723" s="3"/>
      <c r="BD723" s="3"/>
      <c r="BE723" s="205"/>
      <c r="BF723" s="295">
        <f t="shared" si="9"/>
        <v>56</v>
      </c>
      <c r="BG723" s="298">
        <f t="shared" si="10"/>
        <v>0.24347826086956523</v>
      </c>
      <c r="BH723" s="299">
        <f t="shared" si="11"/>
        <v>0.17043478260869566</v>
      </c>
      <c r="BI723" s="3"/>
      <c r="BJ723" s="3"/>
      <c r="BK723" s="3"/>
      <c r="BL723" s="3"/>
      <c r="BM723" s="3"/>
      <c r="BN723" s="3"/>
      <c r="BS723" s="295">
        <f t="shared" si="12"/>
        <v>56</v>
      </c>
      <c r="BT723" s="298">
        <f t="shared" si="13"/>
        <v>0.24347826086956523</v>
      </c>
      <c r="BU723" s="299">
        <f t="shared" si="14"/>
        <v>0.17043478260869566</v>
      </c>
      <c r="CC723" s="3"/>
      <c r="CD723" s="3"/>
      <c r="CE723" s="3"/>
      <c r="CF723" s="3"/>
      <c r="CG723" s="1495">
        <f t="shared" si="36"/>
        <v>0</v>
      </c>
      <c r="CH723" s="1497"/>
      <c r="CI723" s="1489">
        <f t="shared" si="37"/>
        <v>0</v>
      </c>
      <c r="CJ723" s="1491"/>
      <c r="CK723" s="1495">
        <f t="shared" si="15"/>
        <v>0</v>
      </c>
      <c r="CL723" s="1497"/>
      <c r="CM723" s="1489">
        <f t="shared" si="16"/>
        <v>0</v>
      </c>
      <c r="CN723" s="1491"/>
      <c r="CO723" s="3"/>
      <c r="CP723" s="1485">
        <f t="shared" si="17"/>
        <v>0</v>
      </c>
      <c r="CQ723" s="1486"/>
      <c r="CR723" s="1486"/>
      <c r="CS723" s="1486"/>
      <c r="CT723" s="1487"/>
      <c r="CU723" s="1463">
        <f t="shared" si="18"/>
        <v>0</v>
      </c>
      <c r="CV723" s="1463"/>
      <c r="CW723" s="1463"/>
      <c r="CX723" s="1463"/>
      <c r="CY723" s="1463"/>
      <c r="CZ723" s="1463">
        <f t="shared" si="19"/>
        <v>56</v>
      </c>
      <c r="DA723" s="1463"/>
      <c r="DB723" s="1463"/>
      <c r="DC723" s="1463"/>
      <c r="DD723" s="1463"/>
      <c r="DE723" s="1463">
        <f t="shared" si="20"/>
        <v>0</v>
      </c>
      <c r="DF723" s="1463"/>
      <c r="DG723" s="1463"/>
      <c r="DH723" s="1463"/>
      <c r="DI723" s="1463"/>
      <c r="DJ723" s="1463">
        <f t="shared" si="21"/>
        <v>0</v>
      </c>
      <c r="DK723" s="1463"/>
      <c r="DL723" s="1463"/>
      <c r="DM723" s="1463"/>
      <c r="DN723" s="1463"/>
      <c r="DO723" s="1463">
        <f t="shared" si="22"/>
        <v>0</v>
      </c>
      <c r="DP723" s="1463"/>
      <c r="DQ723" s="1463"/>
      <c r="DR723" s="1463"/>
      <c r="DS723" s="1463"/>
      <c r="DT723" s="6"/>
      <c r="DU723" s="1465">
        <f t="shared" si="23"/>
        <v>0</v>
      </c>
      <c r="DV723" s="1465"/>
      <c r="DW723" s="1465"/>
      <c r="DX723" s="1465"/>
      <c r="DY723" s="1465"/>
      <c r="DZ723" s="1465">
        <f t="shared" si="24"/>
        <v>0</v>
      </c>
      <c r="EA723" s="1465"/>
      <c r="EB723" s="1465"/>
      <c r="EC723" s="1465"/>
      <c r="ED723" s="1465"/>
      <c r="EE723" s="1465">
        <f t="shared" si="25"/>
        <v>0</v>
      </c>
      <c r="EF723" s="1465"/>
      <c r="EG723" s="1465"/>
      <c r="EH723" s="1465"/>
      <c r="EI723" s="1465"/>
      <c r="EJ723" s="1465">
        <f t="shared" si="26"/>
        <v>0</v>
      </c>
      <c r="EK723" s="1465"/>
      <c r="EL723" s="1465"/>
      <c r="EM723" s="1465"/>
      <c r="EN723" s="1465"/>
      <c r="EO723" s="1465">
        <f t="shared" si="27"/>
        <v>0</v>
      </c>
      <c r="EP723" s="1465"/>
      <c r="EQ723" s="1465"/>
      <c r="ER723" s="1465"/>
      <c r="ES723" s="1465"/>
      <c r="ET723" s="1465">
        <f t="shared" si="28"/>
        <v>0</v>
      </c>
      <c r="EU723" s="1465"/>
      <c r="EV723" s="1465"/>
      <c r="EW723" s="1465"/>
      <c r="EX723" s="1465"/>
      <c r="EZ723" s="1495" t="str">
        <f t="shared" si="29"/>
        <v/>
      </c>
      <c r="FA723" s="1496"/>
      <c r="FB723" s="1496"/>
      <c r="FC723" s="1496"/>
      <c r="FD723" s="1497"/>
      <c r="FE723" s="1495" t="str">
        <f t="shared" si="30"/>
        <v/>
      </c>
      <c r="FF723" s="1496"/>
      <c r="FG723" s="1496"/>
      <c r="FH723" s="1496"/>
      <c r="FI723" s="1497"/>
      <c r="FJ723" s="1495">
        <f t="shared" si="31"/>
        <v>2184</v>
      </c>
      <c r="FK723" s="1496"/>
      <c r="FL723" s="1496"/>
      <c r="FM723" s="1496"/>
      <c r="FN723" s="1497"/>
      <c r="FO723" s="1495" t="str">
        <f t="shared" si="32"/>
        <v/>
      </c>
      <c r="FP723" s="1496"/>
      <c r="FQ723" s="1496"/>
      <c r="FR723" s="1496"/>
      <c r="FS723" s="1497"/>
      <c r="FT723" s="1495" t="str">
        <f t="shared" si="33"/>
        <v/>
      </c>
      <c r="FU723" s="1496"/>
      <c r="FV723" s="1496"/>
      <c r="FW723" s="1496"/>
      <c r="FX723" s="1497"/>
      <c r="FY723" s="1495" t="str">
        <f t="shared" si="34"/>
        <v/>
      </c>
      <c r="FZ723" s="1496"/>
      <c r="GA723" s="1496"/>
      <c r="GB723" s="1496"/>
      <c r="GC723" s="1497"/>
    </row>
    <row r="724" spans="1:185" ht="12.95" customHeight="1">
      <c r="B724" s="1355"/>
      <c r="C724" s="1356"/>
      <c r="D724" s="1356"/>
      <c r="E724" s="1356"/>
      <c r="F724" s="1357"/>
      <c r="G724" s="1349"/>
      <c r="H724" s="1350"/>
      <c r="I724" s="1350"/>
      <c r="J724" s="1351"/>
      <c r="K724" s="1352"/>
      <c r="L724" s="1353"/>
      <c r="M724" s="1353"/>
      <c r="N724" s="1354"/>
      <c r="O724" s="1370"/>
      <c r="P724" s="1371"/>
      <c r="Q724" s="1371"/>
      <c r="R724" s="1371"/>
      <c r="S724" s="1372"/>
      <c r="T724" s="1370"/>
      <c r="U724" s="1371"/>
      <c r="V724" s="1371"/>
      <c r="W724" s="1372"/>
      <c r="X724" s="1607">
        <f t="shared" si="8"/>
        <v>0</v>
      </c>
      <c r="Y724" s="1422"/>
      <c r="Z724" s="1422"/>
      <c r="AA724" s="1422"/>
      <c r="AB724" s="1608"/>
      <c r="AC724" s="1473"/>
      <c r="AD724" s="1474"/>
      <c r="AE724" s="1474"/>
      <c r="AF724" s="1474"/>
      <c r="AG724" s="1475"/>
      <c r="AH724" s="1470" t="str">
        <f t="shared" si="35"/>
        <v/>
      </c>
      <c r="AI724" s="1471"/>
      <c r="AJ724" s="1472"/>
      <c r="AK724" s="1355" t="s">
        <v>591</v>
      </c>
      <c r="AL724" s="1356"/>
      <c r="AM724" s="1356"/>
      <c r="AN724" s="1356"/>
      <c r="AO724" s="1357"/>
      <c r="AP724" s="3"/>
      <c r="AQ724" s="3"/>
      <c r="AR724" s="3"/>
      <c r="AS724" s="3"/>
      <c r="AY724" s="116"/>
      <c r="AZ724" s="118" t="str">
        <f>IF($G724=0,"N/A",VLOOKUP($T$189,TC_Rent,(MATCH($B724,bedrooms,FALSE)),FALSE))</f>
        <v>N/A</v>
      </c>
      <c r="BA724" s="3"/>
      <c r="BB724" s="3"/>
      <c r="BC724" s="3"/>
      <c r="BD724" s="3"/>
      <c r="BE724" s="205"/>
      <c r="BF724" s="295">
        <f t="shared" si="9"/>
        <v>0</v>
      </c>
      <c r="BG724" s="298">
        <f t="shared" si="10"/>
        <v>0</v>
      </c>
      <c r="BH724" s="299" t="str">
        <f t="shared" si="11"/>
        <v/>
      </c>
      <c r="BI724" s="3"/>
      <c r="BJ724" s="3"/>
      <c r="BK724" s="3"/>
      <c r="BL724" s="3"/>
      <c r="BM724" s="3"/>
      <c r="BN724" s="3"/>
      <c r="BS724" s="295">
        <f t="shared" si="12"/>
        <v>0</v>
      </c>
      <c r="BT724" s="298">
        <f t="shared" si="13"/>
        <v>0</v>
      </c>
      <c r="BU724" s="299" t="str">
        <f t="shared" si="14"/>
        <v/>
      </c>
      <c r="CC724" s="3"/>
      <c r="CE724" s="3"/>
      <c r="CF724" s="3"/>
      <c r="CG724" s="1495">
        <f t="shared" si="36"/>
        <v>0</v>
      </c>
      <c r="CH724" s="1497"/>
      <c r="CI724" s="1489">
        <f t="shared" si="37"/>
        <v>0</v>
      </c>
      <c r="CJ724" s="1491"/>
      <c r="CK724" s="1495">
        <f t="shared" si="15"/>
        <v>0</v>
      </c>
      <c r="CL724" s="1497"/>
      <c r="CM724" s="1489">
        <f t="shared" si="16"/>
        <v>0</v>
      </c>
      <c r="CN724" s="1491"/>
      <c r="CO724" s="3"/>
      <c r="CP724" s="1485">
        <f t="shared" si="17"/>
        <v>0</v>
      </c>
      <c r="CQ724" s="1486"/>
      <c r="CR724" s="1486"/>
      <c r="CS724" s="1486"/>
      <c r="CT724" s="1487"/>
      <c r="CU724" s="1463">
        <f t="shared" si="18"/>
        <v>0</v>
      </c>
      <c r="CV724" s="1463"/>
      <c r="CW724" s="1463"/>
      <c r="CX724" s="1463"/>
      <c r="CY724" s="1463"/>
      <c r="CZ724" s="1463">
        <f t="shared" si="19"/>
        <v>0</v>
      </c>
      <c r="DA724" s="1463"/>
      <c r="DB724" s="1463"/>
      <c r="DC724" s="1463"/>
      <c r="DD724" s="1463"/>
      <c r="DE724" s="1463">
        <f t="shared" si="20"/>
        <v>0</v>
      </c>
      <c r="DF724" s="1463"/>
      <c r="DG724" s="1463"/>
      <c r="DH724" s="1463"/>
      <c r="DI724" s="1463"/>
      <c r="DJ724" s="1463">
        <f t="shared" si="21"/>
        <v>0</v>
      </c>
      <c r="DK724" s="1463"/>
      <c r="DL724" s="1463"/>
      <c r="DM724" s="1463"/>
      <c r="DN724" s="1463"/>
      <c r="DO724" s="1463">
        <f t="shared" si="22"/>
        <v>0</v>
      </c>
      <c r="DP724" s="1463"/>
      <c r="DQ724" s="1463"/>
      <c r="DR724" s="1463"/>
      <c r="DS724" s="1463"/>
      <c r="DT724" s="6"/>
      <c r="DU724" s="1465">
        <f t="shared" si="23"/>
        <v>0</v>
      </c>
      <c r="DV724" s="1465"/>
      <c r="DW724" s="1465"/>
      <c r="DX724" s="1465"/>
      <c r="DY724" s="1465"/>
      <c r="DZ724" s="1465">
        <f t="shared" si="24"/>
        <v>0</v>
      </c>
      <c r="EA724" s="1465"/>
      <c r="EB724" s="1465"/>
      <c r="EC724" s="1465"/>
      <c r="ED724" s="1465"/>
      <c r="EE724" s="1465">
        <f t="shared" si="25"/>
        <v>0</v>
      </c>
      <c r="EF724" s="1465"/>
      <c r="EG724" s="1465"/>
      <c r="EH724" s="1465"/>
      <c r="EI724" s="1465"/>
      <c r="EJ724" s="1465">
        <f t="shared" si="26"/>
        <v>0</v>
      </c>
      <c r="EK724" s="1465"/>
      <c r="EL724" s="1465"/>
      <c r="EM724" s="1465"/>
      <c r="EN724" s="1465"/>
      <c r="EO724" s="1465">
        <f t="shared" si="27"/>
        <v>0</v>
      </c>
      <c r="EP724" s="1465"/>
      <c r="EQ724" s="1465"/>
      <c r="ER724" s="1465"/>
      <c r="ES724" s="1465"/>
      <c r="ET724" s="1465">
        <f t="shared" si="28"/>
        <v>0</v>
      </c>
      <c r="EU724" s="1465"/>
      <c r="EV724" s="1465"/>
      <c r="EW724" s="1465"/>
      <c r="EX724" s="1465"/>
      <c r="EZ724" s="1495" t="str">
        <f t="shared" si="29"/>
        <v/>
      </c>
      <c r="FA724" s="1496"/>
      <c r="FB724" s="1496"/>
      <c r="FC724" s="1496"/>
      <c r="FD724" s="1497"/>
      <c r="FE724" s="1495" t="str">
        <f t="shared" si="30"/>
        <v/>
      </c>
      <c r="FF724" s="1496"/>
      <c r="FG724" s="1496"/>
      <c r="FH724" s="1496"/>
      <c r="FI724" s="1497"/>
      <c r="FJ724" s="1495" t="str">
        <f t="shared" si="31"/>
        <v/>
      </c>
      <c r="FK724" s="1496"/>
      <c r="FL724" s="1496"/>
      <c r="FM724" s="1496"/>
      <c r="FN724" s="1497"/>
      <c r="FO724" s="1495" t="str">
        <f t="shared" si="32"/>
        <v/>
      </c>
      <c r="FP724" s="1496"/>
      <c r="FQ724" s="1496"/>
      <c r="FR724" s="1496"/>
      <c r="FS724" s="1497"/>
      <c r="FT724" s="1495" t="str">
        <f t="shared" si="33"/>
        <v/>
      </c>
      <c r="FU724" s="1496"/>
      <c r="FV724" s="1496"/>
      <c r="FW724" s="1496"/>
      <c r="FX724" s="1497"/>
      <c r="FY724" s="1495" t="str">
        <f t="shared" si="34"/>
        <v/>
      </c>
      <c r="FZ724" s="1496"/>
      <c r="GA724" s="1496"/>
      <c r="GB724" s="1496"/>
      <c r="GC724" s="1497"/>
    </row>
    <row r="725" spans="1:185" ht="12.95" customHeight="1">
      <c r="B725" s="1355"/>
      <c r="C725" s="1356"/>
      <c r="D725" s="1356"/>
      <c r="E725" s="1356"/>
      <c r="F725" s="1357"/>
      <c r="G725" s="1349"/>
      <c r="H725" s="1350"/>
      <c r="I725" s="1350"/>
      <c r="J725" s="1351"/>
      <c r="K725" s="1352"/>
      <c r="L725" s="1353"/>
      <c r="M725" s="1353"/>
      <c r="N725" s="1354"/>
      <c r="O725" s="1370"/>
      <c r="P725" s="1371"/>
      <c r="Q725" s="1371"/>
      <c r="R725" s="1371"/>
      <c r="S725" s="1372"/>
      <c r="T725" s="1370"/>
      <c r="U725" s="1371"/>
      <c r="V725" s="1371"/>
      <c r="W725" s="1372"/>
      <c r="X725" s="1607">
        <f t="shared" si="8"/>
        <v>0</v>
      </c>
      <c r="Y725" s="1422"/>
      <c r="Z725" s="1422"/>
      <c r="AA725" s="1422"/>
      <c r="AB725" s="1608"/>
      <c r="AC725" s="1473"/>
      <c r="AD725" s="1474"/>
      <c r="AE725" s="1474"/>
      <c r="AF725" s="1474"/>
      <c r="AG725" s="1475"/>
      <c r="AH725" s="1470" t="str">
        <f t="shared" si="35"/>
        <v/>
      </c>
      <c r="AI725" s="1471"/>
      <c r="AJ725" s="1472"/>
      <c r="AK725" s="1355" t="s">
        <v>591</v>
      </c>
      <c r="AL725" s="1356"/>
      <c r="AM725" s="1356"/>
      <c r="AN725" s="1356"/>
      <c r="AO725" s="1357"/>
      <c r="AP725" s="3"/>
      <c r="AQ725" s="3"/>
      <c r="AR725" s="3"/>
      <c r="AS725" s="3"/>
      <c r="AY725" s="1087"/>
      <c r="AZ725" s="118" t="str">
        <f>IF($G725=0,"N/A",VLOOKUP($T$189,TC_Rent,(MATCH($B725,bedrooms,FALSE)),FALSE))</f>
        <v>N/A</v>
      </c>
      <c r="BA725" s="3"/>
      <c r="BB725" s="3"/>
      <c r="BC725" s="3"/>
      <c r="BD725" s="3"/>
      <c r="BE725" s="205"/>
      <c r="BF725" s="295">
        <f t="shared" si="9"/>
        <v>0</v>
      </c>
      <c r="BG725" s="298">
        <f t="shared" si="10"/>
        <v>0</v>
      </c>
      <c r="BH725" s="299" t="str">
        <f t="shared" si="11"/>
        <v/>
      </c>
      <c r="BI725" s="3"/>
      <c r="BJ725" s="3"/>
      <c r="BK725" s="3"/>
      <c r="BL725" s="3"/>
      <c r="BM725" s="3"/>
      <c r="BN725" s="3"/>
      <c r="BS725" s="295">
        <f t="shared" si="12"/>
        <v>0</v>
      </c>
      <c r="BT725" s="298">
        <f t="shared" si="13"/>
        <v>0</v>
      </c>
      <c r="BU725" s="299" t="str">
        <f t="shared" si="14"/>
        <v/>
      </c>
      <c r="BV725" s="293"/>
      <c r="BW725" s="3"/>
      <c r="BX725" s="3"/>
      <c r="BY725" s="3"/>
      <c r="BZ725" s="3"/>
      <c r="CA725" s="3"/>
      <c r="CB725" s="3"/>
      <c r="CC725" s="3"/>
      <c r="CE725" s="3"/>
      <c r="CF725" s="3"/>
      <c r="CG725" s="1495">
        <f t="shared" si="36"/>
        <v>0</v>
      </c>
      <c r="CH725" s="1497"/>
      <c r="CI725" s="1489">
        <f t="shared" si="37"/>
        <v>0</v>
      </c>
      <c r="CJ725" s="1491"/>
      <c r="CK725" s="1495">
        <f t="shared" si="15"/>
        <v>0</v>
      </c>
      <c r="CL725" s="1497"/>
      <c r="CM725" s="1489">
        <f t="shared" si="16"/>
        <v>0</v>
      </c>
      <c r="CN725" s="1491"/>
      <c r="CO725" s="3"/>
      <c r="CP725" s="1485">
        <f t="shared" si="17"/>
        <v>0</v>
      </c>
      <c r="CQ725" s="1486"/>
      <c r="CR725" s="1486"/>
      <c r="CS725" s="1486"/>
      <c r="CT725" s="1487"/>
      <c r="CU725" s="1463">
        <f t="shared" si="18"/>
        <v>0</v>
      </c>
      <c r="CV725" s="1463"/>
      <c r="CW725" s="1463"/>
      <c r="CX725" s="1463"/>
      <c r="CY725" s="1463"/>
      <c r="CZ725" s="1463">
        <f t="shared" si="19"/>
        <v>0</v>
      </c>
      <c r="DA725" s="1463"/>
      <c r="DB725" s="1463"/>
      <c r="DC725" s="1463"/>
      <c r="DD725" s="1463"/>
      <c r="DE725" s="1463">
        <f t="shared" si="20"/>
        <v>0</v>
      </c>
      <c r="DF725" s="1463"/>
      <c r="DG725" s="1463"/>
      <c r="DH725" s="1463"/>
      <c r="DI725" s="1463"/>
      <c r="DJ725" s="1463">
        <f t="shared" si="21"/>
        <v>0</v>
      </c>
      <c r="DK725" s="1463"/>
      <c r="DL725" s="1463"/>
      <c r="DM725" s="1463"/>
      <c r="DN725" s="1463"/>
      <c r="DO725" s="1463">
        <f t="shared" si="22"/>
        <v>0</v>
      </c>
      <c r="DP725" s="1463"/>
      <c r="DQ725" s="1463"/>
      <c r="DR725" s="1463"/>
      <c r="DS725" s="1463"/>
      <c r="DT725" s="6"/>
      <c r="DU725" s="1465">
        <f t="shared" si="23"/>
        <v>0</v>
      </c>
      <c r="DV725" s="1465"/>
      <c r="DW725" s="1465"/>
      <c r="DX725" s="1465"/>
      <c r="DY725" s="1465"/>
      <c r="DZ725" s="1465">
        <f t="shared" si="24"/>
        <v>0</v>
      </c>
      <c r="EA725" s="1465"/>
      <c r="EB725" s="1465"/>
      <c r="EC725" s="1465"/>
      <c r="ED725" s="1465"/>
      <c r="EE725" s="1465">
        <f t="shared" si="25"/>
        <v>0</v>
      </c>
      <c r="EF725" s="1465"/>
      <c r="EG725" s="1465"/>
      <c r="EH725" s="1465"/>
      <c r="EI725" s="1465"/>
      <c r="EJ725" s="1465">
        <f t="shared" si="26"/>
        <v>0</v>
      </c>
      <c r="EK725" s="1465"/>
      <c r="EL725" s="1465"/>
      <c r="EM725" s="1465"/>
      <c r="EN725" s="1465"/>
      <c r="EO725" s="1465">
        <f t="shared" si="27"/>
        <v>0</v>
      </c>
      <c r="EP725" s="1465"/>
      <c r="EQ725" s="1465"/>
      <c r="ER725" s="1465"/>
      <c r="ES725" s="1465"/>
      <c r="ET725" s="1465">
        <f t="shared" si="28"/>
        <v>0</v>
      </c>
      <c r="EU725" s="1465"/>
      <c r="EV725" s="1465"/>
      <c r="EW725" s="1465"/>
      <c r="EX725" s="1465"/>
      <c r="EZ725" s="1495" t="str">
        <f t="shared" si="29"/>
        <v/>
      </c>
      <c r="FA725" s="1496"/>
      <c r="FB725" s="1496"/>
      <c r="FC725" s="1496"/>
      <c r="FD725" s="1497"/>
      <c r="FE725" s="1495" t="str">
        <f t="shared" si="30"/>
        <v/>
      </c>
      <c r="FF725" s="1496"/>
      <c r="FG725" s="1496"/>
      <c r="FH725" s="1496"/>
      <c r="FI725" s="1497"/>
      <c r="FJ725" s="1495" t="str">
        <f t="shared" si="31"/>
        <v/>
      </c>
      <c r="FK725" s="1496"/>
      <c r="FL725" s="1496"/>
      <c r="FM725" s="1496"/>
      <c r="FN725" s="1497"/>
      <c r="FO725" s="1495" t="str">
        <f t="shared" si="32"/>
        <v/>
      </c>
      <c r="FP725" s="1496"/>
      <c r="FQ725" s="1496"/>
      <c r="FR725" s="1496"/>
      <c r="FS725" s="1497"/>
      <c r="FT725" s="1495" t="str">
        <f t="shared" si="33"/>
        <v/>
      </c>
      <c r="FU725" s="1496"/>
      <c r="FV725" s="1496"/>
      <c r="FW725" s="1496"/>
      <c r="FX725" s="1497"/>
      <c r="FY725" s="1495" t="str">
        <f t="shared" si="34"/>
        <v/>
      </c>
      <c r="FZ725" s="1496"/>
      <c r="GA725" s="1496"/>
      <c r="GB725" s="1496"/>
      <c r="GC725" s="1497"/>
    </row>
    <row r="726" spans="1:185" ht="12.95" customHeight="1">
      <c r="B726" s="1355"/>
      <c r="C726" s="1356"/>
      <c r="D726" s="1356"/>
      <c r="E726" s="1356"/>
      <c r="F726" s="1357"/>
      <c r="G726" s="1349"/>
      <c r="H726" s="1350"/>
      <c r="I726" s="1350"/>
      <c r="J726" s="1351"/>
      <c r="K726" s="1352"/>
      <c r="L726" s="1353"/>
      <c r="M726" s="1353"/>
      <c r="N726" s="1354"/>
      <c r="O726" s="1370"/>
      <c r="P726" s="1371"/>
      <c r="Q726" s="1371"/>
      <c r="R726" s="1371"/>
      <c r="S726" s="1372"/>
      <c r="T726" s="1370"/>
      <c r="U726" s="1371"/>
      <c r="V726" s="1371"/>
      <c r="W726" s="1372"/>
      <c r="X726" s="1607">
        <f t="shared" si="8"/>
        <v>0</v>
      </c>
      <c r="Y726" s="1422"/>
      <c r="Z726" s="1422"/>
      <c r="AA726" s="1422"/>
      <c r="AB726" s="1608"/>
      <c r="AC726" s="1473"/>
      <c r="AD726" s="1474"/>
      <c r="AE726" s="1474"/>
      <c r="AF726" s="1474"/>
      <c r="AG726" s="1475"/>
      <c r="AH726" s="1470" t="str">
        <f t="shared" si="35"/>
        <v/>
      </c>
      <c r="AI726" s="1471"/>
      <c r="AJ726" s="1472"/>
      <c r="AK726" s="1355" t="s">
        <v>591</v>
      </c>
      <c r="AL726" s="1356"/>
      <c r="AM726" s="1356"/>
      <c r="AN726" s="1356"/>
      <c r="AO726" s="1357"/>
      <c r="AP726" s="3"/>
      <c r="AQ726" s="3"/>
      <c r="AR726" s="3"/>
      <c r="AS726" s="3"/>
      <c r="AY726" s="1087"/>
      <c r="AZ726" s="118" t="str">
        <f>IF($G726=0,"N/A",VLOOKUP($T$189,TC_Rent,(MATCH($B726,bedrooms,FALSE)),FALSE))</f>
        <v>N/A</v>
      </c>
      <c r="BA726" s="3"/>
      <c r="BB726" s="3"/>
      <c r="BC726" s="3"/>
      <c r="BD726" s="3"/>
      <c r="BE726" s="205"/>
      <c r="BF726" s="295">
        <f t="shared" si="9"/>
        <v>0</v>
      </c>
      <c r="BG726" s="298">
        <f t="shared" si="10"/>
        <v>0</v>
      </c>
      <c r="BH726" s="299" t="str">
        <f t="shared" si="11"/>
        <v/>
      </c>
      <c r="BI726" s="3"/>
      <c r="BJ726" s="3"/>
      <c r="BK726" s="3"/>
      <c r="BL726" s="3"/>
      <c r="BM726" s="3"/>
      <c r="BN726" s="3"/>
      <c r="BS726" s="295">
        <f t="shared" si="12"/>
        <v>0</v>
      </c>
      <c r="BT726" s="298">
        <f t="shared" si="13"/>
        <v>0</v>
      </c>
      <c r="BU726" s="299" t="str">
        <f t="shared" si="14"/>
        <v/>
      </c>
      <c r="BV726" s="3"/>
      <c r="BW726" s="3"/>
      <c r="BX726" s="3"/>
      <c r="BY726" s="3"/>
      <c r="BZ726" s="3"/>
      <c r="CA726" s="3"/>
      <c r="CB726" s="3"/>
      <c r="CC726" s="3"/>
      <c r="CE726" s="3"/>
      <c r="CF726" s="3"/>
      <c r="CG726" s="1495">
        <f t="shared" si="36"/>
        <v>0</v>
      </c>
      <c r="CH726" s="1497"/>
      <c r="CI726" s="1489">
        <f t="shared" si="37"/>
        <v>0</v>
      </c>
      <c r="CJ726" s="1491"/>
      <c r="CK726" s="1495">
        <f t="shared" si="15"/>
        <v>0</v>
      </c>
      <c r="CL726" s="1497"/>
      <c r="CM726" s="1489">
        <f t="shared" si="16"/>
        <v>0</v>
      </c>
      <c r="CN726" s="1491"/>
      <c r="CO726" s="3"/>
      <c r="CP726" s="1485">
        <f t="shared" si="17"/>
        <v>0</v>
      </c>
      <c r="CQ726" s="1486"/>
      <c r="CR726" s="1486"/>
      <c r="CS726" s="1486"/>
      <c r="CT726" s="1487"/>
      <c r="CU726" s="1463">
        <f t="shared" si="18"/>
        <v>0</v>
      </c>
      <c r="CV726" s="1463"/>
      <c r="CW726" s="1463"/>
      <c r="CX726" s="1463"/>
      <c r="CY726" s="1463"/>
      <c r="CZ726" s="1463">
        <f t="shared" si="19"/>
        <v>0</v>
      </c>
      <c r="DA726" s="1463"/>
      <c r="DB726" s="1463"/>
      <c r="DC726" s="1463"/>
      <c r="DD726" s="1463"/>
      <c r="DE726" s="1463">
        <f t="shared" si="20"/>
        <v>0</v>
      </c>
      <c r="DF726" s="1463"/>
      <c r="DG726" s="1463"/>
      <c r="DH726" s="1463"/>
      <c r="DI726" s="1463"/>
      <c r="DJ726" s="1463">
        <f t="shared" si="21"/>
        <v>0</v>
      </c>
      <c r="DK726" s="1463"/>
      <c r="DL726" s="1463"/>
      <c r="DM726" s="1463"/>
      <c r="DN726" s="1463"/>
      <c r="DO726" s="1463">
        <f t="shared" si="22"/>
        <v>0</v>
      </c>
      <c r="DP726" s="1463"/>
      <c r="DQ726" s="1463"/>
      <c r="DR726" s="1463"/>
      <c r="DS726" s="1463"/>
      <c r="DT726" s="6"/>
      <c r="DU726" s="1465">
        <f t="shared" si="23"/>
        <v>0</v>
      </c>
      <c r="DV726" s="1465"/>
      <c r="DW726" s="1465"/>
      <c r="DX726" s="1465"/>
      <c r="DY726" s="1465"/>
      <c r="DZ726" s="1465">
        <f t="shared" si="24"/>
        <v>0</v>
      </c>
      <c r="EA726" s="1465"/>
      <c r="EB726" s="1465"/>
      <c r="EC726" s="1465"/>
      <c r="ED726" s="1465"/>
      <c r="EE726" s="1465">
        <f t="shared" si="25"/>
        <v>0</v>
      </c>
      <c r="EF726" s="1465"/>
      <c r="EG726" s="1465"/>
      <c r="EH726" s="1465"/>
      <c r="EI726" s="1465"/>
      <c r="EJ726" s="1465">
        <f t="shared" si="26"/>
        <v>0</v>
      </c>
      <c r="EK726" s="1465"/>
      <c r="EL726" s="1465"/>
      <c r="EM726" s="1465"/>
      <c r="EN726" s="1465"/>
      <c r="EO726" s="1465">
        <f t="shared" si="27"/>
        <v>0</v>
      </c>
      <c r="EP726" s="1465"/>
      <c r="EQ726" s="1465"/>
      <c r="ER726" s="1465"/>
      <c r="ES726" s="1465"/>
      <c r="ET726" s="1465">
        <f t="shared" si="28"/>
        <v>0</v>
      </c>
      <c r="EU726" s="1465"/>
      <c r="EV726" s="1465"/>
      <c r="EW726" s="1465"/>
      <c r="EX726" s="1465"/>
      <c r="EY726" s="4"/>
      <c r="EZ726" s="1495" t="str">
        <f t="shared" si="29"/>
        <v/>
      </c>
      <c r="FA726" s="1496"/>
      <c r="FB726" s="1496"/>
      <c r="FC726" s="1496"/>
      <c r="FD726" s="1497"/>
      <c r="FE726" s="1495" t="str">
        <f t="shared" si="30"/>
        <v/>
      </c>
      <c r="FF726" s="1496"/>
      <c r="FG726" s="1496"/>
      <c r="FH726" s="1496"/>
      <c r="FI726" s="1497"/>
      <c r="FJ726" s="1495" t="str">
        <f t="shared" si="31"/>
        <v/>
      </c>
      <c r="FK726" s="1496"/>
      <c r="FL726" s="1496"/>
      <c r="FM726" s="1496"/>
      <c r="FN726" s="1497"/>
      <c r="FO726" s="1495" t="str">
        <f t="shared" si="32"/>
        <v/>
      </c>
      <c r="FP726" s="1496"/>
      <c r="FQ726" s="1496"/>
      <c r="FR726" s="1496"/>
      <c r="FS726" s="1497"/>
      <c r="FT726" s="1495" t="str">
        <f t="shared" si="33"/>
        <v/>
      </c>
      <c r="FU726" s="1496"/>
      <c r="FV726" s="1496"/>
      <c r="FW726" s="1496"/>
      <c r="FX726" s="1497"/>
      <c r="FY726" s="1495" t="str">
        <f t="shared" si="34"/>
        <v/>
      </c>
      <c r="FZ726" s="1496"/>
      <c r="GA726" s="1496"/>
      <c r="GB726" s="1496"/>
      <c r="GC726" s="1497"/>
    </row>
    <row r="727" spans="1:185" ht="12.95" customHeight="1">
      <c r="A727" s="4"/>
      <c r="B727" s="1355"/>
      <c r="C727" s="1356"/>
      <c r="D727" s="1356"/>
      <c r="E727" s="1356"/>
      <c r="F727" s="1357"/>
      <c r="G727" s="1349"/>
      <c r="H727" s="1350"/>
      <c r="I727" s="1350"/>
      <c r="J727" s="1351"/>
      <c r="K727" s="1352"/>
      <c r="L727" s="1353"/>
      <c r="M727" s="1353"/>
      <c r="N727" s="1354"/>
      <c r="O727" s="1370"/>
      <c r="P727" s="1371"/>
      <c r="Q727" s="1371"/>
      <c r="R727" s="1371"/>
      <c r="S727" s="1372"/>
      <c r="T727" s="1370"/>
      <c r="U727" s="1371"/>
      <c r="V727" s="1371"/>
      <c r="W727" s="1372"/>
      <c r="X727" s="1607">
        <f t="shared" si="8"/>
        <v>0</v>
      </c>
      <c r="Y727" s="1422"/>
      <c r="Z727" s="1422"/>
      <c r="AA727" s="1422"/>
      <c r="AB727" s="1608"/>
      <c r="AC727" s="1473"/>
      <c r="AD727" s="1474"/>
      <c r="AE727" s="1474"/>
      <c r="AF727" s="1474"/>
      <c r="AG727" s="1475"/>
      <c r="AH727" s="1470" t="str">
        <f t="shared" si="35"/>
        <v/>
      </c>
      <c r="AI727" s="1471"/>
      <c r="AJ727" s="1472"/>
      <c r="AK727" s="1355" t="s">
        <v>591</v>
      </c>
      <c r="AL727" s="1356"/>
      <c r="AM727" s="1356"/>
      <c r="AN727" s="1356"/>
      <c r="AO727" s="1357"/>
      <c r="AP727" s="3"/>
      <c r="AQ727" s="3"/>
      <c r="AR727" s="3"/>
      <c r="AS727" s="3"/>
      <c r="AY727" s="1087"/>
      <c r="AZ727" s="118" t="str">
        <f>IF($G727=0,"N/A",VLOOKUP($T$189,TC_Rent,(MATCH($B727,bedrooms,FALSE)),FALSE))</f>
        <v>N/A</v>
      </c>
      <c r="BA727" s="3"/>
      <c r="BB727" s="3"/>
      <c r="BC727" s="3"/>
      <c r="BD727" s="3"/>
      <c r="BE727" s="205"/>
      <c r="BF727" s="295">
        <f t="shared" si="9"/>
        <v>0</v>
      </c>
      <c r="BG727" s="298">
        <f t="shared" si="10"/>
        <v>0</v>
      </c>
      <c r="BH727" s="299" t="str">
        <f t="shared" si="11"/>
        <v/>
      </c>
      <c r="BI727" s="3"/>
      <c r="BJ727" s="3"/>
      <c r="BK727" s="3"/>
      <c r="BL727" s="3"/>
      <c r="BM727" s="3"/>
      <c r="BN727" s="3"/>
      <c r="BS727" s="295">
        <f t="shared" si="12"/>
        <v>0</v>
      </c>
      <c r="BT727" s="298">
        <f t="shared" si="13"/>
        <v>0</v>
      </c>
      <c r="BU727" s="299" t="str">
        <f t="shared" si="14"/>
        <v/>
      </c>
      <c r="BV727" s="3"/>
      <c r="BW727" s="3"/>
      <c r="BX727" s="3"/>
      <c r="BY727" s="3"/>
      <c r="BZ727" s="3"/>
      <c r="CA727" s="3"/>
      <c r="CB727" s="3"/>
      <c r="CC727" s="3"/>
      <c r="CE727" s="3"/>
      <c r="CF727" s="3"/>
      <c r="CG727" s="1495">
        <f t="shared" si="36"/>
        <v>0</v>
      </c>
      <c r="CH727" s="1497"/>
      <c r="CI727" s="1489">
        <f t="shared" si="37"/>
        <v>0</v>
      </c>
      <c r="CJ727" s="1491"/>
      <c r="CK727" s="1495">
        <f t="shared" si="15"/>
        <v>0</v>
      </c>
      <c r="CL727" s="1497"/>
      <c r="CM727" s="1489">
        <f t="shared" si="16"/>
        <v>0</v>
      </c>
      <c r="CN727" s="1491"/>
      <c r="CO727" s="3"/>
      <c r="CP727" s="1485">
        <f t="shared" si="17"/>
        <v>0</v>
      </c>
      <c r="CQ727" s="1486"/>
      <c r="CR727" s="1486"/>
      <c r="CS727" s="1486"/>
      <c r="CT727" s="1487"/>
      <c r="CU727" s="1463">
        <f t="shared" si="18"/>
        <v>0</v>
      </c>
      <c r="CV727" s="1463"/>
      <c r="CW727" s="1463"/>
      <c r="CX727" s="1463"/>
      <c r="CY727" s="1463"/>
      <c r="CZ727" s="1463">
        <f t="shared" si="19"/>
        <v>0</v>
      </c>
      <c r="DA727" s="1463"/>
      <c r="DB727" s="1463"/>
      <c r="DC727" s="1463"/>
      <c r="DD727" s="1463"/>
      <c r="DE727" s="1463">
        <f t="shared" si="20"/>
        <v>0</v>
      </c>
      <c r="DF727" s="1463"/>
      <c r="DG727" s="1463"/>
      <c r="DH727" s="1463"/>
      <c r="DI727" s="1463"/>
      <c r="DJ727" s="1463">
        <f t="shared" si="21"/>
        <v>0</v>
      </c>
      <c r="DK727" s="1463"/>
      <c r="DL727" s="1463"/>
      <c r="DM727" s="1463"/>
      <c r="DN727" s="1463"/>
      <c r="DO727" s="1463">
        <f t="shared" si="22"/>
        <v>0</v>
      </c>
      <c r="DP727" s="1463"/>
      <c r="DQ727" s="1463"/>
      <c r="DR727" s="1463"/>
      <c r="DS727" s="1463"/>
      <c r="DT727" s="6"/>
      <c r="DU727" s="1465">
        <f t="shared" si="23"/>
        <v>0</v>
      </c>
      <c r="DV727" s="1465"/>
      <c r="DW727" s="1465"/>
      <c r="DX727" s="1465"/>
      <c r="DY727" s="1465"/>
      <c r="DZ727" s="1465">
        <f t="shared" si="24"/>
        <v>0</v>
      </c>
      <c r="EA727" s="1465"/>
      <c r="EB727" s="1465"/>
      <c r="EC727" s="1465"/>
      <c r="ED727" s="1465"/>
      <c r="EE727" s="1465">
        <f t="shared" si="25"/>
        <v>0</v>
      </c>
      <c r="EF727" s="1465"/>
      <c r="EG727" s="1465"/>
      <c r="EH727" s="1465"/>
      <c r="EI727" s="1465"/>
      <c r="EJ727" s="1465">
        <f t="shared" si="26"/>
        <v>0</v>
      </c>
      <c r="EK727" s="1465"/>
      <c r="EL727" s="1465"/>
      <c r="EM727" s="1465"/>
      <c r="EN727" s="1465"/>
      <c r="EO727" s="1465">
        <f t="shared" si="27"/>
        <v>0</v>
      </c>
      <c r="EP727" s="1465"/>
      <c r="EQ727" s="1465"/>
      <c r="ER727" s="1465"/>
      <c r="ES727" s="1465"/>
      <c r="ET727" s="1465">
        <f t="shared" si="28"/>
        <v>0</v>
      </c>
      <c r="EU727" s="1465"/>
      <c r="EV727" s="1465"/>
      <c r="EW727" s="1465"/>
      <c r="EX727" s="1465"/>
      <c r="EY727" s="4"/>
      <c r="EZ727" s="1495" t="str">
        <f t="shared" si="29"/>
        <v/>
      </c>
      <c r="FA727" s="1496"/>
      <c r="FB727" s="1496"/>
      <c r="FC727" s="1496"/>
      <c r="FD727" s="1497"/>
      <c r="FE727" s="1495" t="str">
        <f t="shared" si="30"/>
        <v/>
      </c>
      <c r="FF727" s="1496"/>
      <c r="FG727" s="1496"/>
      <c r="FH727" s="1496"/>
      <c r="FI727" s="1497"/>
      <c r="FJ727" s="1495" t="str">
        <f t="shared" si="31"/>
        <v/>
      </c>
      <c r="FK727" s="1496"/>
      <c r="FL727" s="1496"/>
      <c r="FM727" s="1496"/>
      <c r="FN727" s="1497"/>
      <c r="FO727" s="1495" t="str">
        <f t="shared" si="32"/>
        <v/>
      </c>
      <c r="FP727" s="1496"/>
      <c r="FQ727" s="1496"/>
      <c r="FR727" s="1496"/>
      <c r="FS727" s="1497"/>
      <c r="FT727" s="1495" t="str">
        <f t="shared" si="33"/>
        <v/>
      </c>
      <c r="FU727" s="1496"/>
      <c r="FV727" s="1496"/>
      <c r="FW727" s="1496"/>
      <c r="FX727" s="1497"/>
      <c r="FY727" s="1495" t="str">
        <f t="shared" si="34"/>
        <v/>
      </c>
      <c r="FZ727" s="1496"/>
      <c r="GA727" s="1496"/>
      <c r="GB727" s="1496"/>
      <c r="GC727" s="1497"/>
    </row>
    <row r="728" spans="1:185" ht="12.95" customHeight="1">
      <c r="A728" s="4"/>
      <c r="B728" s="1355"/>
      <c r="C728" s="1356"/>
      <c r="D728" s="1356"/>
      <c r="E728" s="1356"/>
      <c r="F728" s="1357"/>
      <c r="G728" s="1349"/>
      <c r="H728" s="1350"/>
      <c r="I728" s="1350"/>
      <c r="J728" s="1351"/>
      <c r="K728" s="1352"/>
      <c r="L728" s="1353"/>
      <c r="M728" s="1353"/>
      <c r="N728" s="1354"/>
      <c r="O728" s="1370"/>
      <c r="P728" s="1371"/>
      <c r="Q728" s="1371"/>
      <c r="R728" s="1371"/>
      <c r="S728" s="1372"/>
      <c r="T728" s="1370"/>
      <c r="U728" s="1371"/>
      <c r="V728" s="1371"/>
      <c r="W728" s="1372"/>
      <c r="X728" s="1607">
        <f t="shared" si="8"/>
        <v>0</v>
      </c>
      <c r="Y728" s="1422"/>
      <c r="Z728" s="1422"/>
      <c r="AA728" s="1422"/>
      <c r="AB728" s="1608"/>
      <c r="AC728" s="1473"/>
      <c r="AD728" s="1474"/>
      <c r="AE728" s="1474"/>
      <c r="AF728" s="1474"/>
      <c r="AG728" s="1475"/>
      <c r="AH728" s="1470" t="str">
        <f t="shared" si="35"/>
        <v/>
      </c>
      <c r="AI728" s="1471"/>
      <c r="AJ728" s="1472"/>
      <c r="AK728" s="1355" t="s">
        <v>591</v>
      </c>
      <c r="AL728" s="1356"/>
      <c r="AM728" s="1356"/>
      <c r="AN728" s="1356"/>
      <c r="AO728" s="1357"/>
      <c r="AP728" s="3"/>
      <c r="AQ728" s="3"/>
      <c r="AR728" s="3"/>
      <c r="AS728" s="3"/>
      <c r="AY728" s="1087"/>
      <c r="AZ728" s="118" t="str">
        <f>IF($G728=0,"N/A",VLOOKUP($T$189,TC_Rent,(MATCH($B728,bedrooms,FALSE)),FALSE))</f>
        <v>N/A</v>
      </c>
      <c r="BA728" s="3"/>
      <c r="BB728" s="3"/>
      <c r="BC728" s="3"/>
      <c r="BD728" s="3"/>
      <c r="BE728" s="205"/>
      <c r="BF728" s="295">
        <f t="shared" si="9"/>
        <v>0</v>
      </c>
      <c r="BG728" s="298">
        <f t="shared" si="10"/>
        <v>0</v>
      </c>
      <c r="BH728" s="299" t="str">
        <f t="shared" si="11"/>
        <v/>
      </c>
      <c r="BI728" s="3"/>
      <c r="BJ728" s="3"/>
      <c r="BK728" s="3"/>
      <c r="BL728" s="3"/>
      <c r="BM728" s="3"/>
      <c r="BN728" s="3"/>
      <c r="BS728" s="295">
        <f t="shared" si="12"/>
        <v>0</v>
      </c>
      <c r="BT728" s="298">
        <f t="shared" si="13"/>
        <v>0</v>
      </c>
      <c r="BU728" s="299" t="str">
        <f t="shared" si="14"/>
        <v/>
      </c>
      <c r="BV728" s="3"/>
      <c r="BW728" s="3"/>
      <c r="BX728" s="3"/>
      <c r="BY728" s="3"/>
      <c r="BZ728" s="3"/>
      <c r="CA728" s="3"/>
      <c r="CB728" s="3"/>
      <c r="CC728" s="3"/>
      <c r="CE728" s="3"/>
      <c r="CF728" s="3"/>
      <c r="CG728" s="1495">
        <f t="shared" si="36"/>
        <v>0</v>
      </c>
      <c r="CH728" s="1497"/>
      <c r="CI728" s="1489">
        <f t="shared" si="37"/>
        <v>0</v>
      </c>
      <c r="CJ728" s="1491"/>
      <c r="CK728" s="1495">
        <f t="shared" si="15"/>
        <v>0</v>
      </c>
      <c r="CL728" s="1497"/>
      <c r="CM728" s="1489">
        <f t="shared" si="16"/>
        <v>0</v>
      </c>
      <c r="CN728" s="1491"/>
      <c r="CO728" s="3"/>
      <c r="CP728" s="1485">
        <f t="shared" si="17"/>
        <v>0</v>
      </c>
      <c r="CQ728" s="1486"/>
      <c r="CR728" s="1486"/>
      <c r="CS728" s="1486"/>
      <c r="CT728" s="1487"/>
      <c r="CU728" s="1463">
        <f t="shared" si="18"/>
        <v>0</v>
      </c>
      <c r="CV728" s="1463"/>
      <c r="CW728" s="1463"/>
      <c r="CX728" s="1463"/>
      <c r="CY728" s="1463"/>
      <c r="CZ728" s="1463">
        <f t="shared" si="19"/>
        <v>0</v>
      </c>
      <c r="DA728" s="1463"/>
      <c r="DB728" s="1463"/>
      <c r="DC728" s="1463"/>
      <c r="DD728" s="1463"/>
      <c r="DE728" s="1463">
        <f t="shared" si="20"/>
        <v>0</v>
      </c>
      <c r="DF728" s="1463"/>
      <c r="DG728" s="1463"/>
      <c r="DH728" s="1463"/>
      <c r="DI728" s="1463"/>
      <c r="DJ728" s="1463">
        <f t="shared" si="21"/>
        <v>0</v>
      </c>
      <c r="DK728" s="1463"/>
      <c r="DL728" s="1463"/>
      <c r="DM728" s="1463"/>
      <c r="DN728" s="1463"/>
      <c r="DO728" s="1463">
        <f t="shared" si="22"/>
        <v>0</v>
      </c>
      <c r="DP728" s="1463"/>
      <c r="DQ728" s="1463"/>
      <c r="DR728" s="1463"/>
      <c r="DS728" s="1463"/>
      <c r="DT728" s="6"/>
      <c r="DU728" s="1465">
        <f t="shared" si="23"/>
        <v>0</v>
      </c>
      <c r="DV728" s="1465"/>
      <c r="DW728" s="1465"/>
      <c r="DX728" s="1465"/>
      <c r="DY728" s="1465"/>
      <c r="DZ728" s="1465">
        <f t="shared" si="24"/>
        <v>0</v>
      </c>
      <c r="EA728" s="1465"/>
      <c r="EB728" s="1465"/>
      <c r="EC728" s="1465"/>
      <c r="ED728" s="1465"/>
      <c r="EE728" s="1465">
        <f t="shared" si="25"/>
        <v>0</v>
      </c>
      <c r="EF728" s="1465"/>
      <c r="EG728" s="1465"/>
      <c r="EH728" s="1465"/>
      <c r="EI728" s="1465"/>
      <c r="EJ728" s="1465">
        <f t="shared" si="26"/>
        <v>0</v>
      </c>
      <c r="EK728" s="1465"/>
      <c r="EL728" s="1465"/>
      <c r="EM728" s="1465"/>
      <c r="EN728" s="1465"/>
      <c r="EO728" s="1465">
        <f t="shared" si="27"/>
        <v>0</v>
      </c>
      <c r="EP728" s="1465"/>
      <c r="EQ728" s="1465"/>
      <c r="ER728" s="1465"/>
      <c r="ES728" s="1465"/>
      <c r="ET728" s="1465">
        <f t="shared" si="28"/>
        <v>0</v>
      </c>
      <c r="EU728" s="1465"/>
      <c r="EV728" s="1465"/>
      <c r="EW728" s="1465"/>
      <c r="EX728" s="1465"/>
      <c r="EY728" s="4"/>
      <c r="EZ728" s="1495" t="str">
        <f t="shared" si="29"/>
        <v/>
      </c>
      <c r="FA728" s="1496"/>
      <c r="FB728" s="1496"/>
      <c r="FC728" s="1496"/>
      <c r="FD728" s="1497"/>
      <c r="FE728" s="1495" t="str">
        <f t="shared" si="30"/>
        <v/>
      </c>
      <c r="FF728" s="1496"/>
      <c r="FG728" s="1496"/>
      <c r="FH728" s="1496"/>
      <c r="FI728" s="1497"/>
      <c r="FJ728" s="1495" t="str">
        <f t="shared" si="31"/>
        <v/>
      </c>
      <c r="FK728" s="1496"/>
      <c r="FL728" s="1496"/>
      <c r="FM728" s="1496"/>
      <c r="FN728" s="1497"/>
      <c r="FO728" s="1495" t="str">
        <f t="shared" si="32"/>
        <v/>
      </c>
      <c r="FP728" s="1496"/>
      <c r="FQ728" s="1496"/>
      <c r="FR728" s="1496"/>
      <c r="FS728" s="1497"/>
      <c r="FT728" s="1495" t="str">
        <f t="shared" si="33"/>
        <v/>
      </c>
      <c r="FU728" s="1496"/>
      <c r="FV728" s="1496"/>
      <c r="FW728" s="1496"/>
      <c r="FX728" s="1497"/>
      <c r="FY728" s="1495" t="str">
        <f t="shared" si="34"/>
        <v/>
      </c>
      <c r="FZ728" s="1496"/>
      <c r="GA728" s="1496"/>
      <c r="GB728" s="1496"/>
      <c r="GC728" s="1497"/>
    </row>
    <row r="729" spans="1:185" ht="12.95" customHeight="1">
      <c r="A729" s="4"/>
      <c r="B729" s="1355"/>
      <c r="C729" s="1356"/>
      <c r="D729" s="1356"/>
      <c r="E729" s="1356"/>
      <c r="F729" s="1357"/>
      <c r="G729" s="1349"/>
      <c r="H729" s="1350"/>
      <c r="I729" s="1350"/>
      <c r="J729" s="1351"/>
      <c r="K729" s="1352"/>
      <c r="L729" s="1353"/>
      <c r="M729" s="1353"/>
      <c r="N729" s="1354"/>
      <c r="O729" s="1370"/>
      <c r="P729" s="1371"/>
      <c r="Q729" s="1371"/>
      <c r="R729" s="1371"/>
      <c r="S729" s="1372"/>
      <c r="T729" s="1370"/>
      <c r="U729" s="1371"/>
      <c r="V729" s="1371"/>
      <c r="W729" s="1372"/>
      <c r="X729" s="1607">
        <f t="shared" si="8"/>
        <v>0</v>
      </c>
      <c r="Y729" s="1422"/>
      <c r="Z729" s="1422"/>
      <c r="AA729" s="1422"/>
      <c r="AB729" s="1608"/>
      <c r="AC729" s="1473"/>
      <c r="AD729" s="1474"/>
      <c r="AE729" s="1474"/>
      <c r="AF729" s="1474"/>
      <c r="AG729" s="1475"/>
      <c r="AH729" s="1470" t="str">
        <f t="shared" si="35"/>
        <v/>
      </c>
      <c r="AI729" s="1471"/>
      <c r="AJ729" s="1472"/>
      <c r="AK729" s="1355" t="s">
        <v>591</v>
      </c>
      <c r="AL729" s="1356"/>
      <c r="AM729" s="1356"/>
      <c r="AN729" s="1356"/>
      <c r="AO729" s="1357"/>
      <c r="AP729" s="3"/>
      <c r="AQ729" s="3"/>
      <c r="AR729" s="3"/>
      <c r="AS729" s="3"/>
      <c r="AY729" s="1087"/>
      <c r="AZ729" s="118" t="str">
        <f>IF($G729=0,"N/A",VLOOKUP($T$189,TC_Rent,(MATCH($B729,bedrooms,FALSE)),FALSE))</f>
        <v>N/A</v>
      </c>
      <c r="BA729" s="3"/>
      <c r="BB729" s="3"/>
      <c r="BC729" s="3"/>
      <c r="BD729" s="3"/>
      <c r="BE729" s="205"/>
      <c r="BF729" s="295">
        <f t="shared" si="9"/>
        <v>0</v>
      </c>
      <c r="BG729" s="298">
        <f t="shared" si="10"/>
        <v>0</v>
      </c>
      <c r="BH729" s="299" t="str">
        <f t="shared" si="11"/>
        <v/>
      </c>
      <c r="BI729" s="3"/>
      <c r="BJ729" s="3"/>
      <c r="BK729" s="3"/>
      <c r="BL729" s="3"/>
      <c r="BM729" s="3"/>
      <c r="BN729" s="3"/>
      <c r="BS729" s="295">
        <f t="shared" si="12"/>
        <v>0</v>
      </c>
      <c r="BT729" s="298">
        <f t="shared" si="13"/>
        <v>0</v>
      </c>
      <c r="BU729" s="299" t="str">
        <f t="shared" si="14"/>
        <v/>
      </c>
      <c r="BV729" s="3"/>
      <c r="BW729" s="3"/>
      <c r="BX729" s="3"/>
      <c r="BY729" s="3"/>
      <c r="BZ729" s="3"/>
      <c r="CA729" s="3"/>
      <c r="CB729" s="3"/>
      <c r="CC729" s="3"/>
      <c r="CE729" s="3"/>
      <c r="CF729" s="3"/>
      <c r="CG729" s="1495">
        <f t="shared" si="36"/>
        <v>0</v>
      </c>
      <c r="CH729" s="1497"/>
      <c r="CI729" s="1489">
        <f t="shared" si="37"/>
        <v>0</v>
      </c>
      <c r="CJ729" s="1491"/>
      <c r="CK729" s="1495">
        <f t="shared" si="15"/>
        <v>0</v>
      </c>
      <c r="CL729" s="1497"/>
      <c r="CM729" s="1489">
        <f t="shared" si="16"/>
        <v>0</v>
      </c>
      <c r="CN729" s="1491"/>
      <c r="CO729" s="3"/>
      <c r="CP729" s="1485">
        <f t="shared" si="17"/>
        <v>0</v>
      </c>
      <c r="CQ729" s="1486"/>
      <c r="CR729" s="1486"/>
      <c r="CS729" s="1486"/>
      <c r="CT729" s="1487"/>
      <c r="CU729" s="1463">
        <f t="shared" si="18"/>
        <v>0</v>
      </c>
      <c r="CV729" s="1463"/>
      <c r="CW729" s="1463"/>
      <c r="CX729" s="1463"/>
      <c r="CY729" s="1463"/>
      <c r="CZ729" s="1463">
        <f t="shared" si="19"/>
        <v>0</v>
      </c>
      <c r="DA729" s="1463"/>
      <c r="DB729" s="1463"/>
      <c r="DC729" s="1463"/>
      <c r="DD729" s="1463"/>
      <c r="DE729" s="1463">
        <f t="shared" si="20"/>
        <v>0</v>
      </c>
      <c r="DF729" s="1463"/>
      <c r="DG729" s="1463"/>
      <c r="DH729" s="1463"/>
      <c r="DI729" s="1463"/>
      <c r="DJ729" s="1463">
        <f t="shared" si="21"/>
        <v>0</v>
      </c>
      <c r="DK729" s="1463"/>
      <c r="DL729" s="1463"/>
      <c r="DM729" s="1463"/>
      <c r="DN729" s="1463"/>
      <c r="DO729" s="1463">
        <f t="shared" si="22"/>
        <v>0</v>
      </c>
      <c r="DP729" s="1463"/>
      <c r="DQ729" s="1463"/>
      <c r="DR729" s="1463"/>
      <c r="DS729" s="1463"/>
      <c r="DT729" s="6"/>
      <c r="DU729" s="1465">
        <f t="shared" si="23"/>
        <v>0</v>
      </c>
      <c r="DV729" s="1465"/>
      <c r="DW729" s="1465"/>
      <c r="DX729" s="1465"/>
      <c r="DY729" s="1465"/>
      <c r="DZ729" s="1465">
        <f t="shared" si="24"/>
        <v>0</v>
      </c>
      <c r="EA729" s="1465"/>
      <c r="EB729" s="1465"/>
      <c r="EC729" s="1465"/>
      <c r="ED729" s="1465"/>
      <c r="EE729" s="1465">
        <f t="shared" si="25"/>
        <v>0</v>
      </c>
      <c r="EF729" s="1465"/>
      <c r="EG729" s="1465"/>
      <c r="EH729" s="1465"/>
      <c r="EI729" s="1465"/>
      <c r="EJ729" s="1465">
        <f t="shared" si="26"/>
        <v>0</v>
      </c>
      <c r="EK729" s="1465"/>
      <c r="EL729" s="1465"/>
      <c r="EM729" s="1465"/>
      <c r="EN729" s="1465"/>
      <c r="EO729" s="1465">
        <f t="shared" si="27"/>
        <v>0</v>
      </c>
      <c r="EP729" s="1465"/>
      <c r="EQ729" s="1465"/>
      <c r="ER729" s="1465"/>
      <c r="ES729" s="1465"/>
      <c r="ET729" s="1465">
        <f t="shared" si="28"/>
        <v>0</v>
      </c>
      <c r="EU729" s="1465"/>
      <c r="EV729" s="1465"/>
      <c r="EW729" s="1465"/>
      <c r="EX729" s="1465"/>
      <c r="EZ729" s="1495" t="str">
        <f t="shared" si="29"/>
        <v/>
      </c>
      <c r="FA729" s="1496"/>
      <c r="FB729" s="1496"/>
      <c r="FC729" s="1496"/>
      <c r="FD729" s="1497"/>
      <c r="FE729" s="1495" t="str">
        <f t="shared" si="30"/>
        <v/>
      </c>
      <c r="FF729" s="1496"/>
      <c r="FG729" s="1496"/>
      <c r="FH729" s="1496"/>
      <c r="FI729" s="1497"/>
      <c r="FJ729" s="1495" t="str">
        <f t="shared" si="31"/>
        <v/>
      </c>
      <c r="FK729" s="1496"/>
      <c r="FL729" s="1496"/>
      <c r="FM729" s="1496"/>
      <c r="FN729" s="1497"/>
      <c r="FO729" s="1495" t="str">
        <f t="shared" si="32"/>
        <v/>
      </c>
      <c r="FP729" s="1496"/>
      <c r="FQ729" s="1496"/>
      <c r="FR729" s="1496"/>
      <c r="FS729" s="1497"/>
      <c r="FT729" s="1495" t="str">
        <f t="shared" si="33"/>
        <v/>
      </c>
      <c r="FU729" s="1496"/>
      <c r="FV729" s="1496"/>
      <c r="FW729" s="1496"/>
      <c r="FX729" s="1497"/>
      <c r="FY729" s="1495" t="str">
        <f t="shared" si="34"/>
        <v/>
      </c>
      <c r="FZ729" s="1496"/>
      <c r="GA729" s="1496"/>
      <c r="GB729" s="1496"/>
      <c r="GC729" s="1497"/>
    </row>
    <row r="730" spans="1:185" ht="12.95" customHeight="1">
      <c r="B730" s="1355"/>
      <c r="C730" s="1356"/>
      <c r="D730" s="1356"/>
      <c r="E730" s="1356"/>
      <c r="F730" s="1357"/>
      <c r="G730" s="1349"/>
      <c r="H730" s="1350"/>
      <c r="I730" s="1350"/>
      <c r="J730" s="1351"/>
      <c r="K730" s="1352"/>
      <c r="L730" s="1353"/>
      <c r="M730" s="1353"/>
      <c r="N730" s="1354"/>
      <c r="O730" s="1370"/>
      <c r="P730" s="1371"/>
      <c r="Q730" s="1371"/>
      <c r="R730" s="1371"/>
      <c r="S730" s="1372"/>
      <c r="T730" s="1370"/>
      <c r="U730" s="1371"/>
      <c r="V730" s="1371"/>
      <c r="W730" s="1372"/>
      <c r="X730" s="1607">
        <f t="shared" si="8"/>
        <v>0</v>
      </c>
      <c r="Y730" s="1422"/>
      <c r="Z730" s="1422"/>
      <c r="AA730" s="1422"/>
      <c r="AB730" s="1608"/>
      <c r="AC730" s="1473"/>
      <c r="AD730" s="1474"/>
      <c r="AE730" s="1474"/>
      <c r="AF730" s="1474"/>
      <c r="AG730" s="1475"/>
      <c r="AH730" s="1470" t="str">
        <f t="shared" si="35"/>
        <v/>
      </c>
      <c r="AI730" s="1471"/>
      <c r="AJ730" s="1472"/>
      <c r="AK730" s="1355" t="s">
        <v>591</v>
      </c>
      <c r="AL730" s="1356"/>
      <c r="AM730" s="1356"/>
      <c r="AN730" s="1356"/>
      <c r="AO730" s="1357"/>
      <c r="AP730" s="3"/>
      <c r="AQ730" s="3"/>
      <c r="AR730" s="3"/>
      <c r="AS730" s="3"/>
      <c r="AY730" s="1087"/>
      <c r="AZ730" s="118" t="str">
        <f>IF($G730=0,"N/A",VLOOKUP($T$189,TC_Rent,(MATCH($B730,bedrooms,FALSE)),FALSE))</f>
        <v>N/A</v>
      </c>
      <c r="BA730" s="3"/>
      <c r="BB730" s="3"/>
      <c r="BC730" s="3"/>
      <c r="BD730" s="3"/>
      <c r="BE730" s="205"/>
      <c r="BF730" s="295">
        <f t="shared" si="9"/>
        <v>0</v>
      </c>
      <c r="BG730" s="298">
        <f t="shared" si="10"/>
        <v>0</v>
      </c>
      <c r="BH730" s="299" t="str">
        <f t="shared" si="11"/>
        <v/>
      </c>
      <c r="BI730" s="3"/>
      <c r="BJ730" s="3"/>
      <c r="BK730" s="3"/>
      <c r="BL730" s="3"/>
      <c r="BM730" s="3"/>
      <c r="BN730" s="3"/>
      <c r="BS730" s="295">
        <f t="shared" si="12"/>
        <v>0</v>
      </c>
      <c r="BT730" s="298">
        <f t="shared" si="13"/>
        <v>0</v>
      </c>
      <c r="BU730" s="299" t="str">
        <f t="shared" si="14"/>
        <v/>
      </c>
      <c r="BV730" s="3"/>
      <c r="BW730" s="3"/>
      <c r="BX730" s="3"/>
      <c r="BY730" s="3"/>
      <c r="BZ730" s="3"/>
      <c r="CA730" s="3"/>
      <c r="CB730" s="3"/>
      <c r="CC730" s="3"/>
      <c r="CE730" s="3"/>
      <c r="CF730" s="3"/>
      <c r="CG730" s="1495">
        <f t="shared" si="36"/>
        <v>0</v>
      </c>
      <c r="CH730" s="1497"/>
      <c r="CI730" s="1489">
        <f t="shared" si="37"/>
        <v>0</v>
      </c>
      <c r="CJ730" s="1491"/>
      <c r="CK730" s="1495">
        <f t="shared" si="15"/>
        <v>0</v>
      </c>
      <c r="CL730" s="1497"/>
      <c r="CM730" s="1489">
        <f t="shared" si="16"/>
        <v>0</v>
      </c>
      <c r="CN730" s="1491"/>
      <c r="CO730" s="3"/>
      <c r="CP730" s="1485">
        <f t="shared" si="17"/>
        <v>0</v>
      </c>
      <c r="CQ730" s="1486"/>
      <c r="CR730" s="1486"/>
      <c r="CS730" s="1486"/>
      <c r="CT730" s="1487"/>
      <c r="CU730" s="1463">
        <f t="shared" si="18"/>
        <v>0</v>
      </c>
      <c r="CV730" s="1463"/>
      <c r="CW730" s="1463"/>
      <c r="CX730" s="1463"/>
      <c r="CY730" s="1463"/>
      <c r="CZ730" s="1463">
        <f t="shared" si="19"/>
        <v>0</v>
      </c>
      <c r="DA730" s="1463"/>
      <c r="DB730" s="1463"/>
      <c r="DC730" s="1463"/>
      <c r="DD730" s="1463"/>
      <c r="DE730" s="1463">
        <f t="shared" si="20"/>
        <v>0</v>
      </c>
      <c r="DF730" s="1463"/>
      <c r="DG730" s="1463"/>
      <c r="DH730" s="1463"/>
      <c r="DI730" s="1463"/>
      <c r="DJ730" s="1463">
        <f t="shared" si="21"/>
        <v>0</v>
      </c>
      <c r="DK730" s="1463"/>
      <c r="DL730" s="1463"/>
      <c r="DM730" s="1463"/>
      <c r="DN730" s="1463"/>
      <c r="DO730" s="1463">
        <f t="shared" si="22"/>
        <v>0</v>
      </c>
      <c r="DP730" s="1463"/>
      <c r="DQ730" s="1463"/>
      <c r="DR730" s="1463"/>
      <c r="DS730" s="1463"/>
      <c r="DT730" s="6"/>
      <c r="DU730" s="1465">
        <f t="shared" si="23"/>
        <v>0</v>
      </c>
      <c r="DV730" s="1465"/>
      <c r="DW730" s="1465"/>
      <c r="DX730" s="1465"/>
      <c r="DY730" s="1465"/>
      <c r="DZ730" s="1465">
        <f t="shared" si="24"/>
        <v>0</v>
      </c>
      <c r="EA730" s="1465"/>
      <c r="EB730" s="1465"/>
      <c r="EC730" s="1465"/>
      <c r="ED730" s="1465"/>
      <c r="EE730" s="1465">
        <f t="shared" si="25"/>
        <v>0</v>
      </c>
      <c r="EF730" s="1465"/>
      <c r="EG730" s="1465"/>
      <c r="EH730" s="1465"/>
      <c r="EI730" s="1465"/>
      <c r="EJ730" s="1465">
        <f t="shared" si="26"/>
        <v>0</v>
      </c>
      <c r="EK730" s="1465"/>
      <c r="EL730" s="1465"/>
      <c r="EM730" s="1465"/>
      <c r="EN730" s="1465"/>
      <c r="EO730" s="1465">
        <f t="shared" si="27"/>
        <v>0</v>
      </c>
      <c r="EP730" s="1465"/>
      <c r="EQ730" s="1465"/>
      <c r="ER730" s="1465"/>
      <c r="ES730" s="1465"/>
      <c r="ET730" s="1465">
        <f t="shared" si="28"/>
        <v>0</v>
      </c>
      <c r="EU730" s="1465"/>
      <c r="EV730" s="1465"/>
      <c r="EW730" s="1465"/>
      <c r="EX730" s="1465"/>
      <c r="EZ730" s="1495" t="str">
        <f t="shared" si="29"/>
        <v/>
      </c>
      <c r="FA730" s="1496"/>
      <c r="FB730" s="1496"/>
      <c r="FC730" s="1496"/>
      <c r="FD730" s="1497"/>
      <c r="FE730" s="1495" t="str">
        <f t="shared" si="30"/>
        <v/>
      </c>
      <c r="FF730" s="1496"/>
      <c r="FG730" s="1496"/>
      <c r="FH730" s="1496"/>
      <c r="FI730" s="1497"/>
      <c r="FJ730" s="1495" t="str">
        <f t="shared" si="31"/>
        <v/>
      </c>
      <c r="FK730" s="1496"/>
      <c r="FL730" s="1496"/>
      <c r="FM730" s="1496"/>
      <c r="FN730" s="1497"/>
      <c r="FO730" s="1495" t="str">
        <f t="shared" si="32"/>
        <v/>
      </c>
      <c r="FP730" s="1496"/>
      <c r="FQ730" s="1496"/>
      <c r="FR730" s="1496"/>
      <c r="FS730" s="1497"/>
      <c r="FT730" s="1495" t="str">
        <f t="shared" si="33"/>
        <v/>
      </c>
      <c r="FU730" s="1496"/>
      <c r="FV730" s="1496"/>
      <c r="FW730" s="1496"/>
      <c r="FX730" s="1497"/>
      <c r="FY730" s="1495" t="str">
        <f t="shared" si="34"/>
        <v/>
      </c>
      <c r="FZ730" s="1496"/>
      <c r="GA730" s="1496"/>
      <c r="GB730" s="1496"/>
      <c r="GC730" s="1497"/>
    </row>
    <row r="731" spans="1:185" ht="12.95" customHeight="1">
      <c r="B731" s="1355"/>
      <c r="C731" s="1356"/>
      <c r="D731" s="1356"/>
      <c r="E731" s="1356"/>
      <c r="F731" s="1357"/>
      <c r="G731" s="1349"/>
      <c r="H731" s="1350"/>
      <c r="I731" s="1350"/>
      <c r="J731" s="1351"/>
      <c r="K731" s="1352"/>
      <c r="L731" s="1353"/>
      <c r="M731" s="1353"/>
      <c r="N731" s="1354"/>
      <c r="O731" s="1370"/>
      <c r="P731" s="1371"/>
      <c r="Q731" s="1371"/>
      <c r="R731" s="1371"/>
      <c r="S731" s="1372"/>
      <c r="T731" s="1370"/>
      <c r="U731" s="1371"/>
      <c r="V731" s="1371"/>
      <c r="W731" s="1372"/>
      <c r="X731" s="1607">
        <f t="shared" si="8"/>
        <v>0</v>
      </c>
      <c r="Y731" s="1422"/>
      <c r="Z731" s="1422"/>
      <c r="AA731" s="1422"/>
      <c r="AB731" s="1608"/>
      <c r="AC731" s="1473"/>
      <c r="AD731" s="1474"/>
      <c r="AE731" s="1474"/>
      <c r="AF731" s="1474"/>
      <c r="AG731" s="1475"/>
      <c r="AH731" s="1470" t="str">
        <f t="shared" si="35"/>
        <v/>
      </c>
      <c r="AI731" s="1471"/>
      <c r="AJ731" s="1472"/>
      <c r="AK731" s="1355" t="s">
        <v>591</v>
      </c>
      <c r="AL731" s="1356"/>
      <c r="AM731" s="1356"/>
      <c r="AN731" s="1356"/>
      <c r="AO731" s="1357"/>
      <c r="AP731" s="3"/>
      <c r="AQ731" s="3"/>
      <c r="AR731" s="3"/>
      <c r="AS731" s="3"/>
      <c r="AY731" s="1087"/>
      <c r="AZ731" s="118" t="str">
        <f>IF($G731=0,"N/A",VLOOKUP($T$189,TC_Rent,(MATCH($B731,bedrooms,FALSE)),FALSE))</f>
        <v>N/A</v>
      </c>
      <c r="BA731" s="3"/>
      <c r="BB731" s="3"/>
      <c r="BC731" s="3"/>
      <c r="BD731" s="3"/>
      <c r="BE731" s="205"/>
      <c r="BF731" s="295">
        <f t="shared" si="9"/>
        <v>0</v>
      </c>
      <c r="BG731" s="298">
        <f t="shared" si="10"/>
        <v>0</v>
      </c>
      <c r="BH731" s="299" t="str">
        <f t="shared" si="11"/>
        <v/>
      </c>
      <c r="BI731" s="3"/>
      <c r="BJ731" s="3"/>
      <c r="BK731" s="3"/>
      <c r="BL731" s="3"/>
      <c r="BM731" s="3"/>
      <c r="BN731" s="3"/>
      <c r="BS731" s="295">
        <f t="shared" si="12"/>
        <v>0</v>
      </c>
      <c r="BT731" s="298">
        <f t="shared" si="13"/>
        <v>0</v>
      </c>
      <c r="BU731" s="299" t="str">
        <f t="shared" si="14"/>
        <v/>
      </c>
      <c r="BV731" s="3"/>
      <c r="BW731" s="3"/>
      <c r="BX731" s="3"/>
      <c r="BY731" s="3"/>
      <c r="BZ731" s="3"/>
      <c r="CA731" s="3"/>
      <c r="CB731" s="3"/>
      <c r="CC731" s="3"/>
      <c r="CE731" s="3"/>
      <c r="CF731" s="3"/>
      <c r="CG731" s="1495">
        <f t="shared" si="36"/>
        <v>0</v>
      </c>
      <c r="CH731" s="1497"/>
      <c r="CI731" s="1489">
        <f t="shared" si="37"/>
        <v>0</v>
      </c>
      <c r="CJ731" s="1491"/>
      <c r="CK731" s="1495">
        <f t="shared" si="15"/>
        <v>0</v>
      </c>
      <c r="CL731" s="1497"/>
      <c r="CM731" s="1489">
        <f t="shared" si="16"/>
        <v>0</v>
      </c>
      <c r="CN731" s="1491"/>
      <c r="CO731" s="3"/>
      <c r="CP731" s="1485">
        <f t="shared" si="17"/>
        <v>0</v>
      </c>
      <c r="CQ731" s="1486"/>
      <c r="CR731" s="1486"/>
      <c r="CS731" s="1486"/>
      <c r="CT731" s="1487"/>
      <c r="CU731" s="1463">
        <f t="shared" si="18"/>
        <v>0</v>
      </c>
      <c r="CV731" s="1463"/>
      <c r="CW731" s="1463"/>
      <c r="CX731" s="1463"/>
      <c r="CY731" s="1463"/>
      <c r="CZ731" s="1463">
        <f t="shared" si="19"/>
        <v>0</v>
      </c>
      <c r="DA731" s="1463"/>
      <c r="DB731" s="1463"/>
      <c r="DC731" s="1463"/>
      <c r="DD731" s="1463"/>
      <c r="DE731" s="1463">
        <f t="shared" si="20"/>
        <v>0</v>
      </c>
      <c r="DF731" s="1463"/>
      <c r="DG731" s="1463"/>
      <c r="DH731" s="1463"/>
      <c r="DI731" s="1463"/>
      <c r="DJ731" s="1463">
        <f t="shared" si="21"/>
        <v>0</v>
      </c>
      <c r="DK731" s="1463"/>
      <c r="DL731" s="1463"/>
      <c r="DM731" s="1463"/>
      <c r="DN731" s="1463"/>
      <c r="DO731" s="1463">
        <f t="shared" si="22"/>
        <v>0</v>
      </c>
      <c r="DP731" s="1463"/>
      <c r="DQ731" s="1463"/>
      <c r="DR731" s="1463"/>
      <c r="DS731" s="1463"/>
      <c r="DT731" s="6"/>
      <c r="DU731" s="1465">
        <f t="shared" si="23"/>
        <v>0</v>
      </c>
      <c r="DV731" s="1465"/>
      <c r="DW731" s="1465"/>
      <c r="DX731" s="1465"/>
      <c r="DY731" s="1465"/>
      <c r="DZ731" s="1465">
        <f t="shared" si="24"/>
        <v>0</v>
      </c>
      <c r="EA731" s="1465"/>
      <c r="EB731" s="1465"/>
      <c r="EC731" s="1465"/>
      <c r="ED731" s="1465"/>
      <c r="EE731" s="1465">
        <f t="shared" si="25"/>
        <v>0</v>
      </c>
      <c r="EF731" s="1465"/>
      <c r="EG731" s="1465"/>
      <c r="EH731" s="1465"/>
      <c r="EI731" s="1465"/>
      <c r="EJ731" s="1465">
        <f t="shared" si="26"/>
        <v>0</v>
      </c>
      <c r="EK731" s="1465"/>
      <c r="EL731" s="1465"/>
      <c r="EM731" s="1465"/>
      <c r="EN731" s="1465"/>
      <c r="EO731" s="1465">
        <f t="shared" si="27"/>
        <v>0</v>
      </c>
      <c r="EP731" s="1465"/>
      <c r="EQ731" s="1465"/>
      <c r="ER731" s="1465"/>
      <c r="ES731" s="1465"/>
      <c r="ET731" s="1465">
        <f t="shared" si="28"/>
        <v>0</v>
      </c>
      <c r="EU731" s="1465"/>
      <c r="EV731" s="1465"/>
      <c r="EW731" s="1465"/>
      <c r="EX731" s="1465"/>
      <c r="EZ731" s="1495" t="str">
        <f t="shared" si="29"/>
        <v/>
      </c>
      <c r="FA731" s="1496"/>
      <c r="FB731" s="1496"/>
      <c r="FC731" s="1496"/>
      <c r="FD731" s="1497"/>
      <c r="FE731" s="1495" t="str">
        <f t="shared" si="30"/>
        <v/>
      </c>
      <c r="FF731" s="1496"/>
      <c r="FG731" s="1496"/>
      <c r="FH731" s="1496"/>
      <c r="FI731" s="1497"/>
      <c r="FJ731" s="1495" t="str">
        <f t="shared" si="31"/>
        <v/>
      </c>
      <c r="FK731" s="1496"/>
      <c r="FL731" s="1496"/>
      <c r="FM731" s="1496"/>
      <c r="FN731" s="1497"/>
      <c r="FO731" s="1495" t="str">
        <f t="shared" si="32"/>
        <v/>
      </c>
      <c r="FP731" s="1496"/>
      <c r="FQ731" s="1496"/>
      <c r="FR731" s="1496"/>
      <c r="FS731" s="1497"/>
      <c r="FT731" s="1495" t="str">
        <f t="shared" si="33"/>
        <v/>
      </c>
      <c r="FU731" s="1496"/>
      <c r="FV731" s="1496"/>
      <c r="FW731" s="1496"/>
      <c r="FX731" s="1497"/>
      <c r="FY731" s="1495" t="str">
        <f t="shared" si="34"/>
        <v/>
      </c>
      <c r="FZ731" s="1496"/>
      <c r="GA731" s="1496"/>
      <c r="GB731" s="1496"/>
      <c r="GC731" s="1497"/>
    </row>
    <row r="732" spans="1:185" ht="12.95" customHeight="1">
      <c r="B732" s="1355"/>
      <c r="C732" s="1356"/>
      <c r="D732" s="1356"/>
      <c r="E732" s="1356"/>
      <c r="F732" s="1357"/>
      <c r="G732" s="1349"/>
      <c r="H732" s="1350"/>
      <c r="I732" s="1350"/>
      <c r="J732" s="1351"/>
      <c r="K732" s="1352"/>
      <c r="L732" s="1353"/>
      <c r="M732" s="1353"/>
      <c r="N732" s="1354"/>
      <c r="O732" s="1370"/>
      <c r="P732" s="1371"/>
      <c r="Q732" s="1371"/>
      <c r="R732" s="1371"/>
      <c r="S732" s="1372"/>
      <c r="T732" s="1370"/>
      <c r="U732" s="1371"/>
      <c r="V732" s="1371"/>
      <c r="W732" s="1372"/>
      <c r="X732" s="1607">
        <f t="shared" si="8"/>
        <v>0</v>
      </c>
      <c r="Y732" s="1422"/>
      <c r="Z732" s="1422"/>
      <c r="AA732" s="1422"/>
      <c r="AB732" s="1608"/>
      <c r="AC732" s="1473"/>
      <c r="AD732" s="1474"/>
      <c r="AE732" s="1474"/>
      <c r="AF732" s="1474"/>
      <c r="AG732" s="1475"/>
      <c r="AH732" s="1470" t="str">
        <f t="shared" si="35"/>
        <v/>
      </c>
      <c r="AI732" s="1471"/>
      <c r="AJ732" s="1472"/>
      <c r="AK732" s="1355" t="s">
        <v>591</v>
      </c>
      <c r="AL732" s="1356"/>
      <c r="AM732" s="1356"/>
      <c r="AN732" s="1356"/>
      <c r="AO732" s="1357"/>
      <c r="AP732" s="3"/>
      <c r="AQ732" s="3"/>
      <c r="AR732" s="3"/>
      <c r="AS732" s="3"/>
      <c r="AY732" s="1087"/>
      <c r="AZ732" s="118" t="str">
        <f>IF($G732=0,"N/A",VLOOKUP($T$189,TC_Rent,(MATCH($B732,bedrooms,FALSE)),FALSE))</f>
        <v>N/A</v>
      </c>
      <c r="BA732" s="3"/>
      <c r="BB732" s="3"/>
      <c r="BC732" s="3"/>
      <c r="BD732" s="3"/>
      <c r="BE732" s="205"/>
      <c r="BF732" s="295">
        <f t="shared" si="9"/>
        <v>0</v>
      </c>
      <c r="BG732" s="298">
        <f t="shared" si="10"/>
        <v>0</v>
      </c>
      <c r="BH732" s="299" t="str">
        <f t="shared" si="11"/>
        <v/>
      </c>
      <c r="BI732" s="3"/>
      <c r="BJ732" s="3"/>
      <c r="BK732" s="3"/>
      <c r="BL732" s="3"/>
      <c r="BM732" s="3"/>
      <c r="BN732" s="3"/>
      <c r="BS732" s="295">
        <f t="shared" si="12"/>
        <v>0</v>
      </c>
      <c r="BT732" s="298">
        <f t="shared" si="13"/>
        <v>0</v>
      </c>
      <c r="BU732" s="299" t="str">
        <f t="shared" si="14"/>
        <v/>
      </c>
      <c r="BV732" s="3"/>
      <c r="BW732" s="3"/>
      <c r="BX732" s="3"/>
      <c r="BY732" s="3"/>
      <c r="BZ732" s="3"/>
      <c r="CA732" s="3"/>
      <c r="CB732" s="3"/>
      <c r="CC732" s="3"/>
      <c r="CE732" s="3"/>
      <c r="CF732" s="3"/>
      <c r="CG732" s="1495">
        <f t="shared" si="36"/>
        <v>0</v>
      </c>
      <c r="CH732" s="1497"/>
      <c r="CI732" s="1489">
        <f t="shared" si="37"/>
        <v>0</v>
      </c>
      <c r="CJ732" s="1491"/>
      <c r="CK732" s="1495">
        <f t="shared" si="15"/>
        <v>0</v>
      </c>
      <c r="CL732" s="1497"/>
      <c r="CM732" s="1489">
        <f t="shared" si="16"/>
        <v>0</v>
      </c>
      <c r="CN732" s="1491"/>
      <c r="CO732" s="3"/>
      <c r="CP732" s="1485">
        <f t="shared" si="17"/>
        <v>0</v>
      </c>
      <c r="CQ732" s="1486"/>
      <c r="CR732" s="1486"/>
      <c r="CS732" s="1486"/>
      <c r="CT732" s="1487"/>
      <c r="CU732" s="1463">
        <f t="shared" si="18"/>
        <v>0</v>
      </c>
      <c r="CV732" s="1463"/>
      <c r="CW732" s="1463"/>
      <c r="CX732" s="1463"/>
      <c r="CY732" s="1463"/>
      <c r="CZ732" s="1463">
        <f t="shared" si="19"/>
        <v>0</v>
      </c>
      <c r="DA732" s="1463"/>
      <c r="DB732" s="1463"/>
      <c r="DC732" s="1463"/>
      <c r="DD732" s="1463"/>
      <c r="DE732" s="1463">
        <f t="shared" si="20"/>
        <v>0</v>
      </c>
      <c r="DF732" s="1463"/>
      <c r="DG732" s="1463"/>
      <c r="DH732" s="1463"/>
      <c r="DI732" s="1463"/>
      <c r="DJ732" s="1463">
        <f t="shared" si="21"/>
        <v>0</v>
      </c>
      <c r="DK732" s="1463"/>
      <c r="DL732" s="1463"/>
      <c r="DM732" s="1463"/>
      <c r="DN732" s="1463"/>
      <c r="DO732" s="1463">
        <f t="shared" si="22"/>
        <v>0</v>
      </c>
      <c r="DP732" s="1463"/>
      <c r="DQ732" s="1463"/>
      <c r="DR732" s="1463"/>
      <c r="DS732" s="1463"/>
      <c r="DT732" s="6"/>
      <c r="DU732" s="1465">
        <f t="shared" si="23"/>
        <v>0</v>
      </c>
      <c r="DV732" s="1465"/>
      <c r="DW732" s="1465"/>
      <c r="DX732" s="1465"/>
      <c r="DY732" s="1465"/>
      <c r="DZ732" s="1465">
        <f t="shared" si="24"/>
        <v>0</v>
      </c>
      <c r="EA732" s="1465"/>
      <c r="EB732" s="1465"/>
      <c r="EC732" s="1465"/>
      <c r="ED732" s="1465"/>
      <c r="EE732" s="1465">
        <f t="shared" si="25"/>
        <v>0</v>
      </c>
      <c r="EF732" s="1465"/>
      <c r="EG732" s="1465"/>
      <c r="EH732" s="1465"/>
      <c r="EI732" s="1465"/>
      <c r="EJ732" s="1465">
        <f t="shared" si="26"/>
        <v>0</v>
      </c>
      <c r="EK732" s="1465"/>
      <c r="EL732" s="1465"/>
      <c r="EM732" s="1465"/>
      <c r="EN732" s="1465"/>
      <c r="EO732" s="1465">
        <f t="shared" si="27"/>
        <v>0</v>
      </c>
      <c r="EP732" s="1465"/>
      <c r="EQ732" s="1465"/>
      <c r="ER732" s="1465"/>
      <c r="ES732" s="1465"/>
      <c r="ET732" s="1465">
        <f t="shared" si="28"/>
        <v>0</v>
      </c>
      <c r="EU732" s="1465"/>
      <c r="EV732" s="1465"/>
      <c r="EW732" s="1465"/>
      <c r="EX732" s="1465"/>
      <c r="EZ732" s="1495" t="str">
        <f t="shared" si="29"/>
        <v/>
      </c>
      <c r="FA732" s="1496"/>
      <c r="FB732" s="1496"/>
      <c r="FC732" s="1496"/>
      <c r="FD732" s="1497"/>
      <c r="FE732" s="1495" t="str">
        <f t="shared" si="30"/>
        <v/>
      </c>
      <c r="FF732" s="1496"/>
      <c r="FG732" s="1496"/>
      <c r="FH732" s="1496"/>
      <c r="FI732" s="1497"/>
      <c r="FJ732" s="1495" t="str">
        <f t="shared" si="31"/>
        <v/>
      </c>
      <c r="FK732" s="1496"/>
      <c r="FL732" s="1496"/>
      <c r="FM732" s="1496"/>
      <c r="FN732" s="1497"/>
      <c r="FO732" s="1495" t="str">
        <f t="shared" si="32"/>
        <v/>
      </c>
      <c r="FP732" s="1496"/>
      <c r="FQ732" s="1496"/>
      <c r="FR732" s="1496"/>
      <c r="FS732" s="1497"/>
      <c r="FT732" s="1495" t="str">
        <f t="shared" si="33"/>
        <v/>
      </c>
      <c r="FU732" s="1496"/>
      <c r="FV732" s="1496"/>
      <c r="FW732" s="1496"/>
      <c r="FX732" s="1497"/>
      <c r="FY732" s="1495" t="str">
        <f t="shared" si="34"/>
        <v/>
      </c>
      <c r="FZ732" s="1496"/>
      <c r="GA732" s="1496"/>
      <c r="GB732" s="1496"/>
      <c r="GC732" s="1497"/>
    </row>
    <row r="733" spans="1:185" ht="12.95" customHeight="1">
      <c r="B733" s="1355"/>
      <c r="C733" s="1356"/>
      <c r="D733" s="1356"/>
      <c r="E733" s="1356"/>
      <c r="F733" s="1357"/>
      <c r="G733" s="1349"/>
      <c r="H733" s="1350"/>
      <c r="I733" s="1350"/>
      <c r="J733" s="1351"/>
      <c r="K733" s="1352"/>
      <c r="L733" s="1353"/>
      <c r="M733" s="1353"/>
      <c r="N733" s="1354"/>
      <c r="O733" s="1370"/>
      <c r="P733" s="1371"/>
      <c r="Q733" s="1371"/>
      <c r="R733" s="1371"/>
      <c r="S733" s="1372"/>
      <c r="T733" s="1370"/>
      <c r="U733" s="1371"/>
      <c r="V733" s="1371"/>
      <c r="W733" s="1372"/>
      <c r="X733" s="1607">
        <f t="shared" si="8"/>
        <v>0</v>
      </c>
      <c r="Y733" s="1422"/>
      <c r="Z733" s="1422"/>
      <c r="AA733" s="1422"/>
      <c r="AB733" s="1608"/>
      <c r="AC733" s="1473"/>
      <c r="AD733" s="1474"/>
      <c r="AE733" s="1474"/>
      <c r="AF733" s="1474"/>
      <c r="AG733" s="1475"/>
      <c r="AH733" s="1470" t="str">
        <f t="shared" si="35"/>
        <v/>
      </c>
      <c r="AI733" s="1471"/>
      <c r="AJ733" s="1472"/>
      <c r="AK733" s="1355" t="s">
        <v>591</v>
      </c>
      <c r="AL733" s="1356"/>
      <c r="AM733" s="1356"/>
      <c r="AN733" s="1356"/>
      <c r="AO733" s="1357"/>
      <c r="AP733" s="3"/>
      <c r="AQ733" s="3"/>
      <c r="AR733" s="3"/>
      <c r="AS733" s="3"/>
      <c r="AY733" s="1087"/>
      <c r="AZ733" s="118" t="str">
        <f>IF($G733=0,"N/A",VLOOKUP($T$189,TC_Rent,(MATCH($B733,bedrooms,FALSE)),FALSE))</f>
        <v>N/A</v>
      </c>
      <c r="BA733" s="3"/>
      <c r="BB733" s="3"/>
      <c r="BC733" s="3"/>
      <c r="BD733" s="3"/>
      <c r="BE733" s="205"/>
      <c r="BF733" s="295">
        <f t="shared" si="9"/>
        <v>0</v>
      </c>
      <c r="BG733" s="298">
        <f t="shared" si="10"/>
        <v>0</v>
      </c>
      <c r="BH733" s="299" t="str">
        <f t="shared" si="11"/>
        <v/>
      </c>
      <c r="BI733" s="3"/>
      <c r="BJ733" s="3"/>
      <c r="BK733" s="3"/>
      <c r="BL733" s="3"/>
      <c r="BM733" s="3"/>
      <c r="BN733" s="3"/>
      <c r="BS733" s="295">
        <f t="shared" si="12"/>
        <v>0</v>
      </c>
      <c r="BT733" s="298">
        <f t="shared" si="13"/>
        <v>0</v>
      </c>
      <c r="BU733" s="299" t="str">
        <f t="shared" si="14"/>
        <v/>
      </c>
      <c r="BV733" s="3"/>
      <c r="BW733" s="3"/>
      <c r="BX733" s="3"/>
      <c r="BY733" s="3"/>
      <c r="BZ733" s="3"/>
      <c r="CA733" s="3"/>
      <c r="CB733" s="3"/>
      <c r="CC733" s="3"/>
      <c r="CE733" s="3"/>
      <c r="CF733" s="3"/>
      <c r="CG733" s="1495">
        <f t="shared" si="36"/>
        <v>0</v>
      </c>
      <c r="CH733" s="1497"/>
      <c r="CI733" s="1489">
        <f t="shared" si="37"/>
        <v>0</v>
      </c>
      <c r="CJ733" s="1491"/>
      <c r="CK733" s="1495">
        <f t="shared" si="15"/>
        <v>0</v>
      </c>
      <c r="CL733" s="1497"/>
      <c r="CM733" s="1489">
        <f t="shared" si="16"/>
        <v>0</v>
      </c>
      <c r="CN733" s="1491"/>
      <c r="CO733" s="3"/>
      <c r="CP733" s="1485">
        <f t="shared" si="17"/>
        <v>0</v>
      </c>
      <c r="CQ733" s="1486"/>
      <c r="CR733" s="1486"/>
      <c r="CS733" s="1486"/>
      <c r="CT733" s="1487"/>
      <c r="CU733" s="1463">
        <f t="shared" si="18"/>
        <v>0</v>
      </c>
      <c r="CV733" s="1463"/>
      <c r="CW733" s="1463"/>
      <c r="CX733" s="1463"/>
      <c r="CY733" s="1463"/>
      <c r="CZ733" s="1463">
        <f t="shared" si="19"/>
        <v>0</v>
      </c>
      <c r="DA733" s="1463"/>
      <c r="DB733" s="1463"/>
      <c r="DC733" s="1463"/>
      <c r="DD733" s="1463"/>
      <c r="DE733" s="1463">
        <f t="shared" si="20"/>
        <v>0</v>
      </c>
      <c r="DF733" s="1463"/>
      <c r="DG733" s="1463"/>
      <c r="DH733" s="1463"/>
      <c r="DI733" s="1463"/>
      <c r="DJ733" s="1463">
        <f t="shared" si="21"/>
        <v>0</v>
      </c>
      <c r="DK733" s="1463"/>
      <c r="DL733" s="1463"/>
      <c r="DM733" s="1463"/>
      <c r="DN733" s="1463"/>
      <c r="DO733" s="1463">
        <f t="shared" si="22"/>
        <v>0</v>
      </c>
      <c r="DP733" s="1463"/>
      <c r="DQ733" s="1463"/>
      <c r="DR733" s="1463"/>
      <c r="DS733" s="1463"/>
      <c r="DT733" s="6"/>
      <c r="DU733" s="1465">
        <f t="shared" si="23"/>
        <v>0</v>
      </c>
      <c r="DV733" s="1465"/>
      <c r="DW733" s="1465"/>
      <c r="DX733" s="1465"/>
      <c r="DY733" s="1465"/>
      <c r="DZ733" s="1465">
        <f t="shared" si="24"/>
        <v>0</v>
      </c>
      <c r="EA733" s="1465"/>
      <c r="EB733" s="1465"/>
      <c r="EC733" s="1465"/>
      <c r="ED733" s="1465"/>
      <c r="EE733" s="1465">
        <f t="shared" si="25"/>
        <v>0</v>
      </c>
      <c r="EF733" s="1465"/>
      <c r="EG733" s="1465"/>
      <c r="EH733" s="1465"/>
      <c r="EI733" s="1465"/>
      <c r="EJ733" s="1465">
        <f t="shared" si="26"/>
        <v>0</v>
      </c>
      <c r="EK733" s="1465"/>
      <c r="EL733" s="1465"/>
      <c r="EM733" s="1465"/>
      <c r="EN733" s="1465"/>
      <c r="EO733" s="1465">
        <f t="shared" si="27"/>
        <v>0</v>
      </c>
      <c r="EP733" s="1465"/>
      <c r="EQ733" s="1465"/>
      <c r="ER733" s="1465"/>
      <c r="ES733" s="1465"/>
      <c r="ET733" s="1465">
        <f t="shared" si="28"/>
        <v>0</v>
      </c>
      <c r="EU733" s="1465"/>
      <c r="EV733" s="1465"/>
      <c r="EW733" s="1465"/>
      <c r="EX733" s="1465"/>
      <c r="EZ733" s="1495" t="str">
        <f t="shared" si="29"/>
        <v/>
      </c>
      <c r="FA733" s="1496"/>
      <c r="FB733" s="1496"/>
      <c r="FC733" s="1496"/>
      <c r="FD733" s="1497"/>
      <c r="FE733" s="1495" t="str">
        <f t="shared" si="30"/>
        <v/>
      </c>
      <c r="FF733" s="1496"/>
      <c r="FG733" s="1496"/>
      <c r="FH733" s="1496"/>
      <c r="FI733" s="1497"/>
      <c r="FJ733" s="1495" t="str">
        <f t="shared" si="31"/>
        <v/>
      </c>
      <c r="FK733" s="1496"/>
      <c r="FL733" s="1496"/>
      <c r="FM733" s="1496"/>
      <c r="FN733" s="1497"/>
      <c r="FO733" s="1495" t="str">
        <f t="shared" si="32"/>
        <v/>
      </c>
      <c r="FP733" s="1496"/>
      <c r="FQ733" s="1496"/>
      <c r="FR733" s="1496"/>
      <c r="FS733" s="1497"/>
      <c r="FT733" s="1495" t="str">
        <f t="shared" si="33"/>
        <v/>
      </c>
      <c r="FU733" s="1496"/>
      <c r="FV733" s="1496"/>
      <c r="FW733" s="1496"/>
      <c r="FX733" s="1497"/>
      <c r="FY733" s="1495" t="str">
        <f t="shared" si="34"/>
        <v/>
      </c>
      <c r="FZ733" s="1496"/>
      <c r="GA733" s="1496"/>
      <c r="GB733" s="1496"/>
      <c r="GC733" s="1497"/>
    </row>
    <row r="734" spans="1:185" ht="12.95" customHeight="1">
      <c r="B734" s="1355"/>
      <c r="C734" s="1356"/>
      <c r="D734" s="1356"/>
      <c r="E734" s="1356"/>
      <c r="F734" s="1357"/>
      <c r="G734" s="1349"/>
      <c r="H734" s="1350"/>
      <c r="I734" s="1350"/>
      <c r="J734" s="1351"/>
      <c r="K734" s="1352"/>
      <c r="L734" s="1353"/>
      <c r="M734" s="1353"/>
      <c r="N734" s="1354"/>
      <c r="O734" s="1370"/>
      <c r="P734" s="1371"/>
      <c r="Q734" s="1371"/>
      <c r="R734" s="1371"/>
      <c r="S734" s="1372"/>
      <c r="T734" s="1370"/>
      <c r="U734" s="1371"/>
      <c r="V734" s="1371"/>
      <c r="W734" s="1372"/>
      <c r="X734" s="1607">
        <f t="shared" si="8"/>
        <v>0</v>
      </c>
      <c r="Y734" s="1422"/>
      <c r="Z734" s="1422"/>
      <c r="AA734" s="1422"/>
      <c r="AB734" s="1608"/>
      <c r="AC734" s="1473"/>
      <c r="AD734" s="1474"/>
      <c r="AE734" s="1474"/>
      <c r="AF734" s="1474"/>
      <c r="AG734" s="1475"/>
      <c r="AH734" s="1470" t="str">
        <f t="shared" si="35"/>
        <v/>
      </c>
      <c r="AI734" s="1471"/>
      <c r="AJ734" s="1472"/>
      <c r="AK734" s="1355" t="s">
        <v>591</v>
      </c>
      <c r="AL734" s="1356"/>
      <c r="AM734" s="1356"/>
      <c r="AN734" s="1356"/>
      <c r="AO734" s="1357"/>
      <c r="AP734" s="3"/>
      <c r="AQ734" s="3"/>
      <c r="AR734" s="3"/>
      <c r="AS734" s="3"/>
      <c r="AY734" s="1087"/>
      <c r="AZ734" s="118" t="str">
        <f>IF($G734=0,"N/A",VLOOKUP($T$189,TC_Rent,(MATCH($B734,bedrooms,FALSE)),FALSE))</f>
        <v>N/A</v>
      </c>
      <c r="BA734" s="3"/>
      <c r="BB734" s="3"/>
      <c r="BC734" s="3"/>
      <c r="BD734" s="3"/>
      <c r="BE734" s="205"/>
      <c r="BF734" s="295">
        <f t="shared" si="9"/>
        <v>0</v>
      </c>
      <c r="BG734" s="298">
        <f t="shared" si="10"/>
        <v>0</v>
      </c>
      <c r="BH734" s="299" t="str">
        <f t="shared" si="11"/>
        <v/>
      </c>
      <c r="BI734" s="3"/>
      <c r="BJ734" s="3"/>
      <c r="BK734" s="3"/>
      <c r="BL734" s="3"/>
      <c r="BM734" s="3"/>
      <c r="BN734" s="3"/>
      <c r="BS734" s="295">
        <f t="shared" si="12"/>
        <v>0</v>
      </c>
      <c r="BT734" s="298">
        <f t="shared" si="13"/>
        <v>0</v>
      </c>
      <c r="BU734" s="299" t="str">
        <f t="shared" si="14"/>
        <v/>
      </c>
      <c r="BV734" s="3"/>
      <c r="BW734" s="3"/>
      <c r="BX734" s="3"/>
      <c r="BY734" s="3"/>
      <c r="BZ734" s="3"/>
      <c r="CA734" s="3"/>
      <c r="CB734" s="3"/>
      <c r="CC734" s="3"/>
      <c r="CE734" s="3"/>
      <c r="CF734" s="3"/>
      <c r="CG734" s="1495">
        <f t="shared" si="36"/>
        <v>0</v>
      </c>
      <c r="CH734" s="1497"/>
      <c r="CI734" s="1489">
        <f t="shared" si="37"/>
        <v>0</v>
      </c>
      <c r="CJ734" s="1491"/>
      <c r="CK734" s="1495">
        <f t="shared" si="15"/>
        <v>0</v>
      </c>
      <c r="CL734" s="1497"/>
      <c r="CM734" s="1489">
        <f t="shared" si="16"/>
        <v>0</v>
      </c>
      <c r="CN734" s="1491"/>
      <c r="CO734" s="3"/>
      <c r="CP734" s="1485">
        <f t="shared" si="17"/>
        <v>0</v>
      </c>
      <c r="CQ734" s="1486"/>
      <c r="CR734" s="1486"/>
      <c r="CS734" s="1486"/>
      <c r="CT734" s="1487"/>
      <c r="CU734" s="1463">
        <f t="shared" si="18"/>
        <v>0</v>
      </c>
      <c r="CV734" s="1463"/>
      <c r="CW734" s="1463"/>
      <c r="CX734" s="1463"/>
      <c r="CY734" s="1463"/>
      <c r="CZ734" s="1463">
        <f t="shared" si="19"/>
        <v>0</v>
      </c>
      <c r="DA734" s="1463"/>
      <c r="DB734" s="1463"/>
      <c r="DC734" s="1463"/>
      <c r="DD734" s="1463"/>
      <c r="DE734" s="1463">
        <f t="shared" si="20"/>
        <v>0</v>
      </c>
      <c r="DF734" s="1463"/>
      <c r="DG734" s="1463"/>
      <c r="DH734" s="1463"/>
      <c r="DI734" s="1463"/>
      <c r="DJ734" s="1463">
        <f t="shared" si="21"/>
        <v>0</v>
      </c>
      <c r="DK734" s="1463"/>
      <c r="DL734" s="1463"/>
      <c r="DM734" s="1463"/>
      <c r="DN734" s="1463"/>
      <c r="DO734" s="1463">
        <f t="shared" si="22"/>
        <v>0</v>
      </c>
      <c r="DP734" s="1463"/>
      <c r="DQ734" s="1463"/>
      <c r="DR734" s="1463"/>
      <c r="DS734" s="1463"/>
      <c r="DT734" s="6"/>
      <c r="DU734" s="1465">
        <f t="shared" si="23"/>
        <v>0</v>
      </c>
      <c r="DV734" s="1465"/>
      <c r="DW734" s="1465"/>
      <c r="DX734" s="1465"/>
      <c r="DY734" s="1465"/>
      <c r="DZ734" s="1465">
        <f t="shared" si="24"/>
        <v>0</v>
      </c>
      <c r="EA734" s="1465"/>
      <c r="EB734" s="1465"/>
      <c r="EC734" s="1465"/>
      <c r="ED734" s="1465"/>
      <c r="EE734" s="1465">
        <f t="shared" si="25"/>
        <v>0</v>
      </c>
      <c r="EF734" s="1465"/>
      <c r="EG734" s="1465"/>
      <c r="EH734" s="1465"/>
      <c r="EI734" s="1465"/>
      <c r="EJ734" s="1465">
        <f t="shared" si="26"/>
        <v>0</v>
      </c>
      <c r="EK734" s="1465"/>
      <c r="EL734" s="1465"/>
      <c r="EM734" s="1465"/>
      <c r="EN734" s="1465"/>
      <c r="EO734" s="1465">
        <f t="shared" si="27"/>
        <v>0</v>
      </c>
      <c r="EP734" s="1465"/>
      <c r="EQ734" s="1465"/>
      <c r="ER734" s="1465"/>
      <c r="ES734" s="1465"/>
      <c r="ET734" s="1465">
        <f t="shared" si="28"/>
        <v>0</v>
      </c>
      <c r="EU734" s="1465"/>
      <c r="EV734" s="1465"/>
      <c r="EW734" s="1465"/>
      <c r="EX734" s="1465"/>
      <c r="EZ734" s="1495" t="str">
        <f t="shared" si="29"/>
        <v/>
      </c>
      <c r="FA734" s="1496"/>
      <c r="FB734" s="1496"/>
      <c r="FC734" s="1496"/>
      <c r="FD734" s="1497"/>
      <c r="FE734" s="1495" t="str">
        <f t="shared" si="30"/>
        <v/>
      </c>
      <c r="FF734" s="1496"/>
      <c r="FG734" s="1496"/>
      <c r="FH734" s="1496"/>
      <c r="FI734" s="1497"/>
      <c r="FJ734" s="1495" t="str">
        <f t="shared" si="31"/>
        <v/>
      </c>
      <c r="FK734" s="1496"/>
      <c r="FL734" s="1496"/>
      <c r="FM734" s="1496"/>
      <c r="FN734" s="1497"/>
      <c r="FO734" s="1495" t="str">
        <f t="shared" si="32"/>
        <v/>
      </c>
      <c r="FP734" s="1496"/>
      <c r="FQ734" s="1496"/>
      <c r="FR734" s="1496"/>
      <c r="FS734" s="1497"/>
      <c r="FT734" s="1495" t="str">
        <f t="shared" si="33"/>
        <v/>
      </c>
      <c r="FU734" s="1496"/>
      <c r="FV734" s="1496"/>
      <c r="FW734" s="1496"/>
      <c r="FX734" s="1497"/>
      <c r="FY734" s="1495" t="str">
        <f t="shared" si="34"/>
        <v/>
      </c>
      <c r="FZ734" s="1496"/>
      <c r="GA734" s="1496"/>
      <c r="GB734" s="1496"/>
      <c r="GC734" s="1497"/>
    </row>
    <row r="735" spans="1:185" ht="12.95" customHeight="1">
      <c r="B735" s="1355"/>
      <c r="C735" s="1356"/>
      <c r="D735" s="1356"/>
      <c r="E735" s="1356"/>
      <c r="F735" s="1357"/>
      <c r="G735" s="1349"/>
      <c r="H735" s="1350"/>
      <c r="I735" s="1350"/>
      <c r="J735" s="1351"/>
      <c r="K735" s="1352"/>
      <c r="L735" s="1353"/>
      <c r="M735" s="1353"/>
      <c r="N735" s="1354"/>
      <c r="O735" s="1370"/>
      <c r="P735" s="1371"/>
      <c r="Q735" s="1371"/>
      <c r="R735" s="1371"/>
      <c r="S735" s="1372"/>
      <c r="T735" s="1370"/>
      <c r="U735" s="1371"/>
      <c r="V735" s="1371"/>
      <c r="W735" s="1372"/>
      <c r="X735" s="1607">
        <f t="shared" si="8"/>
        <v>0</v>
      </c>
      <c r="Y735" s="1422"/>
      <c r="Z735" s="1422"/>
      <c r="AA735" s="1422"/>
      <c r="AB735" s="1608"/>
      <c r="AC735" s="1473"/>
      <c r="AD735" s="1474"/>
      <c r="AE735" s="1474"/>
      <c r="AF735" s="1474"/>
      <c r="AG735" s="1475"/>
      <c r="AH735" s="1470" t="str">
        <f t="shared" si="35"/>
        <v/>
      </c>
      <c r="AI735" s="1471"/>
      <c r="AJ735" s="1472"/>
      <c r="AK735" s="1355" t="s">
        <v>591</v>
      </c>
      <c r="AL735" s="1356"/>
      <c r="AM735" s="1356"/>
      <c r="AN735" s="1356"/>
      <c r="AO735" s="1357"/>
      <c r="AP735" s="3"/>
      <c r="AQ735" s="3"/>
      <c r="AR735" s="3"/>
      <c r="AS735" s="3"/>
      <c r="AY735" s="1087"/>
      <c r="AZ735" s="118" t="str">
        <f>IF($G735=0,"N/A",VLOOKUP($T$189,TC_Rent,(MATCH($B735,bedrooms,FALSE)),FALSE))</f>
        <v>N/A</v>
      </c>
      <c r="BA735" s="3"/>
      <c r="BB735" s="3"/>
      <c r="BC735" s="3"/>
      <c r="BD735" s="3"/>
      <c r="BE735" s="205"/>
      <c r="BF735" s="295">
        <f t="shared" si="9"/>
        <v>0</v>
      </c>
      <c r="BG735" s="298">
        <f t="shared" si="10"/>
        <v>0</v>
      </c>
      <c r="BH735" s="299" t="str">
        <f t="shared" si="11"/>
        <v/>
      </c>
      <c r="BI735" s="3"/>
      <c r="BJ735" s="3"/>
      <c r="BK735" s="3"/>
      <c r="BL735" s="3"/>
      <c r="BM735" s="3"/>
      <c r="BN735" s="3"/>
      <c r="BS735" s="295">
        <f t="shared" si="12"/>
        <v>0</v>
      </c>
      <c r="BT735" s="298">
        <f t="shared" si="13"/>
        <v>0</v>
      </c>
      <c r="BU735" s="299" t="str">
        <f t="shared" si="14"/>
        <v/>
      </c>
      <c r="BV735" s="3"/>
      <c r="BW735" s="3"/>
      <c r="BX735" s="3"/>
      <c r="BY735" s="3"/>
      <c r="BZ735" s="3"/>
      <c r="CA735" s="3"/>
      <c r="CB735" s="3"/>
      <c r="CC735" s="3"/>
      <c r="CE735" s="3"/>
      <c r="CF735" s="3"/>
      <c r="CG735" s="1495">
        <f t="shared" si="36"/>
        <v>0</v>
      </c>
      <c r="CH735" s="1497"/>
      <c r="CI735" s="1489">
        <f t="shared" si="37"/>
        <v>0</v>
      </c>
      <c r="CJ735" s="1491"/>
      <c r="CK735" s="1495">
        <f t="shared" si="15"/>
        <v>0</v>
      </c>
      <c r="CL735" s="1497"/>
      <c r="CM735" s="1489">
        <f t="shared" si="16"/>
        <v>0</v>
      </c>
      <c r="CN735" s="1491"/>
      <c r="CO735" s="3"/>
      <c r="CP735" s="1485">
        <f t="shared" si="17"/>
        <v>0</v>
      </c>
      <c r="CQ735" s="1486"/>
      <c r="CR735" s="1486"/>
      <c r="CS735" s="1486"/>
      <c r="CT735" s="1487"/>
      <c r="CU735" s="1463">
        <f t="shared" si="18"/>
        <v>0</v>
      </c>
      <c r="CV735" s="1463"/>
      <c r="CW735" s="1463"/>
      <c r="CX735" s="1463"/>
      <c r="CY735" s="1463"/>
      <c r="CZ735" s="1463">
        <f t="shared" si="19"/>
        <v>0</v>
      </c>
      <c r="DA735" s="1463"/>
      <c r="DB735" s="1463"/>
      <c r="DC735" s="1463"/>
      <c r="DD735" s="1463"/>
      <c r="DE735" s="1463">
        <f t="shared" si="20"/>
        <v>0</v>
      </c>
      <c r="DF735" s="1463"/>
      <c r="DG735" s="1463"/>
      <c r="DH735" s="1463"/>
      <c r="DI735" s="1463"/>
      <c r="DJ735" s="1463">
        <f t="shared" si="21"/>
        <v>0</v>
      </c>
      <c r="DK735" s="1463"/>
      <c r="DL735" s="1463"/>
      <c r="DM735" s="1463"/>
      <c r="DN735" s="1463"/>
      <c r="DO735" s="1463">
        <f t="shared" si="22"/>
        <v>0</v>
      </c>
      <c r="DP735" s="1463"/>
      <c r="DQ735" s="1463"/>
      <c r="DR735" s="1463"/>
      <c r="DS735" s="1463"/>
      <c r="DT735" s="6"/>
      <c r="DU735" s="1465">
        <f t="shared" si="23"/>
        <v>0</v>
      </c>
      <c r="DV735" s="1465"/>
      <c r="DW735" s="1465"/>
      <c r="DX735" s="1465"/>
      <c r="DY735" s="1465"/>
      <c r="DZ735" s="1465">
        <f t="shared" si="24"/>
        <v>0</v>
      </c>
      <c r="EA735" s="1465"/>
      <c r="EB735" s="1465"/>
      <c r="EC735" s="1465"/>
      <c r="ED735" s="1465"/>
      <c r="EE735" s="1465">
        <f t="shared" si="25"/>
        <v>0</v>
      </c>
      <c r="EF735" s="1465"/>
      <c r="EG735" s="1465"/>
      <c r="EH735" s="1465"/>
      <c r="EI735" s="1465"/>
      <c r="EJ735" s="1465">
        <f t="shared" si="26"/>
        <v>0</v>
      </c>
      <c r="EK735" s="1465"/>
      <c r="EL735" s="1465"/>
      <c r="EM735" s="1465"/>
      <c r="EN735" s="1465"/>
      <c r="EO735" s="1465">
        <f t="shared" si="27"/>
        <v>0</v>
      </c>
      <c r="EP735" s="1465"/>
      <c r="EQ735" s="1465"/>
      <c r="ER735" s="1465"/>
      <c r="ES735" s="1465"/>
      <c r="ET735" s="1465">
        <f t="shared" si="28"/>
        <v>0</v>
      </c>
      <c r="EU735" s="1465"/>
      <c r="EV735" s="1465"/>
      <c r="EW735" s="1465"/>
      <c r="EX735" s="1465"/>
      <c r="EZ735" s="1495" t="str">
        <f t="shared" si="29"/>
        <v/>
      </c>
      <c r="FA735" s="1496"/>
      <c r="FB735" s="1496"/>
      <c r="FC735" s="1496"/>
      <c r="FD735" s="1497"/>
      <c r="FE735" s="1495" t="str">
        <f t="shared" si="30"/>
        <v/>
      </c>
      <c r="FF735" s="1496"/>
      <c r="FG735" s="1496"/>
      <c r="FH735" s="1496"/>
      <c r="FI735" s="1497"/>
      <c r="FJ735" s="1495" t="str">
        <f t="shared" si="31"/>
        <v/>
      </c>
      <c r="FK735" s="1496"/>
      <c r="FL735" s="1496"/>
      <c r="FM735" s="1496"/>
      <c r="FN735" s="1497"/>
      <c r="FO735" s="1495" t="str">
        <f t="shared" si="32"/>
        <v/>
      </c>
      <c r="FP735" s="1496"/>
      <c r="FQ735" s="1496"/>
      <c r="FR735" s="1496"/>
      <c r="FS735" s="1497"/>
      <c r="FT735" s="1495" t="str">
        <f t="shared" si="33"/>
        <v/>
      </c>
      <c r="FU735" s="1496"/>
      <c r="FV735" s="1496"/>
      <c r="FW735" s="1496"/>
      <c r="FX735" s="1497"/>
      <c r="FY735" s="1495" t="str">
        <f t="shared" si="34"/>
        <v/>
      </c>
      <c r="FZ735" s="1496"/>
      <c r="GA735" s="1496"/>
      <c r="GB735" s="1496"/>
      <c r="GC735" s="1497"/>
    </row>
    <row r="736" spans="1:185" ht="12.95" customHeight="1">
      <c r="B736" s="1355"/>
      <c r="C736" s="1356"/>
      <c r="D736" s="1356"/>
      <c r="E736" s="1356"/>
      <c r="F736" s="1357"/>
      <c r="G736" s="1349"/>
      <c r="H736" s="1350"/>
      <c r="I736" s="1350"/>
      <c r="J736" s="1351"/>
      <c r="K736" s="1352"/>
      <c r="L736" s="1353"/>
      <c r="M736" s="1353"/>
      <c r="N736" s="1354"/>
      <c r="O736" s="1370"/>
      <c r="P736" s="1371"/>
      <c r="Q736" s="1371"/>
      <c r="R736" s="1371"/>
      <c r="S736" s="1372"/>
      <c r="T736" s="1370"/>
      <c r="U736" s="1371"/>
      <c r="V736" s="1371"/>
      <c r="W736" s="1372"/>
      <c r="X736" s="1607">
        <f t="shared" si="8"/>
        <v>0</v>
      </c>
      <c r="Y736" s="1422"/>
      <c r="Z736" s="1422"/>
      <c r="AA736" s="1422"/>
      <c r="AB736" s="1608"/>
      <c r="AC736" s="1473"/>
      <c r="AD736" s="1474"/>
      <c r="AE736" s="1474"/>
      <c r="AF736" s="1474"/>
      <c r="AG736" s="1475"/>
      <c r="AH736" s="1470" t="str">
        <f t="shared" si="35"/>
        <v/>
      </c>
      <c r="AI736" s="1471"/>
      <c r="AJ736" s="1472"/>
      <c r="AK736" s="1355" t="s">
        <v>591</v>
      </c>
      <c r="AL736" s="1356"/>
      <c r="AM736" s="1356"/>
      <c r="AN736" s="1356"/>
      <c r="AO736" s="1357"/>
      <c r="AP736" s="3"/>
      <c r="AQ736" s="3"/>
      <c r="AR736" s="3"/>
      <c r="AS736" s="3"/>
      <c r="AY736" s="1087"/>
      <c r="AZ736" s="118" t="str">
        <f>IF($G736=0,"N/A",VLOOKUP($T$189,TC_Rent,(MATCH($B736,bedrooms,FALSE)),FALSE))</f>
        <v>N/A</v>
      </c>
      <c r="BA736" s="3"/>
      <c r="BB736" s="3"/>
      <c r="BC736" s="3"/>
      <c r="BD736" s="3"/>
      <c r="BE736" s="205"/>
      <c r="BF736" s="295">
        <f t="shared" si="9"/>
        <v>0</v>
      </c>
      <c r="BG736" s="298">
        <f t="shared" si="10"/>
        <v>0</v>
      </c>
      <c r="BH736" s="299" t="str">
        <f t="shared" si="11"/>
        <v/>
      </c>
      <c r="BI736" s="3"/>
      <c r="BJ736" s="3"/>
      <c r="BK736" s="3"/>
      <c r="BL736" s="3"/>
      <c r="BM736" s="3"/>
      <c r="BN736" s="3"/>
      <c r="BS736" s="295">
        <f t="shared" si="12"/>
        <v>0</v>
      </c>
      <c r="BT736" s="298">
        <f t="shared" si="13"/>
        <v>0</v>
      </c>
      <c r="BU736" s="299" t="str">
        <f t="shared" si="14"/>
        <v/>
      </c>
      <c r="BV736" s="3"/>
      <c r="BW736" s="3"/>
      <c r="BX736" s="3"/>
      <c r="BY736" s="3"/>
      <c r="BZ736" s="3"/>
      <c r="CA736" s="3"/>
      <c r="CB736" s="3"/>
      <c r="CC736" s="3"/>
      <c r="CE736" s="3"/>
      <c r="CF736" s="3"/>
      <c r="CG736" s="1495">
        <f t="shared" si="36"/>
        <v>0</v>
      </c>
      <c r="CH736" s="1497"/>
      <c r="CI736" s="1489">
        <f t="shared" si="37"/>
        <v>0</v>
      </c>
      <c r="CJ736" s="1491"/>
      <c r="CK736" s="1495">
        <f t="shared" si="15"/>
        <v>0</v>
      </c>
      <c r="CL736" s="1497"/>
      <c r="CM736" s="1489">
        <f t="shared" si="16"/>
        <v>0</v>
      </c>
      <c r="CN736" s="1491"/>
      <c r="CO736" s="3"/>
      <c r="CP736" s="1485">
        <f t="shared" si="17"/>
        <v>0</v>
      </c>
      <c r="CQ736" s="1486"/>
      <c r="CR736" s="1486"/>
      <c r="CS736" s="1486"/>
      <c r="CT736" s="1487"/>
      <c r="CU736" s="1463">
        <f t="shared" si="18"/>
        <v>0</v>
      </c>
      <c r="CV736" s="1463"/>
      <c r="CW736" s="1463"/>
      <c r="CX736" s="1463"/>
      <c r="CY736" s="1463"/>
      <c r="CZ736" s="1463">
        <f t="shared" si="19"/>
        <v>0</v>
      </c>
      <c r="DA736" s="1463"/>
      <c r="DB736" s="1463"/>
      <c r="DC736" s="1463"/>
      <c r="DD736" s="1463"/>
      <c r="DE736" s="1463">
        <f t="shared" si="20"/>
        <v>0</v>
      </c>
      <c r="DF736" s="1463"/>
      <c r="DG736" s="1463"/>
      <c r="DH736" s="1463"/>
      <c r="DI736" s="1463"/>
      <c r="DJ736" s="1463">
        <f t="shared" si="21"/>
        <v>0</v>
      </c>
      <c r="DK736" s="1463"/>
      <c r="DL736" s="1463"/>
      <c r="DM736" s="1463"/>
      <c r="DN736" s="1463"/>
      <c r="DO736" s="1463">
        <f t="shared" si="22"/>
        <v>0</v>
      </c>
      <c r="DP736" s="1463"/>
      <c r="DQ736" s="1463"/>
      <c r="DR736" s="1463"/>
      <c r="DS736" s="1463"/>
      <c r="DT736" s="6"/>
      <c r="DU736" s="1465">
        <f t="shared" si="23"/>
        <v>0</v>
      </c>
      <c r="DV736" s="1465"/>
      <c r="DW736" s="1465"/>
      <c r="DX736" s="1465"/>
      <c r="DY736" s="1465"/>
      <c r="DZ736" s="1465">
        <f t="shared" si="24"/>
        <v>0</v>
      </c>
      <c r="EA736" s="1465"/>
      <c r="EB736" s="1465"/>
      <c r="EC736" s="1465"/>
      <c r="ED736" s="1465"/>
      <c r="EE736" s="1465">
        <f t="shared" si="25"/>
        <v>0</v>
      </c>
      <c r="EF736" s="1465"/>
      <c r="EG736" s="1465"/>
      <c r="EH736" s="1465"/>
      <c r="EI736" s="1465"/>
      <c r="EJ736" s="1465">
        <f t="shared" si="26"/>
        <v>0</v>
      </c>
      <c r="EK736" s="1465"/>
      <c r="EL736" s="1465"/>
      <c r="EM736" s="1465"/>
      <c r="EN736" s="1465"/>
      <c r="EO736" s="1465">
        <f t="shared" si="27"/>
        <v>0</v>
      </c>
      <c r="EP736" s="1465"/>
      <c r="EQ736" s="1465"/>
      <c r="ER736" s="1465"/>
      <c r="ES736" s="1465"/>
      <c r="ET736" s="1465">
        <f t="shared" si="28"/>
        <v>0</v>
      </c>
      <c r="EU736" s="1465"/>
      <c r="EV736" s="1465"/>
      <c r="EW736" s="1465"/>
      <c r="EX736" s="1465"/>
      <c r="EZ736" s="1495" t="str">
        <f t="shared" si="29"/>
        <v/>
      </c>
      <c r="FA736" s="1496"/>
      <c r="FB736" s="1496"/>
      <c r="FC736" s="1496"/>
      <c r="FD736" s="1497"/>
      <c r="FE736" s="1495" t="str">
        <f t="shared" si="30"/>
        <v/>
      </c>
      <c r="FF736" s="1496"/>
      <c r="FG736" s="1496"/>
      <c r="FH736" s="1496"/>
      <c r="FI736" s="1497"/>
      <c r="FJ736" s="1495" t="str">
        <f t="shared" si="31"/>
        <v/>
      </c>
      <c r="FK736" s="1496"/>
      <c r="FL736" s="1496"/>
      <c r="FM736" s="1496"/>
      <c r="FN736" s="1497"/>
      <c r="FO736" s="1495" t="str">
        <f t="shared" si="32"/>
        <v/>
      </c>
      <c r="FP736" s="1496"/>
      <c r="FQ736" s="1496"/>
      <c r="FR736" s="1496"/>
      <c r="FS736" s="1497"/>
      <c r="FT736" s="1495" t="str">
        <f t="shared" si="33"/>
        <v/>
      </c>
      <c r="FU736" s="1496"/>
      <c r="FV736" s="1496"/>
      <c r="FW736" s="1496"/>
      <c r="FX736" s="1497"/>
      <c r="FY736" s="1495" t="str">
        <f t="shared" si="34"/>
        <v/>
      </c>
      <c r="FZ736" s="1496"/>
      <c r="GA736" s="1496"/>
      <c r="GB736" s="1496"/>
      <c r="GC736" s="1497"/>
    </row>
    <row r="737" spans="1:185" ht="12.95" customHeight="1">
      <c r="B737" s="1355"/>
      <c r="C737" s="1356"/>
      <c r="D737" s="1356"/>
      <c r="E737" s="1356"/>
      <c r="F737" s="1357"/>
      <c r="G737" s="1349"/>
      <c r="H737" s="1350"/>
      <c r="I737" s="1350"/>
      <c r="J737" s="1351"/>
      <c r="K737" s="1352"/>
      <c r="L737" s="1353"/>
      <c r="M737" s="1353"/>
      <c r="N737" s="1354"/>
      <c r="O737" s="1370"/>
      <c r="P737" s="1371"/>
      <c r="Q737" s="1371"/>
      <c r="R737" s="1371"/>
      <c r="S737" s="1372"/>
      <c r="T737" s="1370"/>
      <c r="U737" s="1371"/>
      <c r="V737" s="1371"/>
      <c r="W737" s="1372"/>
      <c r="X737" s="1607">
        <f t="shared" si="8"/>
        <v>0</v>
      </c>
      <c r="Y737" s="1422"/>
      <c r="Z737" s="1422"/>
      <c r="AA737" s="1422"/>
      <c r="AB737" s="1608"/>
      <c r="AC737" s="1473"/>
      <c r="AD737" s="1474"/>
      <c r="AE737" s="1474"/>
      <c r="AF737" s="1474"/>
      <c r="AG737" s="1475"/>
      <c r="AH737" s="1470" t="str">
        <f t="shared" si="35"/>
        <v/>
      </c>
      <c r="AI737" s="1471"/>
      <c r="AJ737" s="1472"/>
      <c r="AK737" s="1355" t="s">
        <v>591</v>
      </c>
      <c r="AL737" s="1356"/>
      <c r="AM737" s="1356"/>
      <c r="AN737" s="1356"/>
      <c r="AO737" s="1357"/>
      <c r="AP737" s="3"/>
      <c r="AQ737" s="3"/>
      <c r="AR737" s="3"/>
      <c r="AS737" s="3"/>
      <c r="AY737" s="1087"/>
      <c r="AZ737" s="118" t="str">
        <f>IF($G737=0,"N/A",VLOOKUP($T$189,TC_Rent,(MATCH($B737,bedrooms,FALSE)),FALSE))</f>
        <v>N/A</v>
      </c>
      <c r="BA737" s="3"/>
      <c r="BB737" s="3"/>
      <c r="BC737" s="3"/>
      <c r="BD737" s="3"/>
      <c r="BE737" s="205"/>
      <c r="BF737" s="295">
        <f t="shared" si="9"/>
        <v>0</v>
      </c>
      <c r="BG737" s="298">
        <f t="shared" si="10"/>
        <v>0</v>
      </c>
      <c r="BH737" s="299" t="str">
        <f t="shared" si="11"/>
        <v/>
      </c>
      <c r="BI737" s="3"/>
      <c r="BJ737" s="3"/>
      <c r="BK737" s="3"/>
      <c r="BL737" s="3"/>
      <c r="BM737" s="3"/>
      <c r="BN737" s="3"/>
      <c r="BS737" s="295">
        <f t="shared" si="12"/>
        <v>0</v>
      </c>
      <c r="BT737" s="298">
        <f t="shared" si="13"/>
        <v>0</v>
      </c>
      <c r="BU737" s="299" t="str">
        <f t="shared" si="14"/>
        <v/>
      </c>
      <c r="BV737" s="3"/>
      <c r="BW737" s="3"/>
      <c r="BX737" s="3"/>
      <c r="BY737" s="3"/>
      <c r="BZ737" s="3"/>
      <c r="CA737" s="3"/>
      <c r="CB737" s="3"/>
      <c r="CC737" s="3"/>
      <c r="CE737" s="3"/>
      <c r="CF737" s="3"/>
      <c r="CG737" s="1495">
        <f t="shared" si="36"/>
        <v>0</v>
      </c>
      <c r="CH737" s="1497"/>
      <c r="CI737" s="1489">
        <f t="shared" si="37"/>
        <v>0</v>
      </c>
      <c r="CJ737" s="1491"/>
      <c r="CK737" s="1495">
        <f t="shared" si="15"/>
        <v>0</v>
      </c>
      <c r="CL737" s="1497"/>
      <c r="CM737" s="1489">
        <f t="shared" si="16"/>
        <v>0</v>
      </c>
      <c r="CN737" s="1491"/>
      <c r="CO737" s="3"/>
      <c r="CP737" s="1485">
        <f t="shared" si="17"/>
        <v>0</v>
      </c>
      <c r="CQ737" s="1486"/>
      <c r="CR737" s="1486"/>
      <c r="CS737" s="1486"/>
      <c r="CT737" s="1487"/>
      <c r="CU737" s="1463">
        <f t="shared" si="18"/>
        <v>0</v>
      </c>
      <c r="CV737" s="1463"/>
      <c r="CW737" s="1463"/>
      <c r="CX737" s="1463"/>
      <c r="CY737" s="1463"/>
      <c r="CZ737" s="1463">
        <f t="shared" si="19"/>
        <v>0</v>
      </c>
      <c r="DA737" s="1463"/>
      <c r="DB737" s="1463"/>
      <c r="DC737" s="1463"/>
      <c r="DD737" s="1463"/>
      <c r="DE737" s="1463">
        <f t="shared" si="20"/>
        <v>0</v>
      </c>
      <c r="DF737" s="1463"/>
      <c r="DG737" s="1463"/>
      <c r="DH737" s="1463"/>
      <c r="DI737" s="1463"/>
      <c r="DJ737" s="1463">
        <f t="shared" si="21"/>
        <v>0</v>
      </c>
      <c r="DK737" s="1463"/>
      <c r="DL737" s="1463"/>
      <c r="DM737" s="1463"/>
      <c r="DN737" s="1463"/>
      <c r="DO737" s="1463">
        <f t="shared" si="22"/>
        <v>0</v>
      </c>
      <c r="DP737" s="1463"/>
      <c r="DQ737" s="1463"/>
      <c r="DR737" s="1463"/>
      <c r="DS737" s="1463"/>
      <c r="DT737" s="6"/>
      <c r="DU737" s="1465">
        <f t="shared" si="23"/>
        <v>0</v>
      </c>
      <c r="DV737" s="1465"/>
      <c r="DW737" s="1465"/>
      <c r="DX737" s="1465"/>
      <c r="DY737" s="1465"/>
      <c r="DZ737" s="1465">
        <f t="shared" si="24"/>
        <v>0</v>
      </c>
      <c r="EA737" s="1465"/>
      <c r="EB737" s="1465"/>
      <c r="EC737" s="1465"/>
      <c r="ED737" s="1465"/>
      <c r="EE737" s="1465">
        <f t="shared" si="25"/>
        <v>0</v>
      </c>
      <c r="EF737" s="1465"/>
      <c r="EG737" s="1465"/>
      <c r="EH737" s="1465"/>
      <c r="EI737" s="1465"/>
      <c r="EJ737" s="1465">
        <f t="shared" si="26"/>
        <v>0</v>
      </c>
      <c r="EK737" s="1465"/>
      <c r="EL737" s="1465"/>
      <c r="EM737" s="1465"/>
      <c r="EN737" s="1465"/>
      <c r="EO737" s="1465">
        <f t="shared" si="27"/>
        <v>0</v>
      </c>
      <c r="EP737" s="1465"/>
      <c r="EQ737" s="1465"/>
      <c r="ER737" s="1465"/>
      <c r="ES737" s="1465"/>
      <c r="ET737" s="1465">
        <f t="shared" si="28"/>
        <v>0</v>
      </c>
      <c r="EU737" s="1465"/>
      <c r="EV737" s="1465"/>
      <c r="EW737" s="1465"/>
      <c r="EX737" s="1465"/>
      <c r="EZ737" s="1495" t="str">
        <f t="shared" si="29"/>
        <v/>
      </c>
      <c r="FA737" s="1496"/>
      <c r="FB737" s="1496"/>
      <c r="FC737" s="1496"/>
      <c r="FD737" s="1497"/>
      <c r="FE737" s="1495" t="str">
        <f t="shared" si="30"/>
        <v/>
      </c>
      <c r="FF737" s="1496"/>
      <c r="FG737" s="1496"/>
      <c r="FH737" s="1496"/>
      <c r="FI737" s="1497"/>
      <c r="FJ737" s="1495" t="str">
        <f t="shared" si="31"/>
        <v/>
      </c>
      <c r="FK737" s="1496"/>
      <c r="FL737" s="1496"/>
      <c r="FM737" s="1496"/>
      <c r="FN737" s="1497"/>
      <c r="FO737" s="1495" t="str">
        <f t="shared" si="32"/>
        <v/>
      </c>
      <c r="FP737" s="1496"/>
      <c r="FQ737" s="1496"/>
      <c r="FR737" s="1496"/>
      <c r="FS737" s="1497"/>
      <c r="FT737" s="1495" t="str">
        <f t="shared" si="33"/>
        <v/>
      </c>
      <c r="FU737" s="1496"/>
      <c r="FV737" s="1496"/>
      <c r="FW737" s="1496"/>
      <c r="FX737" s="1497"/>
      <c r="FY737" s="1495" t="str">
        <f t="shared" si="34"/>
        <v/>
      </c>
      <c r="FZ737" s="1496"/>
      <c r="GA737" s="1496"/>
      <c r="GB737" s="1496"/>
      <c r="GC737" s="1497"/>
    </row>
    <row r="738" spans="1:185" ht="12.95" customHeight="1">
      <c r="B738" s="1355"/>
      <c r="C738" s="1356"/>
      <c r="D738" s="1356"/>
      <c r="E738" s="1356"/>
      <c r="F738" s="1357"/>
      <c r="G738" s="1349"/>
      <c r="H738" s="1350"/>
      <c r="I738" s="1350"/>
      <c r="J738" s="1351"/>
      <c r="K738" s="1352"/>
      <c r="L738" s="1353"/>
      <c r="M738" s="1353"/>
      <c r="N738" s="1354"/>
      <c r="O738" s="1370"/>
      <c r="P738" s="1371"/>
      <c r="Q738" s="1371"/>
      <c r="R738" s="1371"/>
      <c r="S738" s="1372"/>
      <c r="T738" s="1370"/>
      <c r="U738" s="1371"/>
      <c r="V738" s="1371"/>
      <c r="W738" s="1372"/>
      <c r="X738" s="1607">
        <f t="shared" si="8"/>
        <v>0</v>
      </c>
      <c r="Y738" s="1422"/>
      <c r="Z738" s="1422"/>
      <c r="AA738" s="1422"/>
      <c r="AB738" s="1608"/>
      <c r="AC738" s="1473"/>
      <c r="AD738" s="1474"/>
      <c r="AE738" s="1474"/>
      <c r="AF738" s="1474"/>
      <c r="AG738" s="1475"/>
      <c r="AH738" s="1470" t="str">
        <f t="shared" si="35"/>
        <v/>
      </c>
      <c r="AI738" s="1471"/>
      <c r="AJ738" s="1472"/>
      <c r="AK738" s="1355" t="s">
        <v>591</v>
      </c>
      <c r="AL738" s="1356"/>
      <c r="AM738" s="1356"/>
      <c r="AN738" s="1356"/>
      <c r="AO738" s="1357"/>
      <c r="AP738" s="3"/>
      <c r="AQ738" s="3"/>
      <c r="AR738" s="3"/>
      <c r="AS738" s="3"/>
      <c r="AY738" s="1087"/>
      <c r="AZ738" s="118" t="str">
        <f>IF($G738=0,"N/A",VLOOKUP($T$189,TC_Rent,(MATCH($B738,bedrooms,FALSE)),FALSE))</f>
        <v>N/A</v>
      </c>
      <c r="BA738" s="3"/>
      <c r="BE738" s="205"/>
      <c r="BF738" s="295">
        <f t="shared" si="9"/>
        <v>0</v>
      </c>
      <c r="BG738" s="298">
        <f t="shared" si="10"/>
        <v>0</v>
      </c>
      <c r="BH738" s="299" t="str">
        <f t="shared" si="11"/>
        <v/>
      </c>
      <c r="BK738" s="3"/>
      <c r="BL738" s="3"/>
      <c r="BM738" s="3"/>
      <c r="BN738" s="3"/>
      <c r="BS738" s="295">
        <f t="shared" si="12"/>
        <v>0</v>
      </c>
      <c r="BT738" s="298">
        <f t="shared" si="13"/>
        <v>0</v>
      </c>
      <c r="BU738" s="299" t="str">
        <f t="shared" si="14"/>
        <v/>
      </c>
      <c r="BV738" s="3"/>
      <c r="BW738" s="3"/>
      <c r="BX738" s="3"/>
      <c r="BY738" s="3"/>
      <c r="BZ738" s="3"/>
      <c r="CA738" s="3"/>
      <c r="CB738" s="3"/>
      <c r="CC738" s="3"/>
      <c r="CE738" s="3"/>
      <c r="CF738" s="3"/>
      <c r="CG738" s="1495">
        <f t="shared" si="36"/>
        <v>0</v>
      </c>
      <c r="CH738" s="1497"/>
      <c r="CI738" s="1489">
        <f t="shared" si="37"/>
        <v>0</v>
      </c>
      <c r="CJ738" s="1491"/>
      <c r="CK738" s="1495">
        <f t="shared" si="15"/>
        <v>0</v>
      </c>
      <c r="CL738" s="1497"/>
      <c r="CM738" s="1489">
        <f t="shared" si="16"/>
        <v>0</v>
      </c>
      <c r="CN738" s="1491"/>
      <c r="CO738" s="3"/>
      <c r="CP738" s="1485">
        <f t="shared" si="17"/>
        <v>0</v>
      </c>
      <c r="CQ738" s="1486"/>
      <c r="CR738" s="1486"/>
      <c r="CS738" s="1486"/>
      <c r="CT738" s="1487"/>
      <c r="CU738" s="1463">
        <f t="shared" si="18"/>
        <v>0</v>
      </c>
      <c r="CV738" s="1463"/>
      <c r="CW738" s="1463"/>
      <c r="CX738" s="1463"/>
      <c r="CY738" s="1463"/>
      <c r="CZ738" s="1463">
        <f t="shared" si="19"/>
        <v>0</v>
      </c>
      <c r="DA738" s="1463"/>
      <c r="DB738" s="1463"/>
      <c r="DC738" s="1463"/>
      <c r="DD738" s="1463"/>
      <c r="DE738" s="1463">
        <f t="shared" si="20"/>
        <v>0</v>
      </c>
      <c r="DF738" s="1463"/>
      <c r="DG738" s="1463"/>
      <c r="DH738" s="1463"/>
      <c r="DI738" s="1463"/>
      <c r="DJ738" s="1463">
        <f t="shared" si="21"/>
        <v>0</v>
      </c>
      <c r="DK738" s="1463"/>
      <c r="DL738" s="1463"/>
      <c r="DM738" s="1463"/>
      <c r="DN738" s="1463"/>
      <c r="DO738" s="1463">
        <f t="shared" si="22"/>
        <v>0</v>
      </c>
      <c r="DP738" s="1463"/>
      <c r="DQ738" s="1463"/>
      <c r="DR738" s="1463"/>
      <c r="DS738" s="1463"/>
      <c r="DT738" s="6"/>
      <c r="DU738" s="1465">
        <f t="shared" si="23"/>
        <v>0</v>
      </c>
      <c r="DV738" s="1465"/>
      <c r="DW738" s="1465"/>
      <c r="DX738" s="1465"/>
      <c r="DY738" s="1465"/>
      <c r="DZ738" s="1465">
        <f t="shared" si="24"/>
        <v>0</v>
      </c>
      <c r="EA738" s="1465"/>
      <c r="EB738" s="1465"/>
      <c r="EC738" s="1465"/>
      <c r="ED738" s="1465"/>
      <c r="EE738" s="1465">
        <f t="shared" si="25"/>
        <v>0</v>
      </c>
      <c r="EF738" s="1465"/>
      <c r="EG738" s="1465"/>
      <c r="EH738" s="1465"/>
      <c r="EI738" s="1465"/>
      <c r="EJ738" s="1465">
        <f t="shared" si="26"/>
        <v>0</v>
      </c>
      <c r="EK738" s="1465"/>
      <c r="EL738" s="1465"/>
      <c r="EM738" s="1465"/>
      <c r="EN738" s="1465"/>
      <c r="EO738" s="1465">
        <f t="shared" si="27"/>
        <v>0</v>
      </c>
      <c r="EP738" s="1465"/>
      <c r="EQ738" s="1465"/>
      <c r="ER738" s="1465"/>
      <c r="ES738" s="1465"/>
      <c r="ET738" s="1465">
        <f t="shared" si="28"/>
        <v>0</v>
      </c>
      <c r="EU738" s="1465"/>
      <c r="EV738" s="1465"/>
      <c r="EW738" s="1465"/>
      <c r="EX738" s="1465"/>
      <c r="EZ738" s="1495" t="str">
        <f t="shared" si="29"/>
        <v/>
      </c>
      <c r="FA738" s="1496"/>
      <c r="FB738" s="1496"/>
      <c r="FC738" s="1496"/>
      <c r="FD738" s="1497"/>
      <c r="FE738" s="1495" t="str">
        <f t="shared" si="30"/>
        <v/>
      </c>
      <c r="FF738" s="1496"/>
      <c r="FG738" s="1496"/>
      <c r="FH738" s="1496"/>
      <c r="FI738" s="1497"/>
      <c r="FJ738" s="1495" t="str">
        <f t="shared" si="31"/>
        <v/>
      </c>
      <c r="FK738" s="1496"/>
      <c r="FL738" s="1496"/>
      <c r="FM738" s="1496"/>
      <c r="FN738" s="1497"/>
      <c r="FO738" s="1495" t="str">
        <f t="shared" si="32"/>
        <v/>
      </c>
      <c r="FP738" s="1496"/>
      <c r="FQ738" s="1496"/>
      <c r="FR738" s="1496"/>
      <c r="FS738" s="1497"/>
      <c r="FT738" s="1495" t="str">
        <f t="shared" si="33"/>
        <v/>
      </c>
      <c r="FU738" s="1496"/>
      <c r="FV738" s="1496"/>
      <c r="FW738" s="1496"/>
      <c r="FX738" s="1497"/>
      <c r="FY738" s="1495" t="str">
        <f t="shared" si="34"/>
        <v/>
      </c>
      <c r="FZ738" s="1496"/>
      <c r="GA738" s="1496"/>
      <c r="GB738" s="1496"/>
      <c r="GC738" s="1497"/>
    </row>
    <row r="739" spans="1:185" ht="12.95" customHeight="1">
      <c r="B739" s="1355"/>
      <c r="C739" s="1356"/>
      <c r="D739" s="1356"/>
      <c r="E739" s="1356"/>
      <c r="F739" s="1357"/>
      <c r="G739" s="1349"/>
      <c r="H739" s="1350"/>
      <c r="I739" s="1350"/>
      <c r="J739" s="1351"/>
      <c r="K739" s="1352"/>
      <c r="L739" s="1353"/>
      <c r="M739" s="1353"/>
      <c r="N739" s="1354"/>
      <c r="O739" s="1370"/>
      <c r="P739" s="1371"/>
      <c r="Q739" s="1371"/>
      <c r="R739" s="1371"/>
      <c r="S739" s="1372"/>
      <c r="T739" s="1370"/>
      <c r="U739" s="1371"/>
      <c r="V739" s="1371"/>
      <c r="W739" s="1372"/>
      <c r="X739" s="1607">
        <f t="shared" si="8"/>
        <v>0</v>
      </c>
      <c r="Y739" s="1422"/>
      <c r="Z739" s="1422"/>
      <c r="AA739" s="1422"/>
      <c r="AB739" s="1608"/>
      <c r="AC739" s="1473"/>
      <c r="AD739" s="1474"/>
      <c r="AE739" s="1474"/>
      <c r="AF739" s="1474"/>
      <c r="AG739" s="1475"/>
      <c r="AH739" s="1470" t="str">
        <f t="shared" si="35"/>
        <v/>
      </c>
      <c r="AI739" s="1471"/>
      <c r="AJ739" s="1472"/>
      <c r="AK739" s="1355" t="s">
        <v>591</v>
      </c>
      <c r="AL739" s="1356"/>
      <c r="AM739" s="1356"/>
      <c r="AN739" s="1356"/>
      <c r="AO739" s="1357"/>
      <c r="AP739" s="3"/>
      <c r="AQ739" s="3"/>
      <c r="AR739" s="3"/>
      <c r="AS739" s="3"/>
      <c r="AY739" s="1087"/>
      <c r="AZ739" s="118" t="str">
        <f>IF($G739=0,"N/A",VLOOKUP($T$189,TC_Rent,(MATCH($B739,bedrooms,FALSE)),FALSE))</f>
        <v>N/A</v>
      </c>
      <c r="BA739" s="3"/>
      <c r="BE739" s="205"/>
      <c r="BF739" s="295">
        <f t="shared" si="9"/>
        <v>0</v>
      </c>
      <c r="BG739" s="298">
        <f t="shared" si="10"/>
        <v>0</v>
      </c>
      <c r="BH739" s="299" t="str">
        <f t="shared" si="11"/>
        <v/>
      </c>
      <c r="BK739" s="3"/>
      <c r="BL739" s="3"/>
      <c r="BM739" s="3"/>
      <c r="BN739" s="3"/>
      <c r="BS739" s="295">
        <f t="shared" si="12"/>
        <v>0</v>
      </c>
      <c r="BT739" s="298">
        <f t="shared" si="13"/>
        <v>0</v>
      </c>
      <c r="BU739" s="299" t="str">
        <f t="shared" si="14"/>
        <v/>
      </c>
      <c r="BV739" s="3"/>
      <c r="BW739" s="3"/>
      <c r="BX739" s="3"/>
      <c r="BY739" s="3"/>
      <c r="BZ739" s="3"/>
      <c r="CA739" s="3"/>
      <c r="CB739" s="3"/>
      <c r="CC739" s="3"/>
      <c r="CE739" s="3"/>
      <c r="CF739" s="3"/>
      <c r="CG739" s="1495">
        <f t="shared" si="36"/>
        <v>0</v>
      </c>
      <c r="CH739" s="1497"/>
      <c r="CI739" s="1489">
        <f t="shared" si="37"/>
        <v>0</v>
      </c>
      <c r="CJ739" s="1491"/>
      <c r="CK739" s="1495">
        <f t="shared" si="15"/>
        <v>0</v>
      </c>
      <c r="CL739" s="1497"/>
      <c r="CM739" s="1489">
        <f t="shared" si="16"/>
        <v>0</v>
      </c>
      <c r="CN739" s="1491"/>
      <c r="CO739" s="3"/>
      <c r="CP739" s="1485">
        <f t="shared" si="17"/>
        <v>0</v>
      </c>
      <c r="CQ739" s="1486"/>
      <c r="CR739" s="1486"/>
      <c r="CS739" s="1486"/>
      <c r="CT739" s="1487"/>
      <c r="CU739" s="1463">
        <f t="shared" si="18"/>
        <v>0</v>
      </c>
      <c r="CV739" s="1463"/>
      <c r="CW739" s="1463"/>
      <c r="CX739" s="1463"/>
      <c r="CY739" s="1463"/>
      <c r="CZ739" s="1463">
        <f t="shared" si="19"/>
        <v>0</v>
      </c>
      <c r="DA739" s="1463"/>
      <c r="DB739" s="1463"/>
      <c r="DC739" s="1463"/>
      <c r="DD739" s="1463"/>
      <c r="DE739" s="1463">
        <f t="shared" si="20"/>
        <v>0</v>
      </c>
      <c r="DF739" s="1463"/>
      <c r="DG739" s="1463"/>
      <c r="DH739" s="1463"/>
      <c r="DI739" s="1463"/>
      <c r="DJ739" s="1463">
        <f t="shared" si="21"/>
        <v>0</v>
      </c>
      <c r="DK739" s="1463"/>
      <c r="DL739" s="1463"/>
      <c r="DM739" s="1463"/>
      <c r="DN739" s="1463"/>
      <c r="DO739" s="1463">
        <f t="shared" si="22"/>
        <v>0</v>
      </c>
      <c r="DP739" s="1463"/>
      <c r="DQ739" s="1463"/>
      <c r="DR739" s="1463"/>
      <c r="DS739" s="1463"/>
      <c r="DT739" s="6"/>
      <c r="DU739" s="1465">
        <f t="shared" si="23"/>
        <v>0</v>
      </c>
      <c r="DV739" s="1465"/>
      <c r="DW739" s="1465"/>
      <c r="DX739" s="1465"/>
      <c r="DY739" s="1465"/>
      <c r="DZ739" s="1465">
        <f t="shared" si="24"/>
        <v>0</v>
      </c>
      <c r="EA739" s="1465"/>
      <c r="EB739" s="1465"/>
      <c r="EC739" s="1465"/>
      <c r="ED739" s="1465"/>
      <c r="EE739" s="1465">
        <f t="shared" si="25"/>
        <v>0</v>
      </c>
      <c r="EF739" s="1465"/>
      <c r="EG739" s="1465"/>
      <c r="EH739" s="1465"/>
      <c r="EI739" s="1465"/>
      <c r="EJ739" s="1465">
        <f t="shared" si="26"/>
        <v>0</v>
      </c>
      <c r="EK739" s="1465"/>
      <c r="EL739" s="1465"/>
      <c r="EM739" s="1465"/>
      <c r="EN739" s="1465"/>
      <c r="EO739" s="1465">
        <f t="shared" si="27"/>
        <v>0</v>
      </c>
      <c r="EP739" s="1465"/>
      <c r="EQ739" s="1465"/>
      <c r="ER739" s="1465"/>
      <c r="ES739" s="1465"/>
      <c r="ET739" s="1465">
        <f t="shared" si="28"/>
        <v>0</v>
      </c>
      <c r="EU739" s="1465"/>
      <c r="EV739" s="1465"/>
      <c r="EW739" s="1465"/>
      <c r="EX739" s="1465"/>
      <c r="EZ739" s="1495" t="str">
        <f t="shared" si="29"/>
        <v/>
      </c>
      <c r="FA739" s="1496"/>
      <c r="FB739" s="1496"/>
      <c r="FC739" s="1496"/>
      <c r="FD739" s="1497"/>
      <c r="FE739" s="1495" t="str">
        <f t="shared" si="30"/>
        <v/>
      </c>
      <c r="FF739" s="1496"/>
      <c r="FG739" s="1496"/>
      <c r="FH739" s="1496"/>
      <c r="FI739" s="1497"/>
      <c r="FJ739" s="1495" t="str">
        <f t="shared" si="31"/>
        <v/>
      </c>
      <c r="FK739" s="1496"/>
      <c r="FL739" s="1496"/>
      <c r="FM739" s="1496"/>
      <c r="FN739" s="1497"/>
      <c r="FO739" s="1495" t="str">
        <f t="shared" si="32"/>
        <v/>
      </c>
      <c r="FP739" s="1496"/>
      <c r="FQ739" s="1496"/>
      <c r="FR739" s="1496"/>
      <c r="FS739" s="1497"/>
      <c r="FT739" s="1495" t="str">
        <f t="shared" si="33"/>
        <v/>
      </c>
      <c r="FU739" s="1496"/>
      <c r="FV739" s="1496"/>
      <c r="FW739" s="1496"/>
      <c r="FX739" s="1497"/>
      <c r="FY739" s="1495" t="str">
        <f t="shared" si="34"/>
        <v/>
      </c>
      <c r="FZ739" s="1496"/>
      <c r="GA739" s="1496"/>
      <c r="GB739" s="1496"/>
      <c r="GC739" s="1497"/>
    </row>
    <row r="740" spans="1:185" ht="12.95" customHeight="1">
      <c r="B740" s="1355"/>
      <c r="C740" s="1356"/>
      <c r="D740" s="1356"/>
      <c r="E740" s="1356"/>
      <c r="F740" s="1357"/>
      <c r="G740" s="1349"/>
      <c r="H740" s="1350"/>
      <c r="I740" s="1350"/>
      <c r="J740" s="1351"/>
      <c r="K740" s="1352"/>
      <c r="L740" s="1353"/>
      <c r="M740" s="1353"/>
      <c r="N740" s="1354"/>
      <c r="O740" s="1370"/>
      <c r="P740" s="1371"/>
      <c r="Q740" s="1371"/>
      <c r="R740" s="1371"/>
      <c r="S740" s="1372"/>
      <c r="T740" s="1370"/>
      <c r="U740" s="1371"/>
      <c r="V740" s="1371"/>
      <c r="W740" s="1372"/>
      <c r="X740" s="1607">
        <f t="shared" si="8"/>
        <v>0</v>
      </c>
      <c r="Y740" s="1422"/>
      <c r="Z740" s="1422"/>
      <c r="AA740" s="1422"/>
      <c r="AB740" s="1608"/>
      <c r="AC740" s="1473"/>
      <c r="AD740" s="1474"/>
      <c r="AE740" s="1474"/>
      <c r="AF740" s="1474"/>
      <c r="AG740" s="1475"/>
      <c r="AH740" s="1470" t="str">
        <f t="shared" si="35"/>
        <v/>
      </c>
      <c r="AI740" s="1471"/>
      <c r="AJ740" s="1472"/>
      <c r="AK740" s="1355" t="s">
        <v>591</v>
      </c>
      <c r="AL740" s="1356"/>
      <c r="AM740" s="1356"/>
      <c r="AN740" s="1356"/>
      <c r="AO740" s="1357"/>
      <c r="AP740" s="3"/>
      <c r="AQ740" s="3"/>
      <c r="AR740" s="3"/>
      <c r="AS740" s="3"/>
      <c r="AY740" s="1087"/>
      <c r="AZ740" s="118" t="str">
        <f>IF($G740=0,"N/A",VLOOKUP($T$189,TC_Rent,(MATCH($B740,bedrooms,FALSE)),FALSE))</f>
        <v>N/A</v>
      </c>
      <c r="BA740" s="3"/>
      <c r="BE740" s="205"/>
      <c r="BF740" s="295">
        <f t="shared" si="9"/>
        <v>0</v>
      </c>
      <c r="BG740" s="298">
        <f t="shared" si="10"/>
        <v>0</v>
      </c>
      <c r="BH740" s="299" t="str">
        <f t="shared" si="11"/>
        <v/>
      </c>
      <c r="BK740" s="3"/>
      <c r="BL740" s="3"/>
      <c r="BM740" s="3"/>
      <c r="BN740" s="3"/>
      <c r="BS740" s="295">
        <f t="shared" si="12"/>
        <v>0</v>
      </c>
      <c r="BT740" s="298">
        <f t="shared" si="13"/>
        <v>0</v>
      </c>
      <c r="BU740" s="299" t="str">
        <f t="shared" si="14"/>
        <v/>
      </c>
      <c r="BV740" s="3"/>
      <c r="BW740" s="3"/>
      <c r="BX740" s="3"/>
      <c r="BY740" s="3"/>
      <c r="BZ740" s="3"/>
      <c r="CA740" s="3"/>
      <c r="CB740" s="3"/>
      <c r="CC740" s="3"/>
      <c r="CE740" s="3"/>
      <c r="CF740" s="3"/>
      <c r="CG740" s="1495">
        <f t="shared" si="36"/>
        <v>0</v>
      </c>
      <c r="CH740" s="1497"/>
      <c r="CI740" s="1489">
        <f t="shared" si="37"/>
        <v>0</v>
      </c>
      <c r="CJ740" s="1491"/>
      <c r="CK740" s="1495">
        <f t="shared" si="15"/>
        <v>0</v>
      </c>
      <c r="CL740" s="1497"/>
      <c r="CM740" s="1489">
        <f t="shared" si="16"/>
        <v>0</v>
      </c>
      <c r="CN740" s="1491"/>
      <c r="CO740" s="3"/>
      <c r="CP740" s="1485">
        <f t="shared" si="17"/>
        <v>0</v>
      </c>
      <c r="CQ740" s="1486"/>
      <c r="CR740" s="1486"/>
      <c r="CS740" s="1486"/>
      <c r="CT740" s="1487"/>
      <c r="CU740" s="1463">
        <f t="shared" si="18"/>
        <v>0</v>
      </c>
      <c r="CV740" s="1463"/>
      <c r="CW740" s="1463"/>
      <c r="CX740" s="1463"/>
      <c r="CY740" s="1463"/>
      <c r="CZ740" s="1463">
        <f t="shared" si="19"/>
        <v>0</v>
      </c>
      <c r="DA740" s="1463"/>
      <c r="DB740" s="1463"/>
      <c r="DC740" s="1463"/>
      <c r="DD740" s="1463"/>
      <c r="DE740" s="1463">
        <f t="shared" si="20"/>
        <v>0</v>
      </c>
      <c r="DF740" s="1463"/>
      <c r="DG740" s="1463"/>
      <c r="DH740" s="1463"/>
      <c r="DI740" s="1463"/>
      <c r="DJ740" s="1463">
        <f t="shared" si="21"/>
        <v>0</v>
      </c>
      <c r="DK740" s="1463"/>
      <c r="DL740" s="1463"/>
      <c r="DM740" s="1463"/>
      <c r="DN740" s="1463"/>
      <c r="DO740" s="1463">
        <f t="shared" si="22"/>
        <v>0</v>
      </c>
      <c r="DP740" s="1463"/>
      <c r="DQ740" s="1463"/>
      <c r="DR740" s="1463"/>
      <c r="DS740" s="1463"/>
      <c r="DT740" s="6"/>
      <c r="DU740" s="1465">
        <f t="shared" si="23"/>
        <v>0</v>
      </c>
      <c r="DV740" s="1465"/>
      <c r="DW740" s="1465"/>
      <c r="DX740" s="1465"/>
      <c r="DY740" s="1465"/>
      <c r="DZ740" s="1465">
        <f t="shared" si="24"/>
        <v>0</v>
      </c>
      <c r="EA740" s="1465"/>
      <c r="EB740" s="1465"/>
      <c r="EC740" s="1465"/>
      <c r="ED740" s="1465"/>
      <c r="EE740" s="1465">
        <f t="shared" si="25"/>
        <v>0</v>
      </c>
      <c r="EF740" s="1465"/>
      <c r="EG740" s="1465"/>
      <c r="EH740" s="1465"/>
      <c r="EI740" s="1465"/>
      <c r="EJ740" s="1465">
        <f t="shared" si="26"/>
        <v>0</v>
      </c>
      <c r="EK740" s="1465"/>
      <c r="EL740" s="1465"/>
      <c r="EM740" s="1465"/>
      <c r="EN740" s="1465"/>
      <c r="EO740" s="1465">
        <f t="shared" si="27"/>
        <v>0</v>
      </c>
      <c r="EP740" s="1465"/>
      <c r="EQ740" s="1465"/>
      <c r="ER740" s="1465"/>
      <c r="ES740" s="1465"/>
      <c r="ET740" s="1465">
        <f t="shared" si="28"/>
        <v>0</v>
      </c>
      <c r="EU740" s="1465"/>
      <c r="EV740" s="1465"/>
      <c r="EW740" s="1465"/>
      <c r="EX740" s="1465"/>
      <c r="EZ740" s="1495" t="str">
        <f t="shared" si="29"/>
        <v/>
      </c>
      <c r="FA740" s="1496"/>
      <c r="FB740" s="1496"/>
      <c r="FC740" s="1496"/>
      <c r="FD740" s="1497"/>
      <c r="FE740" s="1495" t="str">
        <f t="shared" si="30"/>
        <v/>
      </c>
      <c r="FF740" s="1496"/>
      <c r="FG740" s="1496"/>
      <c r="FH740" s="1496"/>
      <c r="FI740" s="1497"/>
      <c r="FJ740" s="1495" t="str">
        <f t="shared" si="31"/>
        <v/>
      </c>
      <c r="FK740" s="1496"/>
      <c r="FL740" s="1496"/>
      <c r="FM740" s="1496"/>
      <c r="FN740" s="1497"/>
      <c r="FO740" s="1495" t="str">
        <f t="shared" si="32"/>
        <v/>
      </c>
      <c r="FP740" s="1496"/>
      <c r="FQ740" s="1496"/>
      <c r="FR740" s="1496"/>
      <c r="FS740" s="1497"/>
      <c r="FT740" s="1495" t="str">
        <f t="shared" si="33"/>
        <v/>
      </c>
      <c r="FU740" s="1496"/>
      <c r="FV740" s="1496"/>
      <c r="FW740" s="1496"/>
      <c r="FX740" s="1497"/>
      <c r="FY740" s="1495" t="str">
        <f t="shared" si="34"/>
        <v/>
      </c>
      <c r="FZ740" s="1496"/>
      <c r="GA740" s="1496"/>
      <c r="GB740" s="1496"/>
      <c r="GC740" s="1497"/>
    </row>
    <row r="741" spans="1:185" ht="12.95" customHeight="1">
      <c r="B741" s="1355"/>
      <c r="C741" s="1356"/>
      <c r="D741" s="1356"/>
      <c r="E741" s="1356"/>
      <c r="F741" s="1357"/>
      <c r="G741" s="1349"/>
      <c r="H741" s="1350"/>
      <c r="I741" s="1350"/>
      <c r="J741" s="1351"/>
      <c r="K741" s="1352"/>
      <c r="L741" s="1353"/>
      <c r="M741" s="1353"/>
      <c r="N741" s="1354"/>
      <c r="O741" s="1370"/>
      <c r="P741" s="1371"/>
      <c r="Q741" s="1371"/>
      <c r="R741" s="1371"/>
      <c r="S741" s="1372"/>
      <c r="T741" s="1370"/>
      <c r="U741" s="1371"/>
      <c r="V741" s="1371"/>
      <c r="W741" s="1372"/>
      <c r="X741" s="1607">
        <f t="shared" si="8"/>
        <v>0</v>
      </c>
      <c r="Y741" s="1422"/>
      <c r="Z741" s="1422"/>
      <c r="AA741" s="1422"/>
      <c r="AB741" s="1608"/>
      <c r="AC741" s="1473"/>
      <c r="AD741" s="1474"/>
      <c r="AE741" s="1474"/>
      <c r="AF741" s="1474"/>
      <c r="AG741" s="1475"/>
      <c r="AH741" s="1470" t="str">
        <f t="shared" si="35"/>
        <v/>
      </c>
      <c r="AI741" s="1471"/>
      <c r="AJ741" s="1472"/>
      <c r="AK741" s="1355" t="s">
        <v>591</v>
      </c>
      <c r="AL741" s="1356"/>
      <c r="AM741" s="1356"/>
      <c r="AN741" s="1356"/>
      <c r="AO741" s="1357"/>
      <c r="AP741" s="3"/>
      <c r="AQ741" s="3"/>
      <c r="AR741" s="3"/>
      <c r="AS741" s="3"/>
      <c r="AY741" s="1087"/>
      <c r="AZ741" s="118" t="str">
        <f>IF($G741=0,"N/A",VLOOKUP($T$189,TC_Rent,(MATCH($B741,bedrooms,FALSE)),FALSE))</f>
        <v>N/A</v>
      </c>
      <c r="BA741" s="3"/>
      <c r="BE741" s="205"/>
      <c r="BF741" s="295">
        <f t="shared" si="9"/>
        <v>0</v>
      </c>
      <c r="BG741" s="298">
        <f t="shared" si="10"/>
        <v>0</v>
      </c>
      <c r="BH741" s="299" t="str">
        <f t="shared" si="11"/>
        <v/>
      </c>
      <c r="BK741" s="3"/>
      <c r="BL741" s="3"/>
      <c r="BM741" s="3"/>
      <c r="BN741" s="3"/>
      <c r="BS741" s="295">
        <f t="shared" si="12"/>
        <v>0</v>
      </c>
      <c r="BT741" s="298">
        <f t="shared" si="13"/>
        <v>0</v>
      </c>
      <c r="BU741" s="299" t="str">
        <f t="shared" si="14"/>
        <v/>
      </c>
      <c r="BV741" s="3"/>
      <c r="BW741" s="3"/>
      <c r="BX741" s="3"/>
      <c r="BY741" s="3"/>
      <c r="BZ741" s="3"/>
      <c r="CA741" s="3"/>
      <c r="CB741" s="3"/>
      <c r="CC741" s="3"/>
      <c r="CE741" s="3"/>
      <c r="CF741" s="3"/>
      <c r="CG741" s="1495">
        <f t="shared" si="36"/>
        <v>0</v>
      </c>
      <c r="CH741" s="1497"/>
      <c r="CI741" s="1489">
        <f t="shared" si="37"/>
        <v>0</v>
      </c>
      <c r="CJ741" s="1491"/>
      <c r="CK741" s="1495">
        <f t="shared" si="15"/>
        <v>0</v>
      </c>
      <c r="CL741" s="1497"/>
      <c r="CM741" s="1489">
        <f t="shared" si="16"/>
        <v>0</v>
      </c>
      <c r="CN741" s="1491"/>
      <c r="CO741" s="3"/>
      <c r="CP741" s="1485">
        <f t="shared" si="17"/>
        <v>0</v>
      </c>
      <c r="CQ741" s="1486"/>
      <c r="CR741" s="1486"/>
      <c r="CS741" s="1486"/>
      <c r="CT741" s="1487"/>
      <c r="CU741" s="1463">
        <f t="shared" si="18"/>
        <v>0</v>
      </c>
      <c r="CV741" s="1463"/>
      <c r="CW741" s="1463"/>
      <c r="CX741" s="1463"/>
      <c r="CY741" s="1463"/>
      <c r="CZ741" s="1463">
        <f t="shared" si="19"/>
        <v>0</v>
      </c>
      <c r="DA741" s="1463"/>
      <c r="DB741" s="1463"/>
      <c r="DC741" s="1463"/>
      <c r="DD741" s="1463"/>
      <c r="DE741" s="1463">
        <f t="shared" si="20"/>
        <v>0</v>
      </c>
      <c r="DF741" s="1463"/>
      <c r="DG741" s="1463"/>
      <c r="DH741" s="1463"/>
      <c r="DI741" s="1463"/>
      <c r="DJ741" s="1463">
        <f t="shared" si="21"/>
        <v>0</v>
      </c>
      <c r="DK741" s="1463"/>
      <c r="DL741" s="1463"/>
      <c r="DM741" s="1463"/>
      <c r="DN741" s="1463"/>
      <c r="DO741" s="1463">
        <f t="shared" si="22"/>
        <v>0</v>
      </c>
      <c r="DP741" s="1463"/>
      <c r="DQ741" s="1463"/>
      <c r="DR741" s="1463"/>
      <c r="DS741" s="1463"/>
      <c r="DT741" s="6"/>
      <c r="DU741" s="1465">
        <f t="shared" si="23"/>
        <v>0</v>
      </c>
      <c r="DV741" s="1465"/>
      <c r="DW741" s="1465"/>
      <c r="DX741" s="1465"/>
      <c r="DY741" s="1465"/>
      <c r="DZ741" s="1465">
        <f t="shared" si="24"/>
        <v>0</v>
      </c>
      <c r="EA741" s="1465"/>
      <c r="EB741" s="1465"/>
      <c r="EC741" s="1465"/>
      <c r="ED741" s="1465"/>
      <c r="EE741" s="1465">
        <f t="shared" si="25"/>
        <v>0</v>
      </c>
      <c r="EF741" s="1465"/>
      <c r="EG741" s="1465"/>
      <c r="EH741" s="1465"/>
      <c r="EI741" s="1465"/>
      <c r="EJ741" s="1465">
        <f t="shared" si="26"/>
        <v>0</v>
      </c>
      <c r="EK741" s="1465"/>
      <c r="EL741" s="1465"/>
      <c r="EM741" s="1465"/>
      <c r="EN741" s="1465"/>
      <c r="EO741" s="1465">
        <f t="shared" si="27"/>
        <v>0</v>
      </c>
      <c r="EP741" s="1465"/>
      <c r="EQ741" s="1465"/>
      <c r="ER741" s="1465"/>
      <c r="ES741" s="1465"/>
      <c r="ET741" s="1465">
        <f t="shared" si="28"/>
        <v>0</v>
      </c>
      <c r="EU741" s="1465"/>
      <c r="EV741" s="1465"/>
      <c r="EW741" s="1465"/>
      <c r="EX741" s="1465"/>
      <c r="EZ741" s="1495" t="str">
        <f t="shared" si="29"/>
        <v/>
      </c>
      <c r="FA741" s="1496"/>
      <c r="FB741" s="1496"/>
      <c r="FC741" s="1496"/>
      <c r="FD741" s="1497"/>
      <c r="FE741" s="1495" t="str">
        <f t="shared" si="30"/>
        <v/>
      </c>
      <c r="FF741" s="1496"/>
      <c r="FG741" s="1496"/>
      <c r="FH741" s="1496"/>
      <c r="FI741" s="1497"/>
      <c r="FJ741" s="1495" t="str">
        <f t="shared" si="31"/>
        <v/>
      </c>
      <c r="FK741" s="1496"/>
      <c r="FL741" s="1496"/>
      <c r="FM741" s="1496"/>
      <c r="FN741" s="1497"/>
      <c r="FO741" s="1495" t="str">
        <f t="shared" si="32"/>
        <v/>
      </c>
      <c r="FP741" s="1496"/>
      <c r="FQ741" s="1496"/>
      <c r="FR741" s="1496"/>
      <c r="FS741" s="1497"/>
      <c r="FT741" s="1495" t="str">
        <f t="shared" si="33"/>
        <v/>
      </c>
      <c r="FU741" s="1496"/>
      <c r="FV741" s="1496"/>
      <c r="FW741" s="1496"/>
      <c r="FX741" s="1497"/>
      <c r="FY741" s="1495" t="str">
        <f t="shared" si="34"/>
        <v/>
      </c>
      <c r="FZ741" s="1496"/>
      <c r="GA741" s="1496"/>
      <c r="GB741" s="1496"/>
      <c r="GC741" s="1497"/>
    </row>
    <row r="742" spans="1:185" ht="12.95" customHeight="1">
      <c r="B742" s="1355"/>
      <c r="C742" s="1356"/>
      <c r="D742" s="1356"/>
      <c r="E742" s="1356"/>
      <c r="F742" s="1357"/>
      <c r="G742" s="1349"/>
      <c r="H742" s="1350"/>
      <c r="I742" s="1350"/>
      <c r="J742" s="1351"/>
      <c r="K742" s="1352"/>
      <c r="L742" s="1353"/>
      <c r="M742" s="1353"/>
      <c r="N742" s="1354"/>
      <c r="O742" s="1370"/>
      <c r="P742" s="1371"/>
      <c r="Q742" s="1371"/>
      <c r="R742" s="1371"/>
      <c r="S742" s="1372"/>
      <c r="T742" s="1370"/>
      <c r="U742" s="1371"/>
      <c r="V742" s="1371"/>
      <c r="W742" s="1372"/>
      <c r="X742" s="1607">
        <f t="shared" ref="X742:X751" si="38">O742+T742</f>
        <v>0</v>
      </c>
      <c r="Y742" s="1422"/>
      <c r="Z742" s="1422"/>
      <c r="AA742" s="1422"/>
      <c r="AB742" s="1608"/>
      <c r="AC742" s="1473"/>
      <c r="AD742" s="1474"/>
      <c r="AE742" s="1474"/>
      <c r="AF742" s="1474"/>
      <c r="AG742" s="1475"/>
      <c r="AH742" s="1470" t="str">
        <f t="shared" si="35"/>
        <v/>
      </c>
      <c r="AI742" s="1471"/>
      <c r="AJ742" s="1472"/>
      <c r="AK742" s="1355" t="s">
        <v>591</v>
      </c>
      <c r="AL742" s="1356"/>
      <c r="AM742" s="1356"/>
      <c r="AN742" s="1356"/>
      <c r="AO742" s="1357"/>
      <c r="AP742" s="3"/>
      <c r="AQ742" s="3"/>
      <c r="AR742" s="3"/>
      <c r="AS742" s="3"/>
      <c r="AY742" s="1087"/>
      <c r="AZ742" s="118" t="str">
        <f>IF($G742=0,"N/A",VLOOKUP($T$189,TC_Rent,(MATCH($B742,bedrooms,FALSE)),FALSE))</f>
        <v>N/A</v>
      </c>
      <c r="BA742" s="3"/>
      <c r="BB742" s="3"/>
      <c r="BE742" s="205"/>
      <c r="BF742" s="295">
        <f t="shared" si="9"/>
        <v>0</v>
      </c>
      <c r="BG742" s="298">
        <f t="shared" si="10"/>
        <v>0</v>
      </c>
      <c r="BH742" s="299" t="str">
        <f t="shared" si="11"/>
        <v/>
      </c>
      <c r="BL742" s="3"/>
      <c r="BM742" s="3"/>
      <c r="BN742" s="3"/>
      <c r="BS742" s="295">
        <f t="shared" si="12"/>
        <v>0</v>
      </c>
      <c r="BT742" s="298">
        <f t="shared" si="13"/>
        <v>0</v>
      </c>
      <c r="BU742" s="299" t="str">
        <f t="shared" si="14"/>
        <v/>
      </c>
      <c r="BV742" s="3"/>
      <c r="BW742" s="3"/>
      <c r="BX742" s="3"/>
      <c r="BY742" s="3"/>
      <c r="BZ742" s="3"/>
      <c r="CA742" s="3"/>
      <c r="CB742" s="3"/>
      <c r="CC742" s="3"/>
      <c r="CE742" s="3"/>
      <c r="CF742" s="3"/>
      <c r="CG742" s="1495">
        <f t="shared" si="36"/>
        <v>0</v>
      </c>
      <c r="CH742" s="1497"/>
      <c r="CI742" s="1489">
        <f t="shared" si="37"/>
        <v>0</v>
      </c>
      <c r="CJ742" s="1491"/>
      <c r="CK742" s="1495">
        <f t="shared" si="15"/>
        <v>0</v>
      </c>
      <c r="CL742" s="1497"/>
      <c r="CM742" s="1489">
        <f t="shared" si="16"/>
        <v>0</v>
      </c>
      <c r="CN742" s="1491"/>
      <c r="CO742" s="3"/>
      <c r="CP742" s="1485">
        <f t="shared" si="17"/>
        <v>0</v>
      </c>
      <c r="CQ742" s="1486"/>
      <c r="CR742" s="1486"/>
      <c r="CS742" s="1486"/>
      <c r="CT742" s="1487"/>
      <c r="CU742" s="1463">
        <f t="shared" si="18"/>
        <v>0</v>
      </c>
      <c r="CV742" s="1463"/>
      <c r="CW742" s="1463"/>
      <c r="CX742" s="1463"/>
      <c r="CY742" s="1463"/>
      <c r="CZ742" s="1463">
        <f t="shared" si="19"/>
        <v>0</v>
      </c>
      <c r="DA742" s="1463"/>
      <c r="DB742" s="1463"/>
      <c r="DC742" s="1463"/>
      <c r="DD742" s="1463"/>
      <c r="DE742" s="1463">
        <f t="shared" si="20"/>
        <v>0</v>
      </c>
      <c r="DF742" s="1463"/>
      <c r="DG742" s="1463"/>
      <c r="DH742" s="1463"/>
      <c r="DI742" s="1463"/>
      <c r="DJ742" s="1463">
        <f t="shared" si="21"/>
        <v>0</v>
      </c>
      <c r="DK742" s="1463"/>
      <c r="DL742" s="1463"/>
      <c r="DM742" s="1463"/>
      <c r="DN742" s="1463"/>
      <c r="DO742" s="1463">
        <f t="shared" si="22"/>
        <v>0</v>
      </c>
      <c r="DP742" s="1463"/>
      <c r="DQ742" s="1463"/>
      <c r="DR742" s="1463"/>
      <c r="DS742" s="1463"/>
      <c r="DT742" s="6"/>
      <c r="DU742" s="1465">
        <f t="shared" si="23"/>
        <v>0</v>
      </c>
      <c r="DV742" s="1465"/>
      <c r="DW742" s="1465"/>
      <c r="DX742" s="1465"/>
      <c r="DY742" s="1465"/>
      <c r="DZ742" s="1465">
        <f t="shared" si="24"/>
        <v>0</v>
      </c>
      <c r="EA742" s="1465"/>
      <c r="EB742" s="1465"/>
      <c r="EC742" s="1465"/>
      <c r="ED742" s="1465"/>
      <c r="EE742" s="1465">
        <f t="shared" si="25"/>
        <v>0</v>
      </c>
      <c r="EF742" s="1465"/>
      <c r="EG742" s="1465"/>
      <c r="EH742" s="1465"/>
      <c r="EI742" s="1465"/>
      <c r="EJ742" s="1465">
        <f t="shared" si="26"/>
        <v>0</v>
      </c>
      <c r="EK742" s="1465"/>
      <c r="EL742" s="1465"/>
      <c r="EM742" s="1465"/>
      <c r="EN742" s="1465"/>
      <c r="EO742" s="1465">
        <f t="shared" si="27"/>
        <v>0</v>
      </c>
      <c r="EP742" s="1465"/>
      <c r="EQ742" s="1465"/>
      <c r="ER742" s="1465"/>
      <c r="ES742" s="1465"/>
      <c r="ET742" s="1465">
        <f t="shared" si="28"/>
        <v>0</v>
      </c>
      <c r="EU742" s="1465"/>
      <c r="EV742" s="1465"/>
      <c r="EW742" s="1465"/>
      <c r="EX742" s="1465"/>
      <c r="EZ742" s="1495" t="str">
        <f t="shared" si="29"/>
        <v/>
      </c>
      <c r="FA742" s="1496"/>
      <c r="FB742" s="1496"/>
      <c r="FC742" s="1496"/>
      <c r="FD742" s="1497"/>
      <c r="FE742" s="1495" t="str">
        <f t="shared" si="30"/>
        <v/>
      </c>
      <c r="FF742" s="1496"/>
      <c r="FG742" s="1496"/>
      <c r="FH742" s="1496"/>
      <c r="FI742" s="1497"/>
      <c r="FJ742" s="1495" t="str">
        <f t="shared" si="31"/>
        <v/>
      </c>
      <c r="FK742" s="1496"/>
      <c r="FL742" s="1496"/>
      <c r="FM742" s="1496"/>
      <c r="FN742" s="1497"/>
      <c r="FO742" s="1495" t="str">
        <f t="shared" si="32"/>
        <v/>
      </c>
      <c r="FP742" s="1496"/>
      <c r="FQ742" s="1496"/>
      <c r="FR742" s="1496"/>
      <c r="FS742" s="1497"/>
      <c r="FT742" s="1495" t="str">
        <f t="shared" si="33"/>
        <v/>
      </c>
      <c r="FU742" s="1496"/>
      <c r="FV742" s="1496"/>
      <c r="FW742" s="1496"/>
      <c r="FX742" s="1497"/>
      <c r="FY742" s="1495" t="str">
        <f t="shared" si="34"/>
        <v/>
      </c>
      <c r="FZ742" s="1496"/>
      <c r="GA742" s="1496"/>
      <c r="GB742" s="1496"/>
      <c r="GC742" s="1497"/>
    </row>
    <row r="743" spans="1:185" s="3" customFormat="1" ht="12.95" customHeight="1">
      <c r="A743"/>
      <c r="B743" s="1355"/>
      <c r="C743" s="1356"/>
      <c r="D743" s="1356"/>
      <c r="E743" s="1356"/>
      <c r="F743" s="1357"/>
      <c r="G743" s="1349"/>
      <c r="H743" s="1350"/>
      <c r="I743" s="1350"/>
      <c r="J743" s="1351"/>
      <c r="K743" s="1352"/>
      <c r="L743" s="1353"/>
      <c r="M743" s="1353"/>
      <c r="N743" s="1354"/>
      <c r="O743" s="1370"/>
      <c r="P743" s="1371"/>
      <c r="Q743" s="1371"/>
      <c r="R743" s="1371"/>
      <c r="S743" s="1372"/>
      <c r="T743" s="1370"/>
      <c r="U743" s="1371"/>
      <c r="V743" s="1371"/>
      <c r="W743" s="1372"/>
      <c r="X743" s="1607">
        <f t="shared" si="38"/>
        <v>0</v>
      </c>
      <c r="Y743" s="1422"/>
      <c r="Z743" s="1422"/>
      <c r="AA743" s="1422"/>
      <c r="AB743" s="1608"/>
      <c r="AC743" s="1473"/>
      <c r="AD743" s="1474"/>
      <c r="AE743" s="1474"/>
      <c r="AF743" s="1474"/>
      <c r="AG743" s="1475"/>
      <c r="AH743" s="1470" t="str">
        <f t="shared" si="35"/>
        <v/>
      </c>
      <c r="AI743" s="1471"/>
      <c r="AJ743" s="1472"/>
      <c r="AK743" s="1355" t="s">
        <v>591</v>
      </c>
      <c r="AL743" s="1356"/>
      <c r="AM743" s="1356"/>
      <c r="AN743" s="1356"/>
      <c r="AO743" s="1357"/>
      <c r="AT743"/>
      <c r="AU743"/>
      <c r="AV743"/>
      <c r="AW743"/>
      <c r="AX743"/>
      <c r="AY743" s="1087"/>
      <c r="AZ743" s="118" t="str">
        <f>IF($G743=0,"N/A",VLOOKUP($T$189,TC_Rent,(MATCH($B743,bedrooms,FALSE)),FALSE))</f>
        <v>N/A</v>
      </c>
      <c r="BD743"/>
      <c r="BE743"/>
      <c r="BF743" s="295">
        <f t="shared" si="9"/>
        <v>0</v>
      </c>
      <c r="BG743" s="298">
        <f t="shared" si="10"/>
        <v>0</v>
      </c>
      <c r="BH743" s="299" t="str">
        <f t="shared" si="11"/>
        <v/>
      </c>
      <c r="BI743"/>
      <c r="BJ743"/>
      <c r="BK743"/>
      <c r="BL743"/>
      <c r="BM743"/>
      <c r="BN743"/>
      <c r="BO743"/>
      <c r="BP743"/>
      <c r="BQ743"/>
      <c r="BR743"/>
      <c r="BS743" s="295">
        <f t="shared" si="12"/>
        <v>0</v>
      </c>
      <c r="BT743" s="298">
        <f t="shared" si="13"/>
        <v>0</v>
      </c>
      <c r="BU743" s="299" t="str">
        <f t="shared" si="14"/>
        <v/>
      </c>
      <c r="CD743"/>
      <c r="CG743" s="1495">
        <f t="shared" si="36"/>
        <v>0</v>
      </c>
      <c r="CH743" s="1497"/>
      <c r="CI743" s="1489">
        <f t="shared" si="37"/>
        <v>0</v>
      </c>
      <c r="CJ743" s="1491"/>
      <c r="CK743" s="1495">
        <f t="shared" si="15"/>
        <v>0</v>
      </c>
      <c r="CL743" s="1497"/>
      <c r="CM743" s="1489">
        <f t="shared" si="16"/>
        <v>0</v>
      </c>
      <c r="CN743" s="1491"/>
      <c r="CP743" s="1485">
        <f t="shared" si="17"/>
        <v>0</v>
      </c>
      <c r="CQ743" s="1486"/>
      <c r="CR743" s="1486"/>
      <c r="CS743" s="1486"/>
      <c r="CT743" s="1487"/>
      <c r="CU743" s="1463">
        <f t="shared" si="18"/>
        <v>0</v>
      </c>
      <c r="CV743" s="1463"/>
      <c r="CW743" s="1463"/>
      <c r="CX743" s="1463"/>
      <c r="CY743" s="1463"/>
      <c r="CZ743" s="1463">
        <f t="shared" si="19"/>
        <v>0</v>
      </c>
      <c r="DA743" s="1463"/>
      <c r="DB743" s="1463"/>
      <c r="DC743" s="1463"/>
      <c r="DD743" s="1463"/>
      <c r="DE743" s="1463">
        <f t="shared" si="20"/>
        <v>0</v>
      </c>
      <c r="DF743" s="1463"/>
      <c r="DG743" s="1463"/>
      <c r="DH743" s="1463"/>
      <c r="DI743" s="1463"/>
      <c r="DJ743" s="1463">
        <f t="shared" si="21"/>
        <v>0</v>
      </c>
      <c r="DK743" s="1463"/>
      <c r="DL743" s="1463"/>
      <c r="DM743" s="1463"/>
      <c r="DN743" s="1463"/>
      <c r="DO743" s="1463">
        <f t="shared" si="22"/>
        <v>0</v>
      </c>
      <c r="DP743" s="1463"/>
      <c r="DQ743" s="1463"/>
      <c r="DR743" s="1463"/>
      <c r="DS743" s="1463"/>
      <c r="DT743" s="6"/>
      <c r="DU743" s="1465">
        <f t="shared" si="23"/>
        <v>0</v>
      </c>
      <c r="DV743" s="1465"/>
      <c r="DW743" s="1465"/>
      <c r="DX743" s="1465"/>
      <c r="DY743" s="1465"/>
      <c r="DZ743" s="1465">
        <f t="shared" si="24"/>
        <v>0</v>
      </c>
      <c r="EA743" s="1465"/>
      <c r="EB743" s="1465"/>
      <c r="EC743" s="1465"/>
      <c r="ED743" s="1465"/>
      <c r="EE743" s="1465">
        <f t="shared" si="25"/>
        <v>0</v>
      </c>
      <c r="EF743" s="1465"/>
      <c r="EG743" s="1465"/>
      <c r="EH743" s="1465"/>
      <c r="EI743" s="1465"/>
      <c r="EJ743" s="1465">
        <f t="shared" si="26"/>
        <v>0</v>
      </c>
      <c r="EK743" s="1465"/>
      <c r="EL743" s="1465"/>
      <c r="EM743" s="1465"/>
      <c r="EN743" s="1465"/>
      <c r="EO743" s="1465">
        <f t="shared" si="27"/>
        <v>0</v>
      </c>
      <c r="EP743" s="1465"/>
      <c r="EQ743" s="1465"/>
      <c r="ER743" s="1465"/>
      <c r="ES743" s="1465"/>
      <c r="ET743" s="1465">
        <f t="shared" si="28"/>
        <v>0</v>
      </c>
      <c r="EU743" s="1465"/>
      <c r="EV743" s="1465"/>
      <c r="EW743" s="1465"/>
      <c r="EX743" s="1465"/>
      <c r="EY743"/>
      <c r="EZ743" s="1495" t="str">
        <f t="shared" si="29"/>
        <v/>
      </c>
      <c r="FA743" s="1496"/>
      <c r="FB743" s="1496"/>
      <c r="FC743" s="1496"/>
      <c r="FD743" s="1497"/>
      <c r="FE743" s="1495" t="str">
        <f t="shared" si="30"/>
        <v/>
      </c>
      <c r="FF743" s="1496"/>
      <c r="FG743" s="1496"/>
      <c r="FH743" s="1496"/>
      <c r="FI743" s="1497"/>
      <c r="FJ743" s="1495" t="str">
        <f t="shared" si="31"/>
        <v/>
      </c>
      <c r="FK743" s="1496"/>
      <c r="FL743" s="1496"/>
      <c r="FM743" s="1496"/>
      <c r="FN743" s="1497"/>
      <c r="FO743" s="1495" t="str">
        <f t="shared" si="32"/>
        <v/>
      </c>
      <c r="FP743" s="1496"/>
      <c r="FQ743" s="1496"/>
      <c r="FR743" s="1496"/>
      <c r="FS743" s="1497"/>
      <c r="FT743" s="1495" t="str">
        <f t="shared" si="33"/>
        <v/>
      </c>
      <c r="FU743" s="1496"/>
      <c r="FV743" s="1496"/>
      <c r="FW743" s="1496"/>
      <c r="FX743" s="1497"/>
      <c r="FY743" s="1495" t="str">
        <f t="shared" si="34"/>
        <v/>
      </c>
      <c r="FZ743" s="1496"/>
      <c r="GA743" s="1496"/>
      <c r="GB743" s="1496"/>
      <c r="GC743" s="1497"/>
    </row>
    <row r="744" spans="1:185" ht="12.95" customHeight="1">
      <c r="B744" s="1355"/>
      <c r="C744" s="1356"/>
      <c r="D744" s="1356"/>
      <c r="E744" s="1356"/>
      <c r="F744" s="1357"/>
      <c r="G744" s="1349"/>
      <c r="H744" s="1350"/>
      <c r="I744" s="1350"/>
      <c r="J744" s="1351"/>
      <c r="K744" s="1352"/>
      <c r="L744" s="1353"/>
      <c r="M744" s="1353"/>
      <c r="N744" s="1354"/>
      <c r="O744" s="1370"/>
      <c r="P744" s="1371"/>
      <c r="Q744" s="1371"/>
      <c r="R744" s="1371"/>
      <c r="S744" s="1372"/>
      <c r="T744" s="1370"/>
      <c r="U744" s="1371"/>
      <c r="V744" s="1371"/>
      <c r="W744" s="1372"/>
      <c r="X744" s="1607">
        <f t="shared" si="38"/>
        <v>0</v>
      </c>
      <c r="Y744" s="1422"/>
      <c r="Z744" s="1422"/>
      <c r="AA744" s="1422"/>
      <c r="AB744" s="1608"/>
      <c r="AC744" s="1473"/>
      <c r="AD744" s="1474"/>
      <c r="AE744" s="1474"/>
      <c r="AF744" s="1474"/>
      <c r="AG744" s="1475"/>
      <c r="AH744" s="1470" t="str">
        <f t="shared" si="35"/>
        <v/>
      </c>
      <c r="AI744" s="1471"/>
      <c r="AJ744" s="1472"/>
      <c r="AK744" s="1355" t="s">
        <v>591</v>
      </c>
      <c r="AL744" s="1356"/>
      <c r="AM744" s="1356"/>
      <c r="AN744" s="1356"/>
      <c r="AO744" s="1357"/>
      <c r="AP744" s="3"/>
      <c r="AQ744" s="3"/>
      <c r="AR744" s="3"/>
      <c r="AS744" s="3"/>
      <c r="AY744" s="1087"/>
      <c r="AZ744" s="118" t="str">
        <f>IF($G744=0,"N/A",VLOOKUP($T$189,TC_Rent,(MATCH($B744,bedrooms,FALSE)),FALSE))</f>
        <v>N/A</v>
      </c>
      <c r="BA744" s="3"/>
      <c r="BB744" s="3"/>
      <c r="BC744" s="3"/>
      <c r="BD744" s="3"/>
      <c r="BE744" s="3"/>
      <c r="BF744" s="295">
        <f t="shared" si="9"/>
        <v>0</v>
      </c>
      <c r="BG744" s="298">
        <f t="shared" si="10"/>
        <v>0</v>
      </c>
      <c r="BH744" s="299" t="str">
        <f t="shared" si="11"/>
        <v/>
      </c>
      <c r="BI744" s="3"/>
      <c r="BJ744" s="3"/>
      <c r="BK744" s="3"/>
      <c r="BL744" s="3"/>
      <c r="BM744" s="3"/>
      <c r="BN744" s="3"/>
      <c r="BS744" s="295">
        <f t="shared" si="12"/>
        <v>0</v>
      </c>
      <c r="BT744" s="298">
        <f t="shared" si="13"/>
        <v>0</v>
      </c>
      <c r="BU744" s="299" t="str">
        <f t="shared" si="14"/>
        <v/>
      </c>
      <c r="BV744" s="3"/>
      <c r="BW744" s="3"/>
      <c r="BX744" s="3"/>
      <c r="BY744" s="3"/>
      <c r="BZ744" s="3"/>
      <c r="CA744" s="3"/>
      <c r="CB744" s="3"/>
      <c r="CC744" s="3"/>
      <c r="CE744" s="3"/>
      <c r="CF744" s="3"/>
      <c r="CG744" s="1495">
        <f t="shared" si="36"/>
        <v>0</v>
      </c>
      <c r="CH744" s="1497"/>
      <c r="CI744" s="1489">
        <f t="shared" si="37"/>
        <v>0</v>
      </c>
      <c r="CJ744" s="1491"/>
      <c r="CK744" s="1495">
        <f t="shared" si="15"/>
        <v>0</v>
      </c>
      <c r="CL744" s="1497"/>
      <c r="CM744" s="1489">
        <f t="shared" si="16"/>
        <v>0</v>
      </c>
      <c r="CN744" s="1491"/>
      <c r="CO744" s="3"/>
      <c r="CP744" s="1485">
        <f t="shared" si="17"/>
        <v>0</v>
      </c>
      <c r="CQ744" s="1486"/>
      <c r="CR744" s="1486"/>
      <c r="CS744" s="1486"/>
      <c r="CT744" s="1487"/>
      <c r="CU744" s="1463">
        <f t="shared" si="18"/>
        <v>0</v>
      </c>
      <c r="CV744" s="1463"/>
      <c r="CW744" s="1463"/>
      <c r="CX744" s="1463"/>
      <c r="CY744" s="1463"/>
      <c r="CZ744" s="1463">
        <f t="shared" si="19"/>
        <v>0</v>
      </c>
      <c r="DA744" s="1463"/>
      <c r="DB744" s="1463"/>
      <c r="DC744" s="1463"/>
      <c r="DD744" s="1463"/>
      <c r="DE744" s="1463">
        <f t="shared" si="20"/>
        <v>0</v>
      </c>
      <c r="DF744" s="1463"/>
      <c r="DG744" s="1463"/>
      <c r="DH744" s="1463"/>
      <c r="DI744" s="1463"/>
      <c r="DJ744" s="1463">
        <f t="shared" si="21"/>
        <v>0</v>
      </c>
      <c r="DK744" s="1463"/>
      <c r="DL744" s="1463"/>
      <c r="DM744" s="1463"/>
      <c r="DN744" s="1463"/>
      <c r="DO744" s="1463">
        <f t="shared" si="22"/>
        <v>0</v>
      </c>
      <c r="DP744" s="1463"/>
      <c r="DQ744" s="1463"/>
      <c r="DR744" s="1463"/>
      <c r="DS744" s="1463"/>
      <c r="DT744" s="6"/>
      <c r="DU744" s="1465">
        <f t="shared" si="23"/>
        <v>0</v>
      </c>
      <c r="DV744" s="1465"/>
      <c r="DW744" s="1465"/>
      <c r="DX744" s="1465"/>
      <c r="DY744" s="1465"/>
      <c r="DZ744" s="1465">
        <f t="shared" si="24"/>
        <v>0</v>
      </c>
      <c r="EA744" s="1465"/>
      <c r="EB744" s="1465"/>
      <c r="EC744" s="1465"/>
      <c r="ED744" s="1465"/>
      <c r="EE744" s="1465">
        <f t="shared" si="25"/>
        <v>0</v>
      </c>
      <c r="EF744" s="1465"/>
      <c r="EG744" s="1465"/>
      <c r="EH744" s="1465"/>
      <c r="EI744" s="1465"/>
      <c r="EJ744" s="1465">
        <f t="shared" si="26"/>
        <v>0</v>
      </c>
      <c r="EK744" s="1465"/>
      <c r="EL744" s="1465"/>
      <c r="EM744" s="1465"/>
      <c r="EN744" s="1465"/>
      <c r="EO744" s="1465">
        <f t="shared" si="27"/>
        <v>0</v>
      </c>
      <c r="EP744" s="1465"/>
      <c r="EQ744" s="1465"/>
      <c r="ER744" s="1465"/>
      <c r="ES744" s="1465"/>
      <c r="ET744" s="1465">
        <f t="shared" si="28"/>
        <v>0</v>
      </c>
      <c r="EU744" s="1465"/>
      <c r="EV744" s="1465"/>
      <c r="EW744" s="1465"/>
      <c r="EX744" s="1465"/>
      <c r="EZ744" s="1495" t="str">
        <f t="shared" si="29"/>
        <v/>
      </c>
      <c r="FA744" s="1496"/>
      <c r="FB744" s="1496"/>
      <c r="FC744" s="1496"/>
      <c r="FD744" s="1497"/>
      <c r="FE744" s="1495" t="str">
        <f t="shared" si="30"/>
        <v/>
      </c>
      <c r="FF744" s="1496"/>
      <c r="FG744" s="1496"/>
      <c r="FH744" s="1496"/>
      <c r="FI744" s="1497"/>
      <c r="FJ744" s="1495" t="str">
        <f t="shared" si="31"/>
        <v/>
      </c>
      <c r="FK744" s="1496"/>
      <c r="FL744" s="1496"/>
      <c r="FM744" s="1496"/>
      <c r="FN744" s="1497"/>
      <c r="FO744" s="1495" t="str">
        <f t="shared" si="32"/>
        <v/>
      </c>
      <c r="FP744" s="1496"/>
      <c r="FQ744" s="1496"/>
      <c r="FR744" s="1496"/>
      <c r="FS744" s="1497"/>
      <c r="FT744" s="1495" t="str">
        <f t="shared" si="33"/>
        <v/>
      </c>
      <c r="FU744" s="1496"/>
      <c r="FV744" s="1496"/>
      <c r="FW744" s="1496"/>
      <c r="FX744" s="1497"/>
      <c r="FY744" s="1495" t="str">
        <f t="shared" si="34"/>
        <v/>
      </c>
      <c r="FZ744" s="1496"/>
      <c r="GA744" s="1496"/>
      <c r="GB744" s="1496"/>
      <c r="GC744" s="1497"/>
    </row>
    <row r="745" spans="1:185" ht="12.95" customHeight="1">
      <c r="B745" s="1355"/>
      <c r="C745" s="1356"/>
      <c r="D745" s="1356"/>
      <c r="E745" s="1356"/>
      <c r="F745" s="1357"/>
      <c r="G745" s="1349"/>
      <c r="H745" s="1350"/>
      <c r="I745" s="1350"/>
      <c r="J745" s="1351"/>
      <c r="K745" s="1352"/>
      <c r="L745" s="1353"/>
      <c r="M745" s="1353"/>
      <c r="N745" s="1354"/>
      <c r="O745" s="1370"/>
      <c r="P745" s="1371"/>
      <c r="Q745" s="1371"/>
      <c r="R745" s="1371"/>
      <c r="S745" s="1372"/>
      <c r="T745" s="1370"/>
      <c r="U745" s="1371"/>
      <c r="V745" s="1371"/>
      <c r="W745" s="1372"/>
      <c r="X745" s="1607">
        <f t="shared" si="38"/>
        <v>0</v>
      </c>
      <c r="Y745" s="1422"/>
      <c r="Z745" s="1422"/>
      <c r="AA745" s="1422"/>
      <c r="AB745" s="1608"/>
      <c r="AC745" s="1473"/>
      <c r="AD745" s="1474"/>
      <c r="AE745" s="1474"/>
      <c r="AF745" s="1474"/>
      <c r="AG745" s="1475"/>
      <c r="AH745" s="1470" t="str">
        <f t="shared" si="35"/>
        <v/>
      </c>
      <c r="AI745" s="1471"/>
      <c r="AJ745" s="1472"/>
      <c r="AK745" s="1355" t="s">
        <v>591</v>
      </c>
      <c r="AL745" s="1356"/>
      <c r="AM745" s="1356"/>
      <c r="AN745" s="1356"/>
      <c r="AO745" s="1357"/>
      <c r="AP745" s="3"/>
      <c r="AQ745" s="3"/>
      <c r="AR745" s="3"/>
      <c r="AS745" s="3"/>
      <c r="AY745" s="1087"/>
      <c r="AZ745" s="118" t="str">
        <f>IF($G745=0,"N/A",VLOOKUP($T$189,TC_Rent,(MATCH($B745,bedrooms,FALSE)),FALSE))</f>
        <v>N/A</v>
      </c>
      <c r="BA745" s="3"/>
      <c r="BB745" s="3"/>
      <c r="BC745" s="3"/>
      <c r="BD745" s="3"/>
      <c r="BE745" s="3"/>
      <c r="BF745" s="295">
        <f t="shared" si="9"/>
        <v>0</v>
      </c>
      <c r="BG745" s="298">
        <f t="shared" si="10"/>
        <v>0</v>
      </c>
      <c r="BH745" s="299" t="str">
        <f t="shared" si="11"/>
        <v/>
      </c>
      <c r="BI745" s="3"/>
      <c r="BJ745" s="3"/>
      <c r="BK745" s="3"/>
      <c r="BL745" s="3"/>
      <c r="BM745" s="3"/>
      <c r="BN745" s="3"/>
      <c r="BS745" s="295">
        <f t="shared" si="12"/>
        <v>0</v>
      </c>
      <c r="BT745" s="298">
        <f t="shared" si="13"/>
        <v>0</v>
      </c>
      <c r="BU745" s="299" t="str">
        <f t="shared" si="14"/>
        <v/>
      </c>
      <c r="BV745" s="3"/>
      <c r="BW745" s="3"/>
      <c r="BX745" s="3"/>
      <c r="BY745" s="3"/>
      <c r="BZ745" s="3"/>
      <c r="CA745" s="3"/>
      <c r="CB745" s="3"/>
      <c r="CC745" s="3"/>
      <c r="CE745" s="3"/>
      <c r="CF745" s="3"/>
      <c r="CG745" s="1495">
        <f t="shared" si="36"/>
        <v>0</v>
      </c>
      <c r="CH745" s="1497"/>
      <c r="CI745" s="1489">
        <f t="shared" si="37"/>
        <v>0</v>
      </c>
      <c r="CJ745" s="1491"/>
      <c r="CK745" s="1495">
        <f t="shared" si="15"/>
        <v>0</v>
      </c>
      <c r="CL745" s="1497"/>
      <c r="CM745" s="1489">
        <f t="shared" si="16"/>
        <v>0</v>
      </c>
      <c r="CN745" s="1491"/>
      <c r="CO745" s="3"/>
      <c r="CP745" s="1485">
        <f t="shared" si="17"/>
        <v>0</v>
      </c>
      <c r="CQ745" s="1486"/>
      <c r="CR745" s="1486"/>
      <c r="CS745" s="1486"/>
      <c r="CT745" s="1487"/>
      <c r="CU745" s="1463">
        <f t="shared" si="18"/>
        <v>0</v>
      </c>
      <c r="CV745" s="1463"/>
      <c r="CW745" s="1463"/>
      <c r="CX745" s="1463"/>
      <c r="CY745" s="1463"/>
      <c r="CZ745" s="1463">
        <f t="shared" si="19"/>
        <v>0</v>
      </c>
      <c r="DA745" s="1463"/>
      <c r="DB745" s="1463"/>
      <c r="DC745" s="1463"/>
      <c r="DD745" s="1463"/>
      <c r="DE745" s="1463">
        <f t="shared" si="20"/>
        <v>0</v>
      </c>
      <c r="DF745" s="1463"/>
      <c r="DG745" s="1463"/>
      <c r="DH745" s="1463"/>
      <c r="DI745" s="1463"/>
      <c r="DJ745" s="1463">
        <f t="shared" si="21"/>
        <v>0</v>
      </c>
      <c r="DK745" s="1463"/>
      <c r="DL745" s="1463"/>
      <c r="DM745" s="1463"/>
      <c r="DN745" s="1463"/>
      <c r="DO745" s="1463">
        <f t="shared" si="22"/>
        <v>0</v>
      </c>
      <c r="DP745" s="1463"/>
      <c r="DQ745" s="1463"/>
      <c r="DR745" s="1463"/>
      <c r="DS745" s="1463"/>
      <c r="DT745" s="6"/>
      <c r="DU745" s="1465">
        <f t="shared" si="23"/>
        <v>0</v>
      </c>
      <c r="DV745" s="1465"/>
      <c r="DW745" s="1465"/>
      <c r="DX745" s="1465"/>
      <c r="DY745" s="1465"/>
      <c r="DZ745" s="1465">
        <f t="shared" si="24"/>
        <v>0</v>
      </c>
      <c r="EA745" s="1465"/>
      <c r="EB745" s="1465"/>
      <c r="EC745" s="1465"/>
      <c r="ED745" s="1465"/>
      <c r="EE745" s="1465">
        <f t="shared" si="25"/>
        <v>0</v>
      </c>
      <c r="EF745" s="1465"/>
      <c r="EG745" s="1465"/>
      <c r="EH745" s="1465"/>
      <c r="EI745" s="1465"/>
      <c r="EJ745" s="1465">
        <f t="shared" si="26"/>
        <v>0</v>
      </c>
      <c r="EK745" s="1465"/>
      <c r="EL745" s="1465"/>
      <c r="EM745" s="1465"/>
      <c r="EN745" s="1465"/>
      <c r="EO745" s="1465">
        <f t="shared" si="27"/>
        <v>0</v>
      </c>
      <c r="EP745" s="1465"/>
      <c r="EQ745" s="1465"/>
      <c r="ER745" s="1465"/>
      <c r="ES745" s="1465"/>
      <c r="ET745" s="1465">
        <f t="shared" si="28"/>
        <v>0</v>
      </c>
      <c r="EU745" s="1465"/>
      <c r="EV745" s="1465"/>
      <c r="EW745" s="1465"/>
      <c r="EX745" s="1465"/>
      <c r="EZ745" s="1495" t="str">
        <f t="shared" si="29"/>
        <v/>
      </c>
      <c r="FA745" s="1496"/>
      <c r="FB745" s="1496"/>
      <c r="FC745" s="1496"/>
      <c r="FD745" s="1497"/>
      <c r="FE745" s="1495" t="str">
        <f t="shared" si="30"/>
        <v/>
      </c>
      <c r="FF745" s="1496"/>
      <c r="FG745" s="1496"/>
      <c r="FH745" s="1496"/>
      <c r="FI745" s="1497"/>
      <c r="FJ745" s="1495" t="str">
        <f t="shared" si="31"/>
        <v/>
      </c>
      <c r="FK745" s="1496"/>
      <c r="FL745" s="1496"/>
      <c r="FM745" s="1496"/>
      <c r="FN745" s="1497"/>
      <c r="FO745" s="1495" t="str">
        <f t="shared" si="32"/>
        <v/>
      </c>
      <c r="FP745" s="1496"/>
      <c r="FQ745" s="1496"/>
      <c r="FR745" s="1496"/>
      <c r="FS745" s="1497"/>
      <c r="FT745" s="1495" t="str">
        <f t="shared" si="33"/>
        <v/>
      </c>
      <c r="FU745" s="1496"/>
      <c r="FV745" s="1496"/>
      <c r="FW745" s="1496"/>
      <c r="FX745" s="1497"/>
      <c r="FY745" s="1495" t="str">
        <f t="shared" si="34"/>
        <v/>
      </c>
      <c r="FZ745" s="1496"/>
      <c r="GA745" s="1496"/>
      <c r="GB745" s="1496"/>
      <c r="GC745" s="1497"/>
    </row>
    <row r="746" spans="1:185" ht="12.95" customHeight="1">
      <c r="B746" s="1355"/>
      <c r="C746" s="1356"/>
      <c r="D746" s="1356"/>
      <c r="E746" s="1356"/>
      <c r="F746" s="1357"/>
      <c r="G746" s="1349"/>
      <c r="H746" s="1350"/>
      <c r="I746" s="1350"/>
      <c r="J746" s="1351"/>
      <c r="K746" s="1352"/>
      <c r="L746" s="1353"/>
      <c r="M746" s="1353"/>
      <c r="N746" s="1354"/>
      <c r="O746" s="1370"/>
      <c r="P746" s="1371"/>
      <c r="Q746" s="1371"/>
      <c r="R746" s="1371"/>
      <c r="S746" s="1372"/>
      <c r="T746" s="1370"/>
      <c r="U746" s="1371"/>
      <c r="V746" s="1371"/>
      <c r="W746" s="1372"/>
      <c r="X746" s="1607">
        <f t="shared" si="38"/>
        <v>0</v>
      </c>
      <c r="Y746" s="1422"/>
      <c r="Z746" s="1422"/>
      <c r="AA746" s="1422"/>
      <c r="AB746" s="1608"/>
      <c r="AC746" s="1473"/>
      <c r="AD746" s="1474"/>
      <c r="AE746" s="1474"/>
      <c r="AF746" s="1474"/>
      <c r="AG746" s="1475"/>
      <c r="AH746" s="1470" t="str">
        <f t="shared" si="35"/>
        <v/>
      </c>
      <c r="AI746" s="1471"/>
      <c r="AJ746" s="1472"/>
      <c r="AK746" s="1355" t="s">
        <v>591</v>
      </c>
      <c r="AL746" s="1356"/>
      <c r="AM746" s="1356"/>
      <c r="AN746" s="1356"/>
      <c r="AO746" s="1357"/>
      <c r="AP746" s="3"/>
      <c r="AQ746" s="3"/>
      <c r="AR746" s="3"/>
      <c r="AS746" s="3"/>
      <c r="AY746" s="1087"/>
      <c r="AZ746" s="118" t="str">
        <f>IF($G746=0,"N/A",VLOOKUP($T$189,TC_Rent,(MATCH($B746,bedrooms,FALSE)),FALSE))</f>
        <v>N/A</v>
      </c>
      <c r="BA746" s="34"/>
      <c r="BB746" s="34"/>
      <c r="BC746" s="34"/>
      <c r="BD746" s="34"/>
      <c r="BE746" s="34"/>
      <c r="BF746" s="295">
        <f t="shared" si="9"/>
        <v>0</v>
      </c>
      <c r="BG746" s="298">
        <f t="shared" si="10"/>
        <v>0</v>
      </c>
      <c r="BH746" s="299" t="str">
        <f t="shared" si="11"/>
        <v/>
      </c>
      <c r="BI746" s="34"/>
      <c r="BJ746" s="34"/>
      <c r="BK746" s="34"/>
      <c r="BL746" s="34"/>
      <c r="BM746" s="34"/>
      <c r="BN746" s="34"/>
      <c r="BS746" s="295">
        <f t="shared" si="12"/>
        <v>0</v>
      </c>
      <c r="BT746" s="298">
        <f t="shared" si="13"/>
        <v>0</v>
      </c>
      <c r="BU746" s="299" t="str">
        <f t="shared" si="14"/>
        <v/>
      </c>
      <c r="BV746" s="3"/>
      <c r="BW746" s="3"/>
      <c r="BX746" s="3"/>
      <c r="BY746" s="3"/>
      <c r="BZ746" s="3"/>
      <c r="CA746" s="3"/>
      <c r="CB746" s="3"/>
      <c r="CC746" s="3"/>
      <c r="CE746" s="3"/>
      <c r="CF746" s="3"/>
      <c r="CG746" s="1495">
        <f t="shared" si="36"/>
        <v>0</v>
      </c>
      <c r="CH746" s="1497"/>
      <c r="CI746" s="1489">
        <f t="shared" si="37"/>
        <v>0</v>
      </c>
      <c r="CJ746" s="1491"/>
      <c r="CK746" s="1495">
        <f t="shared" si="15"/>
        <v>0</v>
      </c>
      <c r="CL746" s="1497"/>
      <c r="CM746" s="1489">
        <f t="shared" si="16"/>
        <v>0</v>
      </c>
      <c r="CN746" s="1491"/>
      <c r="CO746" s="3"/>
      <c r="CP746" s="1485">
        <f t="shared" si="17"/>
        <v>0</v>
      </c>
      <c r="CQ746" s="1486"/>
      <c r="CR746" s="1486"/>
      <c r="CS746" s="1486"/>
      <c r="CT746" s="1487"/>
      <c r="CU746" s="1463">
        <f t="shared" si="18"/>
        <v>0</v>
      </c>
      <c r="CV746" s="1463"/>
      <c r="CW746" s="1463"/>
      <c r="CX746" s="1463"/>
      <c r="CY746" s="1463"/>
      <c r="CZ746" s="1463">
        <f t="shared" si="19"/>
        <v>0</v>
      </c>
      <c r="DA746" s="1463"/>
      <c r="DB746" s="1463"/>
      <c r="DC746" s="1463"/>
      <c r="DD746" s="1463"/>
      <c r="DE746" s="1463">
        <f t="shared" si="20"/>
        <v>0</v>
      </c>
      <c r="DF746" s="1463"/>
      <c r="DG746" s="1463"/>
      <c r="DH746" s="1463"/>
      <c r="DI746" s="1463"/>
      <c r="DJ746" s="1463">
        <f t="shared" si="21"/>
        <v>0</v>
      </c>
      <c r="DK746" s="1463"/>
      <c r="DL746" s="1463"/>
      <c r="DM746" s="1463"/>
      <c r="DN746" s="1463"/>
      <c r="DO746" s="1463">
        <f t="shared" si="22"/>
        <v>0</v>
      </c>
      <c r="DP746" s="1463"/>
      <c r="DQ746" s="1463"/>
      <c r="DR746" s="1463"/>
      <c r="DS746" s="1463"/>
      <c r="DT746" s="6"/>
      <c r="DU746" s="1465">
        <f t="shared" si="23"/>
        <v>0</v>
      </c>
      <c r="DV746" s="1465"/>
      <c r="DW746" s="1465"/>
      <c r="DX746" s="1465"/>
      <c r="DY746" s="1465"/>
      <c r="DZ746" s="1465">
        <f t="shared" si="24"/>
        <v>0</v>
      </c>
      <c r="EA746" s="1465"/>
      <c r="EB746" s="1465"/>
      <c r="EC746" s="1465"/>
      <c r="ED746" s="1465"/>
      <c r="EE746" s="1465">
        <f t="shared" si="25"/>
        <v>0</v>
      </c>
      <c r="EF746" s="1465"/>
      <c r="EG746" s="1465"/>
      <c r="EH746" s="1465"/>
      <c r="EI746" s="1465"/>
      <c r="EJ746" s="1465">
        <f t="shared" si="26"/>
        <v>0</v>
      </c>
      <c r="EK746" s="1465"/>
      <c r="EL746" s="1465"/>
      <c r="EM746" s="1465"/>
      <c r="EN746" s="1465"/>
      <c r="EO746" s="1465">
        <f t="shared" si="27"/>
        <v>0</v>
      </c>
      <c r="EP746" s="1465"/>
      <c r="EQ746" s="1465"/>
      <c r="ER746" s="1465"/>
      <c r="ES746" s="1465"/>
      <c r="ET746" s="1465">
        <f t="shared" si="28"/>
        <v>0</v>
      </c>
      <c r="EU746" s="1465"/>
      <c r="EV746" s="1465"/>
      <c r="EW746" s="1465"/>
      <c r="EX746" s="1465"/>
      <c r="EZ746" s="1495" t="str">
        <f t="shared" si="29"/>
        <v/>
      </c>
      <c r="FA746" s="1496"/>
      <c r="FB746" s="1496"/>
      <c r="FC746" s="1496"/>
      <c r="FD746" s="1497"/>
      <c r="FE746" s="1495" t="str">
        <f t="shared" si="30"/>
        <v/>
      </c>
      <c r="FF746" s="1496"/>
      <c r="FG746" s="1496"/>
      <c r="FH746" s="1496"/>
      <c r="FI746" s="1497"/>
      <c r="FJ746" s="1495" t="str">
        <f t="shared" si="31"/>
        <v/>
      </c>
      <c r="FK746" s="1496"/>
      <c r="FL746" s="1496"/>
      <c r="FM746" s="1496"/>
      <c r="FN746" s="1497"/>
      <c r="FO746" s="1495" t="str">
        <f t="shared" si="32"/>
        <v/>
      </c>
      <c r="FP746" s="1496"/>
      <c r="FQ746" s="1496"/>
      <c r="FR746" s="1496"/>
      <c r="FS746" s="1497"/>
      <c r="FT746" s="1495" t="str">
        <f t="shared" si="33"/>
        <v/>
      </c>
      <c r="FU746" s="1496"/>
      <c r="FV746" s="1496"/>
      <c r="FW746" s="1496"/>
      <c r="FX746" s="1497"/>
      <c r="FY746" s="1495" t="str">
        <f t="shared" si="34"/>
        <v/>
      </c>
      <c r="FZ746" s="1496"/>
      <c r="GA746" s="1496"/>
      <c r="GB746" s="1496"/>
      <c r="GC746" s="1497"/>
    </row>
    <row r="747" spans="1:185" ht="12.95" customHeight="1">
      <c r="B747" s="1355"/>
      <c r="C747" s="1356"/>
      <c r="D747" s="1356"/>
      <c r="E747" s="1356"/>
      <c r="F747" s="1357"/>
      <c r="G747" s="1349"/>
      <c r="H747" s="1350"/>
      <c r="I747" s="1350"/>
      <c r="J747" s="1351"/>
      <c r="K747" s="1352"/>
      <c r="L747" s="1353"/>
      <c r="M747" s="1353"/>
      <c r="N747" s="1354"/>
      <c r="O747" s="1370"/>
      <c r="P747" s="1371"/>
      <c r="Q747" s="1371"/>
      <c r="R747" s="1371"/>
      <c r="S747" s="1372"/>
      <c r="T747" s="1370"/>
      <c r="U747" s="1371"/>
      <c r="V747" s="1371"/>
      <c r="W747" s="1372"/>
      <c r="X747" s="1607">
        <f t="shared" si="38"/>
        <v>0</v>
      </c>
      <c r="Y747" s="1422"/>
      <c r="Z747" s="1422"/>
      <c r="AA747" s="1422"/>
      <c r="AB747" s="1608"/>
      <c r="AC747" s="1473"/>
      <c r="AD747" s="1474"/>
      <c r="AE747" s="1474"/>
      <c r="AF747" s="1474"/>
      <c r="AG747" s="1475"/>
      <c r="AH747" s="1470" t="str">
        <f t="shared" si="35"/>
        <v/>
      </c>
      <c r="AI747" s="1471"/>
      <c r="AJ747" s="1472"/>
      <c r="AK747" s="1355" t="s">
        <v>591</v>
      </c>
      <c r="AL747" s="1356"/>
      <c r="AM747" s="1356"/>
      <c r="AN747" s="1356"/>
      <c r="AO747" s="1357"/>
      <c r="AP747" s="3"/>
      <c r="AQ747" s="3"/>
      <c r="AR747" s="3"/>
      <c r="AS747" s="3"/>
      <c r="AY747" s="1087"/>
      <c r="AZ747" s="118" t="str">
        <f>IF($G747=0,"N/A",VLOOKUP($T$189,TC_Rent,(MATCH($B747,bedrooms,FALSE)),FALSE))</f>
        <v>N/A</v>
      </c>
      <c r="BA747" s="34"/>
      <c r="BB747" s="34"/>
      <c r="BC747" s="34"/>
      <c r="BD747" s="34"/>
      <c r="BE747" s="34"/>
      <c r="BF747" s="295">
        <f t="shared" si="9"/>
        <v>0</v>
      </c>
      <c r="BG747" s="298">
        <f t="shared" si="10"/>
        <v>0</v>
      </c>
      <c r="BH747" s="299" t="str">
        <f t="shared" si="11"/>
        <v/>
      </c>
      <c r="BI747" s="34"/>
      <c r="BJ747" s="34"/>
      <c r="BK747" s="34"/>
      <c r="BL747" s="34"/>
      <c r="BM747" s="34"/>
      <c r="BN747" s="34"/>
      <c r="BS747" s="295">
        <f t="shared" si="12"/>
        <v>0</v>
      </c>
      <c r="BT747" s="298">
        <f t="shared" si="13"/>
        <v>0</v>
      </c>
      <c r="BU747" s="299" t="str">
        <f t="shared" si="14"/>
        <v/>
      </c>
      <c r="BV747" s="3"/>
      <c r="BW747" s="3"/>
      <c r="BX747" s="3"/>
      <c r="BY747" s="3"/>
      <c r="BZ747" s="3"/>
      <c r="CA747" s="3"/>
      <c r="CB747" s="3"/>
      <c r="CC747" s="3"/>
      <c r="CE747" s="3"/>
      <c r="CF747" s="3"/>
      <c r="CG747" s="1495">
        <f t="shared" si="36"/>
        <v>0</v>
      </c>
      <c r="CH747" s="1497"/>
      <c r="CI747" s="1489">
        <f t="shared" si="37"/>
        <v>0</v>
      </c>
      <c r="CJ747" s="1491"/>
      <c r="CK747" s="1495">
        <f t="shared" si="15"/>
        <v>0</v>
      </c>
      <c r="CL747" s="1497"/>
      <c r="CM747" s="1489">
        <f t="shared" si="16"/>
        <v>0</v>
      </c>
      <c r="CN747" s="1491"/>
      <c r="CO747" s="3"/>
      <c r="CP747" s="1485">
        <f t="shared" si="17"/>
        <v>0</v>
      </c>
      <c r="CQ747" s="1486"/>
      <c r="CR747" s="1486"/>
      <c r="CS747" s="1486"/>
      <c r="CT747" s="1487"/>
      <c r="CU747" s="1463">
        <f t="shared" si="18"/>
        <v>0</v>
      </c>
      <c r="CV747" s="1463"/>
      <c r="CW747" s="1463"/>
      <c r="CX747" s="1463"/>
      <c r="CY747" s="1463"/>
      <c r="CZ747" s="1463">
        <f t="shared" si="19"/>
        <v>0</v>
      </c>
      <c r="DA747" s="1463"/>
      <c r="DB747" s="1463"/>
      <c r="DC747" s="1463"/>
      <c r="DD747" s="1463"/>
      <c r="DE747" s="1463">
        <f t="shared" si="20"/>
        <v>0</v>
      </c>
      <c r="DF747" s="1463"/>
      <c r="DG747" s="1463"/>
      <c r="DH747" s="1463"/>
      <c r="DI747" s="1463"/>
      <c r="DJ747" s="1463">
        <f t="shared" si="21"/>
        <v>0</v>
      </c>
      <c r="DK747" s="1463"/>
      <c r="DL747" s="1463"/>
      <c r="DM747" s="1463"/>
      <c r="DN747" s="1463"/>
      <c r="DO747" s="1463">
        <f t="shared" si="22"/>
        <v>0</v>
      </c>
      <c r="DP747" s="1463"/>
      <c r="DQ747" s="1463"/>
      <c r="DR747" s="1463"/>
      <c r="DS747" s="1463"/>
      <c r="DT747" s="6"/>
      <c r="DU747" s="1465">
        <f t="shared" si="23"/>
        <v>0</v>
      </c>
      <c r="DV747" s="1465"/>
      <c r="DW747" s="1465"/>
      <c r="DX747" s="1465"/>
      <c r="DY747" s="1465"/>
      <c r="DZ747" s="1465">
        <f t="shared" si="24"/>
        <v>0</v>
      </c>
      <c r="EA747" s="1465"/>
      <c r="EB747" s="1465"/>
      <c r="EC747" s="1465"/>
      <c r="ED747" s="1465"/>
      <c r="EE747" s="1465">
        <f t="shared" si="25"/>
        <v>0</v>
      </c>
      <c r="EF747" s="1465"/>
      <c r="EG747" s="1465"/>
      <c r="EH747" s="1465"/>
      <c r="EI747" s="1465"/>
      <c r="EJ747" s="1465">
        <f t="shared" si="26"/>
        <v>0</v>
      </c>
      <c r="EK747" s="1465"/>
      <c r="EL747" s="1465"/>
      <c r="EM747" s="1465"/>
      <c r="EN747" s="1465"/>
      <c r="EO747" s="1465">
        <f t="shared" si="27"/>
        <v>0</v>
      </c>
      <c r="EP747" s="1465"/>
      <c r="EQ747" s="1465"/>
      <c r="ER747" s="1465"/>
      <c r="ES747" s="1465"/>
      <c r="ET747" s="1465">
        <f t="shared" si="28"/>
        <v>0</v>
      </c>
      <c r="EU747" s="1465"/>
      <c r="EV747" s="1465"/>
      <c r="EW747" s="1465"/>
      <c r="EX747" s="1465"/>
      <c r="EZ747" s="1495" t="str">
        <f t="shared" si="29"/>
        <v/>
      </c>
      <c r="FA747" s="1496"/>
      <c r="FB747" s="1496"/>
      <c r="FC747" s="1496"/>
      <c r="FD747" s="1497"/>
      <c r="FE747" s="1495" t="str">
        <f t="shared" si="30"/>
        <v/>
      </c>
      <c r="FF747" s="1496"/>
      <c r="FG747" s="1496"/>
      <c r="FH747" s="1496"/>
      <c r="FI747" s="1497"/>
      <c r="FJ747" s="1495" t="str">
        <f t="shared" si="31"/>
        <v/>
      </c>
      <c r="FK747" s="1496"/>
      <c r="FL747" s="1496"/>
      <c r="FM747" s="1496"/>
      <c r="FN747" s="1497"/>
      <c r="FO747" s="1495" t="str">
        <f t="shared" si="32"/>
        <v/>
      </c>
      <c r="FP747" s="1496"/>
      <c r="FQ747" s="1496"/>
      <c r="FR747" s="1496"/>
      <c r="FS747" s="1497"/>
      <c r="FT747" s="1495" t="str">
        <f t="shared" si="33"/>
        <v/>
      </c>
      <c r="FU747" s="1496"/>
      <c r="FV747" s="1496"/>
      <c r="FW747" s="1496"/>
      <c r="FX747" s="1497"/>
      <c r="FY747" s="1495" t="str">
        <f t="shared" si="34"/>
        <v/>
      </c>
      <c r="FZ747" s="1496"/>
      <c r="GA747" s="1496"/>
      <c r="GB747" s="1496"/>
      <c r="GC747" s="1497"/>
    </row>
    <row r="748" spans="1:185" s="3" customFormat="1" ht="12.95" customHeight="1">
      <c r="A748"/>
      <c r="B748" s="1355"/>
      <c r="C748" s="1356"/>
      <c r="D748" s="1356"/>
      <c r="E748" s="1356"/>
      <c r="F748" s="1357"/>
      <c r="G748" s="1349"/>
      <c r="H748" s="1350"/>
      <c r="I748" s="1350"/>
      <c r="J748" s="1351"/>
      <c r="K748" s="1352"/>
      <c r="L748" s="1353"/>
      <c r="M748" s="1353"/>
      <c r="N748" s="1354"/>
      <c r="O748" s="1370"/>
      <c r="P748" s="1371"/>
      <c r="Q748" s="1371"/>
      <c r="R748" s="1371"/>
      <c r="S748" s="1372"/>
      <c r="T748" s="1370"/>
      <c r="U748" s="1371"/>
      <c r="V748" s="1371"/>
      <c r="W748" s="1372"/>
      <c r="X748" s="1607">
        <f t="shared" si="38"/>
        <v>0</v>
      </c>
      <c r="Y748" s="1422"/>
      <c r="Z748" s="1422"/>
      <c r="AA748" s="1422"/>
      <c r="AB748" s="1608"/>
      <c r="AC748" s="1473"/>
      <c r="AD748" s="1474"/>
      <c r="AE748" s="1474"/>
      <c r="AF748" s="1474"/>
      <c r="AG748" s="1475"/>
      <c r="AH748" s="1470" t="str">
        <f t="shared" si="35"/>
        <v/>
      </c>
      <c r="AI748" s="1471"/>
      <c r="AJ748" s="1472"/>
      <c r="AK748" s="1355" t="s">
        <v>591</v>
      </c>
      <c r="AL748" s="1356"/>
      <c r="AM748" s="1356"/>
      <c r="AN748" s="1356"/>
      <c r="AO748" s="1357"/>
      <c r="AT748"/>
      <c r="AU748"/>
      <c r="AV748"/>
      <c r="AW748"/>
      <c r="AX748"/>
      <c r="AY748" s="1087"/>
      <c r="AZ748" s="118" t="str">
        <f>IF($G748=0,"N/A",VLOOKUP($T$189,TC_Rent,(MATCH($B748,bedrooms,FALSE)),FALSE))</f>
        <v>N/A</v>
      </c>
      <c r="BA748" s="34"/>
      <c r="BB748" s="34"/>
      <c r="BC748" s="34"/>
      <c r="BD748" s="34"/>
      <c r="BE748" s="34"/>
      <c r="BF748" s="295">
        <f t="shared" si="9"/>
        <v>0</v>
      </c>
      <c r="BG748" s="298">
        <f t="shared" si="10"/>
        <v>0</v>
      </c>
      <c r="BH748" s="299" t="str">
        <f t="shared" si="11"/>
        <v/>
      </c>
      <c r="BJ748" s="34"/>
      <c r="BK748" s="34"/>
      <c r="BL748" s="34"/>
      <c r="BM748" s="34"/>
      <c r="BN748" s="34"/>
      <c r="BO748"/>
      <c r="BP748"/>
      <c r="BQ748"/>
      <c r="BR748"/>
      <c r="BS748" s="295">
        <f t="shared" si="12"/>
        <v>0</v>
      </c>
      <c r="BT748" s="298">
        <f t="shared" si="13"/>
        <v>0</v>
      </c>
      <c r="BU748" s="299" t="str">
        <f t="shared" si="14"/>
        <v/>
      </c>
      <c r="CD748"/>
      <c r="CG748" s="1495">
        <f t="shared" si="36"/>
        <v>0</v>
      </c>
      <c r="CH748" s="1497"/>
      <c r="CI748" s="1489">
        <f t="shared" si="37"/>
        <v>0</v>
      </c>
      <c r="CJ748" s="1491"/>
      <c r="CK748" s="1495">
        <f t="shared" si="15"/>
        <v>0</v>
      </c>
      <c r="CL748" s="1497"/>
      <c r="CM748" s="1489">
        <f t="shared" si="16"/>
        <v>0</v>
      </c>
      <c r="CN748" s="1491"/>
      <c r="CP748" s="1485">
        <f t="shared" si="17"/>
        <v>0</v>
      </c>
      <c r="CQ748" s="1486"/>
      <c r="CR748" s="1486"/>
      <c r="CS748" s="1486"/>
      <c r="CT748" s="1487"/>
      <c r="CU748" s="1463">
        <f t="shared" si="18"/>
        <v>0</v>
      </c>
      <c r="CV748" s="1463"/>
      <c r="CW748" s="1463"/>
      <c r="CX748" s="1463"/>
      <c r="CY748" s="1463"/>
      <c r="CZ748" s="1463">
        <f t="shared" si="19"/>
        <v>0</v>
      </c>
      <c r="DA748" s="1463"/>
      <c r="DB748" s="1463"/>
      <c r="DC748" s="1463"/>
      <c r="DD748" s="1463"/>
      <c r="DE748" s="1463">
        <f t="shared" si="20"/>
        <v>0</v>
      </c>
      <c r="DF748" s="1463"/>
      <c r="DG748" s="1463"/>
      <c r="DH748" s="1463"/>
      <c r="DI748" s="1463"/>
      <c r="DJ748" s="1463">
        <f t="shared" si="21"/>
        <v>0</v>
      </c>
      <c r="DK748" s="1463"/>
      <c r="DL748" s="1463"/>
      <c r="DM748" s="1463"/>
      <c r="DN748" s="1463"/>
      <c r="DO748" s="1463">
        <f t="shared" si="22"/>
        <v>0</v>
      </c>
      <c r="DP748" s="1463"/>
      <c r="DQ748" s="1463"/>
      <c r="DR748" s="1463"/>
      <c r="DS748" s="1463"/>
      <c r="DT748" s="6"/>
      <c r="DU748" s="1465">
        <f t="shared" si="23"/>
        <v>0</v>
      </c>
      <c r="DV748" s="1465"/>
      <c r="DW748" s="1465"/>
      <c r="DX748" s="1465"/>
      <c r="DY748" s="1465"/>
      <c r="DZ748" s="1465">
        <f t="shared" si="24"/>
        <v>0</v>
      </c>
      <c r="EA748" s="1465"/>
      <c r="EB748" s="1465"/>
      <c r="EC748" s="1465"/>
      <c r="ED748" s="1465"/>
      <c r="EE748" s="1465">
        <f t="shared" si="25"/>
        <v>0</v>
      </c>
      <c r="EF748" s="1465"/>
      <c r="EG748" s="1465"/>
      <c r="EH748" s="1465"/>
      <c r="EI748" s="1465"/>
      <c r="EJ748" s="1465">
        <f t="shared" si="26"/>
        <v>0</v>
      </c>
      <c r="EK748" s="1465"/>
      <c r="EL748" s="1465"/>
      <c r="EM748" s="1465"/>
      <c r="EN748" s="1465"/>
      <c r="EO748" s="1465">
        <f t="shared" si="27"/>
        <v>0</v>
      </c>
      <c r="EP748" s="1465"/>
      <c r="EQ748" s="1465"/>
      <c r="ER748" s="1465"/>
      <c r="ES748" s="1465"/>
      <c r="ET748" s="1465">
        <f t="shared" si="28"/>
        <v>0</v>
      </c>
      <c r="EU748" s="1465"/>
      <c r="EV748" s="1465"/>
      <c r="EW748" s="1465"/>
      <c r="EX748" s="1465"/>
      <c r="EY748"/>
      <c r="EZ748" s="1495" t="str">
        <f t="shared" si="29"/>
        <v/>
      </c>
      <c r="FA748" s="1496"/>
      <c r="FB748" s="1496"/>
      <c r="FC748" s="1496"/>
      <c r="FD748" s="1497"/>
      <c r="FE748" s="1495" t="str">
        <f t="shared" si="30"/>
        <v/>
      </c>
      <c r="FF748" s="1496"/>
      <c r="FG748" s="1496"/>
      <c r="FH748" s="1496"/>
      <c r="FI748" s="1497"/>
      <c r="FJ748" s="1495" t="str">
        <f t="shared" si="31"/>
        <v/>
      </c>
      <c r="FK748" s="1496"/>
      <c r="FL748" s="1496"/>
      <c r="FM748" s="1496"/>
      <c r="FN748" s="1497"/>
      <c r="FO748" s="1495" t="str">
        <f t="shared" si="32"/>
        <v/>
      </c>
      <c r="FP748" s="1496"/>
      <c r="FQ748" s="1496"/>
      <c r="FR748" s="1496"/>
      <c r="FS748" s="1497"/>
      <c r="FT748" s="1495" t="str">
        <f t="shared" si="33"/>
        <v/>
      </c>
      <c r="FU748" s="1496"/>
      <c r="FV748" s="1496"/>
      <c r="FW748" s="1496"/>
      <c r="FX748" s="1497"/>
      <c r="FY748" s="1495" t="str">
        <f t="shared" si="34"/>
        <v/>
      </c>
      <c r="FZ748" s="1496"/>
      <c r="GA748" s="1496"/>
      <c r="GB748" s="1496"/>
      <c r="GC748" s="1497"/>
    </row>
    <row r="749" spans="1:185" s="3" customFormat="1" ht="12.95" customHeight="1">
      <c r="A749"/>
      <c r="B749" s="1355"/>
      <c r="C749" s="1356"/>
      <c r="D749" s="1356"/>
      <c r="E749" s="1356"/>
      <c r="F749" s="1357"/>
      <c r="G749" s="1349"/>
      <c r="H749" s="1350"/>
      <c r="I749" s="1350"/>
      <c r="J749" s="1351"/>
      <c r="K749" s="1352"/>
      <c r="L749" s="1353"/>
      <c r="M749" s="1353"/>
      <c r="N749" s="1354"/>
      <c r="O749" s="1370"/>
      <c r="P749" s="1371"/>
      <c r="Q749" s="1371"/>
      <c r="R749" s="1371"/>
      <c r="S749" s="1372"/>
      <c r="T749" s="1370"/>
      <c r="U749" s="1371"/>
      <c r="V749" s="1371"/>
      <c r="W749" s="1372"/>
      <c r="X749" s="1607">
        <f t="shared" si="38"/>
        <v>0</v>
      </c>
      <c r="Y749" s="1422"/>
      <c r="Z749" s="1422"/>
      <c r="AA749" s="1422"/>
      <c r="AB749" s="1608"/>
      <c r="AC749" s="1473"/>
      <c r="AD749" s="1474"/>
      <c r="AE749" s="1474"/>
      <c r="AF749" s="1474"/>
      <c r="AG749" s="1475"/>
      <c r="AH749" s="1470" t="str">
        <f t="shared" si="35"/>
        <v/>
      </c>
      <c r="AI749" s="1471"/>
      <c r="AJ749" s="1472"/>
      <c r="AK749" s="1355" t="s">
        <v>591</v>
      </c>
      <c r="AL749" s="1356"/>
      <c r="AM749" s="1356"/>
      <c r="AN749" s="1356"/>
      <c r="AO749" s="1357"/>
      <c r="AT749"/>
      <c r="AU749"/>
      <c r="AV749"/>
      <c r="AW749"/>
      <c r="AX749"/>
      <c r="AY749" s="1087"/>
      <c r="AZ749" s="118" t="str">
        <f>IF($G749=0,"N/A",VLOOKUP($T$189,TC_Rent,(MATCH($B749,bedrooms,FALSE)),FALSE))</f>
        <v>N/A</v>
      </c>
      <c r="BA749" s="34"/>
      <c r="BB749" s="34"/>
      <c r="BC749" s="34"/>
      <c r="BD749" s="34"/>
      <c r="BE749" s="34"/>
      <c r="BF749" s="295">
        <f t="shared" si="9"/>
        <v>0</v>
      </c>
      <c r="BG749" s="298">
        <f t="shared" si="10"/>
        <v>0</v>
      </c>
      <c r="BH749" s="299" t="str">
        <f t="shared" si="11"/>
        <v/>
      </c>
      <c r="BJ749" s="34"/>
      <c r="BK749" s="34"/>
      <c r="BL749" s="34"/>
      <c r="BM749" s="34"/>
      <c r="BN749" s="34"/>
      <c r="BO749"/>
      <c r="BP749"/>
      <c r="BQ749"/>
      <c r="BR749"/>
      <c r="BS749" s="295">
        <f t="shared" si="12"/>
        <v>0</v>
      </c>
      <c r="BT749" s="298">
        <f t="shared" si="13"/>
        <v>0</v>
      </c>
      <c r="BU749" s="299" t="str">
        <f t="shared" si="14"/>
        <v/>
      </c>
      <c r="CD749"/>
      <c r="CG749" s="1495">
        <f t="shared" si="36"/>
        <v>0</v>
      </c>
      <c r="CH749" s="1497"/>
      <c r="CI749" s="1489">
        <f t="shared" si="37"/>
        <v>0</v>
      </c>
      <c r="CJ749" s="1491"/>
      <c r="CK749" s="1495">
        <f t="shared" si="15"/>
        <v>0</v>
      </c>
      <c r="CL749" s="1497"/>
      <c r="CM749" s="1489">
        <f t="shared" si="16"/>
        <v>0</v>
      </c>
      <c r="CN749" s="1491"/>
      <c r="CP749" s="1485">
        <f t="shared" si="17"/>
        <v>0</v>
      </c>
      <c r="CQ749" s="1486"/>
      <c r="CR749" s="1486"/>
      <c r="CS749" s="1486"/>
      <c r="CT749" s="1487"/>
      <c r="CU749" s="1463">
        <f t="shared" si="18"/>
        <v>0</v>
      </c>
      <c r="CV749" s="1463"/>
      <c r="CW749" s="1463"/>
      <c r="CX749" s="1463"/>
      <c r="CY749" s="1463"/>
      <c r="CZ749" s="1463">
        <f t="shared" si="19"/>
        <v>0</v>
      </c>
      <c r="DA749" s="1463"/>
      <c r="DB749" s="1463"/>
      <c r="DC749" s="1463"/>
      <c r="DD749" s="1463"/>
      <c r="DE749" s="1463">
        <f t="shared" si="20"/>
        <v>0</v>
      </c>
      <c r="DF749" s="1463"/>
      <c r="DG749" s="1463"/>
      <c r="DH749" s="1463"/>
      <c r="DI749" s="1463"/>
      <c r="DJ749" s="1463">
        <f t="shared" si="21"/>
        <v>0</v>
      </c>
      <c r="DK749" s="1463"/>
      <c r="DL749" s="1463"/>
      <c r="DM749" s="1463"/>
      <c r="DN749" s="1463"/>
      <c r="DO749" s="1463">
        <f t="shared" si="22"/>
        <v>0</v>
      </c>
      <c r="DP749" s="1463"/>
      <c r="DQ749" s="1463"/>
      <c r="DR749" s="1463"/>
      <c r="DS749" s="1463"/>
      <c r="DT749" s="6"/>
      <c r="DU749" s="1465">
        <f t="shared" si="23"/>
        <v>0</v>
      </c>
      <c r="DV749" s="1465"/>
      <c r="DW749" s="1465"/>
      <c r="DX749" s="1465"/>
      <c r="DY749" s="1465"/>
      <c r="DZ749" s="1465">
        <f t="shared" si="24"/>
        <v>0</v>
      </c>
      <c r="EA749" s="1465"/>
      <c r="EB749" s="1465"/>
      <c r="EC749" s="1465"/>
      <c r="ED749" s="1465"/>
      <c r="EE749" s="1465">
        <f t="shared" si="25"/>
        <v>0</v>
      </c>
      <c r="EF749" s="1465"/>
      <c r="EG749" s="1465"/>
      <c r="EH749" s="1465"/>
      <c r="EI749" s="1465"/>
      <c r="EJ749" s="1465">
        <f t="shared" si="26"/>
        <v>0</v>
      </c>
      <c r="EK749" s="1465"/>
      <c r="EL749" s="1465"/>
      <c r="EM749" s="1465"/>
      <c r="EN749" s="1465"/>
      <c r="EO749" s="1465">
        <f t="shared" si="27"/>
        <v>0</v>
      </c>
      <c r="EP749" s="1465"/>
      <c r="EQ749" s="1465"/>
      <c r="ER749" s="1465"/>
      <c r="ES749" s="1465"/>
      <c r="ET749" s="1465">
        <f t="shared" si="28"/>
        <v>0</v>
      </c>
      <c r="EU749" s="1465"/>
      <c r="EV749" s="1465"/>
      <c r="EW749" s="1465"/>
      <c r="EX749" s="1465"/>
      <c r="EY749"/>
      <c r="EZ749" s="1495" t="str">
        <f t="shared" si="29"/>
        <v/>
      </c>
      <c r="FA749" s="1496"/>
      <c r="FB749" s="1496"/>
      <c r="FC749" s="1496"/>
      <c r="FD749" s="1497"/>
      <c r="FE749" s="1495" t="str">
        <f t="shared" si="30"/>
        <v/>
      </c>
      <c r="FF749" s="1496"/>
      <c r="FG749" s="1496"/>
      <c r="FH749" s="1496"/>
      <c r="FI749" s="1497"/>
      <c r="FJ749" s="1495" t="str">
        <f t="shared" si="31"/>
        <v/>
      </c>
      <c r="FK749" s="1496"/>
      <c r="FL749" s="1496"/>
      <c r="FM749" s="1496"/>
      <c r="FN749" s="1497"/>
      <c r="FO749" s="1495" t="str">
        <f t="shared" si="32"/>
        <v/>
      </c>
      <c r="FP749" s="1496"/>
      <c r="FQ749" s="1496"/>
      <c r="FR749" s="1496"/>
      <c r="FS749" s="1497"/>
      <c r="FT749" s="1495" t="str">
        <f t="shared" si="33"/>
        <v/>
      </c>
      <c r="FU749" s="1496"/>
      <c r="FV749" s="1496"/>
      <c r="FW749" s="1496"/>
      <c r="FX749" s="1497"/>
      <c r="FY749" s="1495" t="str">
        <f t="shared" si="34"/>
        <v/>
      </c>
      <c r="FZ749" s="1496"/>
      <c r="GA749" s="1496"/>
      <c r="GB749" s="1496"/>
      <c r="GC749" s="1497"/>
    </row>
    <row r="750" spans="1:185" s="3" customFormat="1" ht="12.95" customHeight="1">
      <c r="A750"/>
      <c r="B750" s="1355"/>
      <c r="C750" s="1356"/>
      <c r="D750" s="1356"/>
      <c r="E750" s="1356"/>
      <c r="F750" s="1357"/>
      <c r="G750" s="1349"/>
      <c r="H750" s="1350"/>
      <c r="I750" s="1350"/>
      <c r="J750" s="1351"/>
      <c r="K750" s="1352"/>
      <c r="L750" s="1353"/>
      <c r="M750" s="1353"/>
      <c r="N750" s="1354"/>
      <c r="O750" s="1370"/>
      <c r="P750" s="1371"/>
      <c r="Q750" s="1371"/>
      <c r="R750" s="1371"/>
      <c r="S750" s="1372"/>
      <c r="T750" s="1370"/>
      <c r="U750" s="1371"/>
      <c r="V750" s="1371"/>
      <c r="W750" s="1372"/>
      <c r="X750" s="1607">
        <f t="shared" si="38"/>
        <v>0</v>
      </c>
      <c r="Y750" s="1422"/>
      <c r="Z750" s="1422"/>
      <c r="AA750" s="1422"/>
      <c r="AB750" s="1608"/>
      <c r="AC750" s="1473"/>
      <c r="AD750" s="1474"/>
      <c r="AE750" s="1474"/>
      <c r="AF750" s="1474"/>
      <c r="AG750" s="1475"/>
      <c r="AH750" s="1470" t="str">
        <f t="shared" si="35"/>
        <v/>
      </c>
      <c r="AI750" s="1471"/>
      <c r="AJ750" s="1472"/>
      <c r="AK750" s="1355" t="s">
        <v>591</v>
      </c>
      <c r="AL750" s="1356"/>
      <c r="AM750" s="1356"/>
      <c r="AN750" s="1356"/>
      <c r="AO750" s="1357"/>
      <c r="AT750"/>
      <c r="AU750"/>
      <c r="AV750"/>
      <c r="AW750"/>
      <c r="AX750"/>
      <c r="AY750"/>
      <c r="AZ750" s="118" t="str">
        <f>IF($G750=0,"N/A",VLOOKUP($T$189,TC_Rent,(MATCH($B750,bedrooms,FALSE)),FALSE))</f>
        <v>N/A</v>
      </c>
      <c r="BA750" s="34"/>
      <c r="BB750" s="34"/>
      <c r="BC750" s="34"/>
      <c r="BD750" s="34"/>
      <c r="BE750" s="34"/>
      <c r="BF750" s="295">
        <f t="shared" si="9"/>
        <v>0</v>
      </c>
      <c r="BG750" s="298">
        <f t="shared" si="10"/>
        <v>0</v>
      </c>
      <c r="BH750" s="299" t="str">
        <f t="shared" si="11"/>
        <v/>
      </c>
      <c r="BJ750" s="34"/>
      <c r="BK750" s="34"/>
      <c r="BL750" s="34"/>
      <c r="BM750" s="34"/>
      <c r="BN750" s="34"/>
      <c r="BO750"/>
      <c r="BP750"/>
      <c r="BQ750"/>
      <c r="BR750"/>
      <c r="BS750" s="295">
        <f t="shared" si="12"/>
        <v>0</v>
      </c>
      <c r="BT750" s="298">
        <f t="shared" si="13"/>
        <v>0</v>
      </c>
      <c r="BU750" s="299" t="str">
        <f t="shared" si="14"/>
        <v/>
      </c>
      <c r="CD750"/>
      <c r="CG750" s="1495">
        <f t="shared" si="36"/>
        <v>0</v>
      </c>
      <c r="CH750" s="1497"/>
      <c r="CI750" s="1489">
        <f t="shared" si="37"/>
        <v>0</v>
      </c>
      <c r="CJ750" s="1491"/>
      <c r="CK750" s="1495">
        <f t="shared" si="15"/>
        <v>0</v>
      </c>
      <c r="CL750" s="1497"/>
      <c r="CM750" s="1489">
        <f t="shared" si="16"/>
        <v>0</v>
      </c>
      <c r="CN750" s="1491"/>
      <c r="CP750" s="1485">
        <f t="shared" si="17"/>
        <v>0</v>
      </c>
      <c r="CQ750" s="1486"/>
      <c r="CR750" s="1486"/>
      <c r="CS750" s="1486"/>
      <c r="CT750" s="1487"/>
      <c r="CU750" s="1463">
        <f t="shared" si="18"/>
        <v>0</v>
      </c>
      <c r="CV750" s="1463"/>
      <c r="CW750" s="1463"/>
      <c r="CX750" s="1463"/>
      <c r="CY750" s="1463"/>
      <c r="CZ750" s="1463">
        <f t="shared" si="19"/>
        <v>0</v>
      </c>
      <c r="DA750" s="1463"/>
      <c r="DB750" s="1463"/>
      <c r="DC750" s="1463"/>
      <c r="DD750" s="1463"/>
      <c r="DE750" s="1463">
        <f t="shared" si="20"/>
        <v>0</v>
      </c>
      <c r="DF750" s="1463"/>
      <c r="DG750" s="1463"/>
      <c r="DH750" s="1463"/>
      <c r="DI750" s="1463"/>
      <c r="DJ750" s="1463">
        <f t="shared" si="21"/>
        <v>0</v>
      </c>
      <c r="DK750" s="1463"/>
      <c r="DL750" s="1463"/>
      <c r="DM750" s="1463"/>
      <c r="DN750" s="1463"/>
      <c r="DO750" s="1463">
        <f t="shared" si="22"/>
        <v>0</v>
      </c>
      <c r="DP750" s="1463"/>
      <c r="DQ750" s="1463"/>
      <c r="DR750" s="1463"/>
      <c r="DS750" s="1463"/>
      <c r="DT750" s="6"/>
      <c r="DU750" s="1465">
        <f t="shared" si="23"/>
        <v>0</v>
      </c>
      <c r="DV750" s="1465"/>
      <c r="DW750" s="1465"/>
      <c r="DX750" s="1465"/>
      <c r="DY750" s="1465"/>
      <c r="DZ750" s="1465">
        <f t="shared" si="24"/>
        <v>0</v>
      </c>
      <c r="EA750" s="1465"/>
      <c r="EB750" s="1465"/>
      <c r="EC750" s="1465"/>
      <c r="ED750" s="1465"/>
      <c r="EE750" s="1465">
        <f t="shared" si="25"/>
        <v>0</v>
      </c>
      <c r="EF750" s="1465"/>
      <c r="EG750" s="1465"/>
      <c r="EH750" s="1465"/>
      <c r="EI750" s="1465"/>
      <c r="EJ750" s="1465">
        <f t="shared" si="26"/>
        <v>0</v>
      </c>
      <c r="EK750" s="1465"/>
      <c r="EL750" s="1465"/>
      <c r="EM750" s="1465"/>
      <c r="EN750" s="1465"/>
      <c r="EO750" s="1465">
        <f t="shared" si="27"/>
        <v>0</v>
      </c>
      <c r="EP750" s="1465"/>
      <c r="EQ750" s="1465"/>
      <c r="ER750" s="1465"/>
      <c r="ES750" s="1465"/>
      <c r="ET750" s="1465">
        <f t="shared" si="28"/>
        <v>0</v>
      </c>
      <c r="EU750" s="1465"/>
      <c r="EV750" s="1465"/>
      <c r="EW750" s="1465"/>
      <c r="EX750" s="1465"/>
      <c r="EY750"/>
      <c r="EZ750" s="1495" t="str">
        <f t="shared" si="29"/>
        <v/>
      </c>
      <c r="FA750" s="1496"/>
      <c r="FB750" s="1496"/>
      <c r="FC750" s="1496"/>
      <c r="FD750" s="1497"/>
      <c r="FE750" s="1495" t="str">
        <f t="shared" si="30"/>
        <v/>
      </c>
      <c r="FF750" s="1496"/>
      <c r="FG750" s="1496"/>
      <c r="FH750" s="1496"/>
      <c r="FI750" s="1497"/>
      <c r="FJ750" s="1495" t="str">
        <f t="shared" si="31"/>
        <v/>
      </c>
      <c r="FK750" s="1496"/>
      <c r="FL750" s="1496"/>
      <c r="FM750" s="1496"/>
      <c r="FN750" s="1497"/>
      <c r="FO750" s="1495" t="str">
        <f t="shared" si="32"/>
        <v/>
      </c>
      <c r="FP750" s="1496"/>
      <c r="FQ750" s="1496"/>
      <c r="FR750" s="1496"/>
      <c r="FS750" s="1497"/>
      <c r="FT750" s="1495" t="str">
        <f t="shared" si="33"/>
        <v/>
      </c>
      <c r="FU750" s="1496"/>
      <c r="FV750" s="1496"/>
      <c r="FW750" s="1496"/>
      <c r="FX750" s="1497"/>
      <c r="FY750" s="1495" t="str">
        <f t="shared" si="34"/>
        <v/>
      </c>
      <c r="FZ750" s="1496"/>
      <c r="GA750" s="1496"/>
      <c r="GB750" s="1496"/>
      <c r="GC750" s="1497"/>
    </row>
    <row r="751" spans="1:185" s="3" customFormat="1" ht="12.95" customHeight="1">
      <c r="A751"/>
      <c r="B751" s="1355"/>
      <c r="C751" s="1356"/>
      <c r="D751" s="1356"/>
      <c r="E751" s="1356"/>
      <c r="F751" s="1357"/>
      <c r="G751" s="1349"/>
      <c r="H751" s="1350"/>
      <c r="I751" s="1350"/>
      <c r="J751" s="1351"/>
      <c r="K751" s="1352"/>
      <c r="L751" s="1353"/>
      <c r="M751" s="1353"/>
      <c r="N751" s="1354"/>
      <c r="O751" s="1370"/>
      <c r="P751" s="1371"/>
      <c r="Q751" s="1371"/>
      <c r="R751" s="1371"/>
      <c r="S751" s="1372"/>
      <c r="T751" s="1370"/>
      <c r="U751" s="1371"/>
      <c r="V751" s="1371"/>
      <c r="W751" s="1372"/>
      <c r="X751" s="1607">
        <f t="shared" si="38"/>
        <v>0</v>
      </c>
      <c r="Y751" s="1422"/>
      <c r="Z751" s="1422"/>
      <c r="AA751" s="1422"/>
      <c r="AB751" s="1608"/>
      <c r="AC751" s="1473"/>
      <c r="AD751" s="1474"/>
      <c r="AE751" s="1474"/>
      <c r="AF751" s="1474"/>
      <c r="AG751" s="1475"/>
      <c r="AH751" s="1470" t="str">
        <f t="shared" si="35"/>
        <v/>
      </c>
      <c r="AI751" s="1471"/>
      <c r="AJ751" s="1472"/>
      <c r="AK751" s="1355" t="s">
        <v>591</v>
      </c>
      <c r="AL751" s="1356"/>
      <c r="AM751" s="1356"/>
      <c r="AN751" s="1356"/>
      <c r="AO751" s="1357"/>
      <c r="AT751"/>
      <c r="AU751"/>
      <c r="AV751"/>
      <c r="AW751"/>
      <c r="AX751"/>
      <c r="AY751"/>
      <c r="AZ751" s="118" t="str">
        <f>IF($G751=0,"N/A",VLOOKUP($T$189,TC_Rent,(MATCH($B751,bedrooms,FALSE)),FALSE))</f>
        <v>N/A</v>
      </c>
      <c r="BA751" s="34"/>
      <c r="BB751" s="34"/>
      <c r="BC751" s="34"/>
      <c r="BD751" s="34"/>
      <c r="BE751" s="34"/>
      <c r="BF751" s="295">
        <f t="shared" si="9"/>
        <v>0</v>
      </c>
      <c r="BG751" s="298">
        <f t="shared" si="10"/>
        <v>0</v>
      </c>
      <c r="BH751" s="299" t="str">
        <f t="shared" si="11"/>
        <v/>
      </c>
      <c r="BJ751" s="34"/>
      <c r="BK751" s="34"/>
      <c r="BL751" s="34"/>
      <c r="BM751" s="34"/>
      <c r="BN751" s="34"/>
      <c r="BO751"/>
      <c r="BP751"/>
      <c r="BQ751"/>
      <c r="BR751"/>
      <c r="BS751" s="295">
        <f t="shared" si="12"/>
        <v>0</v>
      </c>
      <c r="BT751" s="298">
        <f t="shared" si="13"/>
        <v>0</v>
      </c>
      <c r="BU751" s="299" t="str">
        <f t="shared" si="14"/>
        <v/>
      </c>
      <c r="CD751"/>
      <c r="CG751" s="1495">
        <f t="shared" si="36"/>
        <v>0</v>
      </c>
      <c r="CH751" s="1497"/>
      <c r="CI751" s="1489">
        <f t="shared" si="37"/>
        <v>0</v>
      </c>
      <c r="CJ751" s="1491"/>
      <c r="CK751" s="1495">
        <f t="shared" si="15"/>
        <v>0</v>
      </c>
      <c r="CL751" s="1497"/>
      <c r="CM751" s="1489">
        <f t="shared" si="16"/>
        <v>0</v>
      </c>
      <c r="CN751" s="1491"/>
      <c r="CP751" s="1485">
        <f t="shared" si="17"/>
        <v>0</v>
      </c>
      <c r="CQ751" s="1486"/>
      <c r="CR751" s="1486"/>
      <c r="CS751" s="1486"/>
      <c r="CT751" s="1487"/>
      <c r="CU751" s="1463">
        <f t="shared" si="18"/>
        <v>0</v>
      </c>
      <c r="CV751" s="1463"/>
      <c r="CW751" s="1463"/>
      <c r="CX751" s="1463"/>
      <c r="CY751" s="1463"/>
      <c r="CZ751" s="1463">
        <f t="shared" si="19"/>
        <v>0</v>
      </c>
      <c r="DA751" s="1463"/>
      <c r="DB751" s="1463"/>
      <c r="DC751" s="1463"/>
      <c r="DD751" s="1463"/>
      <c r="DE751" s="1463">
        <f t="shared" si="20"/>
        <v>0</v>
      </c>
      <c r="DF751" s="1463"/>
      <c r="DG751" s="1463"/>
      <c r="DH751" s="1463"/>
      <c r="DI751" s="1463"/>
      <c r="DJ751" s="1463">
        <f t="shared" si="21"/>
        <v>0</v>
      </c>
      <c r="DK751" s="1463"/>
      <c r="DL751" s="1463"/>
      <c r="DM751" s="1463"/>
      <c r="DN751" s="1463"/>
      <c r="DO751" s="1463">
        <f t="shared" si="22"/>
        <v>0</v>
      </c>
      <c r="DP751" s="1463"/>
      <c r="DQ751" s="1463"/>
      <c r="DR751" s="1463"/>
      <c r="DS751" s="1463"/>
      <c r="DT751" s="6"/>
      <c r="DU751" s="1465">
        <f t="shared" si="23"/>
        <v>0</v>
      </c>
      <c r="DV751" s="1465"/>
      <c r="DW751" s="1465"/>
      <c r="DX751" s="1465"/>
      <c r="DY751" s="1465"/>
      <c r="DZ751" s="1465">
        <f t="shared" si="24"/>
        <v>0</v>
      </c>
      <c r="EA751" s="1465"/>
      <c r="EB751" s="1465"/>
      <c r="EC751" s="1465"/>
      <c r="ED751" s="1465"/>
      <c r="EE751" s="1465">
        <f t="shared" si="25"/>
        <v>0</v>
      </c>
      <c r="EF751" s="1465"/>
      <c r="EG751" s="1465"/>
      <c r="EH751" s="1465"/>
      <c r="EI751" s="1465"/>
      <c r="EJ751" s="1465">
        <f t="shared" si="26"/>
        <v>0</v>
      </c>
      <c r="EK751" s="1465"/>
      <c r="EL751" s="1465"/>
      <c r="EM751" s="1465"/>
      <c r="EN751" s="1465"/>
      <c r="EO751" s="1465">
        <f t="shared" si="27"/>
        <v>0</v>
      </c>
      <c r="EP751" s="1465"/>
      <c r="EQ751" s="1465"/>
      <c r="ER751" s="1465"/>
      <c r="ES751" s="1465"/>
      <c r="ET751" s="1465">
        <f t="shared" si="28"/>
        <v>0</v>
      </c>
      <c r="EU751" s="1465"/>
      <c r="EV751" s="1465"/>
      <c r="EW751" s="1465"/>
      <c r="EX751" s="1465"/>
      <c r="EY751"/>
      <c r="EZ751" s="1495" t="str">
        <f t="shared" si="29"/>
        <v/>
      </c>
      <c r="FA751" s="1496"/>
      <c r="FB751" s="1496"/>
      <c r="FC751" s="1496"/>
      <c r="FD751" s="1497"/>
      <c r="FE751" s="1495" t="str">
        <f t="shared" si="30"/>
        <v/>
      </c>
      <c r="FF751" s="1496"/>
      <c r="FG751" s="1496"/>
      <c r="FH751" s="1496"/>
      <c r="FI751" s="1497"/>
      <c r="FJ751" s="1495" t="str">
        <f t="shared" si="31"/>
        <v/>
      </c>
      <c r="FK751" s="1496"/>
      <c r="FL751" s="1496"/>
      <c r="FM751" s="1496"/>
      <c r="FN751" s="1497"/>
      <c r="FO751" s="1495" t="str">
        <f t="shared" si="32"/>
        <v/>
      </c>
      <c r="FP751" s="1496"/>
      <c r="FQ751" s="1496"/>
      <c r="FR751" s="1496"/>
      <c r="FS751" s="1497"/>
      <c r="FT751" s="1495" t="str">
        <f t="shared" si="33"/>
        <v/>
      </c>
      <c r="FU751" s="1496"/>
      <c r="FV751" s="1496"/>
      <c r="FW751" s="1496"/>
      <c r="FX751" s="1497"/>
      <c r="FY751" s="1495" t="str">
        <f t="shared" si="34"/>
        <v/>
      </c>
      <c r="FZ751" s="1496"/>
      <c r="GA751" s="1496"/>
      <c r="GB751" s="1496"/>
      <c r="GC751" s="1497"/>
    </row>
    <row r="752" spans="1:185" s="3" customFormat="1" ht="12.95" customHeight="1">
      <c r="A752"/>
      <c r="B752" s="1355"/>
      <c r="C752" s="1356"/>
      <c r="D752" s="1356"/>
      <c r="E752" s="1356"/>
      <c r="F752" s="1357"/>
      <c r="G752" s="1349"/>
      <c r="H752" s="1350"/>
      <c r="I752" s="1350"/>
      <c r="J752" s="1351"/>
      <c r="K752" s="1352"/>
      <c r="L752" s="1353"/>
      <c r="M752" s="1353"/>
      <c r="N752" s="1354"/>
      <c r="O752" s="1370"/>
      <c r="P752" s="1371"/>
      <c r="Q752" s="1371"/>
      <c r="R752" s="1371"/>
      <c r="S752" s="1372"/>
      <c r="T752" s="1370"/>
      <c r="U752" s="1371"/>
      <c r="V752" s="1371"/>
      <c r="W752" s="1372"/>
      <c r="X752" s="1607">
        <f>O752+T752</f>
        <v>0</v>
      </c>
      <c r="Y752" s="1422"/>
      <c r="Z752" s="1422"/>
      <c r="AA752" s="1422"/>
      <c r="AB752" s="1608"/>
      <c r="AC752" s="1473"/>
      <c r="AD752" s="1474"/>
      <c r="AE752" s="1474"/>
      <c r="AF752" s="1474"/>
      <c r="AG752" s="1475"/>
      <c r="AH752" s="1470" t="str">
        <f t="shared" si="35"/>
        <v/>
      </c>
      <c r="AI752" s="1471"/>
      <c r="AJ752" s="1472"/>
      <c r="AK752" s="1355" t="s">
        <v>591</v>
      </c>
      <c r="AL752" s="1356"/>
      <c r="AM752" s="1356"/>
      <c r="AN752" s="1356"/>
      <c r="AO752" s="1357"/>
      <c r="AT752"/>
      <c r="AU752"/>
      <c r="AV752"/>
      <c r="AW752"/>
      <c r="AX752"/>
      <c r="AY752"/>
      <c r="AZ752" s="118" t="str">
        <f>IF($G752=0,"N/A",VLOOKUP($T$189,TC_Rent,(MATCH($B752,bedrooms,FALSE)),FALSE))</f>
        <v>N/A</v>
      </c>
      <c r="BA752" s="34"/>
      <c r="BB752" s="34"/>
      <c r="BC752" s="34"/>
      <c r="BE752"/>
      <c r="BF752" s="295">
        <f t="shared" si="9"/>
        <v>0</v>
      </c>
      <c r="BG752" s="298">
        <f t="shared" si="10"/>
        <v>0</v>
      </c>
      <c r="BH752" s="299" t="str">
        <f t="shared" si="11"/>
        <v/>
      </c>
      <c r="BJ752" s="34"/>
      <c r="BK752" s="34"/>
      <c r="BL752" s="34"/>
      <c r="BM752" s="34"/>
      <c r="BN752" s="34"/>
      <c r="BO752"/>
      <c r="BP752"/>
      <c r="BQ752"/>
      <c r="BR752"/>
      <c r="BS752" s="861">
        <f t="shared" si="12"/>
        <v>0</v>
      </c>
      <c r="BT752" s="298">
        <f t="shared" si="13"/>
        <v>0</v>
      </c>
      <c r="BU752" s="299" t="str">
        <f t="shared" si="14"/>
        <v/>
      </c>
      <c r="CD752"/>
      <c r="CG752" s="1495">
        <f t="shared" si="36"/>
        <v>0</v>
      </c>
      <c r="CH752" s="1497"/>
      <c r="CI752" s="1489">
        <f t="shared" si="37"/>
        <v>0</v>
      </c>
      <c r="CJ752" s="1491"/>
      <c r="CK752" s="1495">
        <f t="shared" si="15"/>
        <v>0</v>
      </c>
      <c r="CL752" s="1497"/>
      <c r="CM752" s="1489">
        <f t="shared" si="16"/>
        <v>0</v>
      </c>
      <c r="CN752" s="1491"/>
      <c r="CP752" s="1485">
        <f t="shared" si="17"/>
        <v>0</v>
      </c>
      <c r="CQ752" s="1486"/>
      <c r="CR752" s="1486"/>
      <c r="CS752" s="1486"/>
      <c r="CT752" s="1487"/>
      <c r="CU752" s="1463">
        <f t="shared" si="18"/>
        <v>0</v>
      </c>
      <c r="CV752" s="1463"/>
      <c r="CW752" s="1463"/>
      <c r="CX752" s="1463"/>
      <c r="CY752" s="1463"/>
      <c r="CZ752" s="1463">
        <f t="shared" si="19"/>
        <v>0</v>
      </c>
      <c r="DA752" s="1463"/>
      <c r="DB752" s="1463"/>
      <c r="DC752" s="1463"/>
      <c r="DD752" s="1463"/>
      <c r="DE752" s="1463">
        <f t="shared" si="20"/>
        <v>0</v>
      </c>
      <c r="DF752" s="1463"/>
      <c r="DG752" s="1463"/>
      <c r="DH752" s="1463"/>
      <c r="DI752" s="1463"/>
      <c r="DJ752" s="1463">
        <f t="shared" si="21"/>
        <v>0</v>
      </c>
      <c r="DK752" s="1463"/>
      <c r="DL752" s="1463"/>
      <c r="DM752" s="1463"/>
      <c r="DN752" s="1463"/>
      <c r="DO752" s="1463">
        <f t="shared" si="22"/>
        <v>0</v>
      </c>
      <c r="DP752" s="1463"/>
      <c r="DQ752" s="1463"/>
      <c r="DR752" s="1463"/>
      <c r="DS752" s="1463"/>
      <c r="DT752" s="6"/>
      <c r="DU752" s="1465">
        <f t="shared" si="23"/>
        <v>0</v>
      </c>
      <c r="DV752" s="1465"/>
      <c r="DW752" s="1465"/>
      <c r="DX752" s="1465"/>
      <c r="DY752" s="1465"/>
      <c r="DZ752" s="1465">
        <f t="shared" si="24"/>
        <v>0</v>
      </c>
      <c r="EA752" s="1465"/>
      <c r="EB752" s="1465"/>
      <c r="EC752" s="1465"/>
      <c r="ED752" s="1465"/>
      <c r="EE752" s="1465">
        <f t="shared" si="25"/>
        <v>0</v>
      </c>
      <c r="EF752" s="1465"/>
      <c r="EG752" s="1465"/>
      <c r="EH752" s="1465"/>
      <c r="EI752" s="1465"/>
      <c r="EJ752" s="1465">
        <f t="shared" si="26"/>
        <v>0</v>
      </c>
      <c r="EK752" s="1465"/>
      <c r="EL752" s="1465"/>
      <c r="EM752" s="1465"/>
      <c r="EN752" s="1465"/>
      <c r="EO752" s="1465">
        <f t="shared" si="27"/>
        <v>0</v>
      </c>
      <c r="EP752" s="1465"/>
      <c r="EQ752" s="1465"/>
      <c r="ER752" s="1465"/>
      <c r="ES752" s="1465"/>
      <c r="ET752" s="1465">
        <f t="shared" si="28"/>
        <v>0</v>
      </c>
      <c r="EU752" s="1465"/>
      <c r="EV752" s="1465"/>
      <c r="EW752" s="1465"/>
      <c r="EX752" s="1465"/>
      <c r="EY752"/>
      <c r="EZ752" s="1495" t="str">
        <f t="shared" si="29"/>
        <v/>
      </c>
      <c r="FA752" s="1496"/>
      <c r="FB752" s="1496"/>
      <c r="FC752" s="1496"/>
      <c r="FD752" s="1497"/>
      <c r="FE752" s="1495" t="str">
        <f t="shared" si="30"/>
        <v/>
      </c>
      <c r="FF752" s="1496"/>
      <c r="FG752" s="1496"/>
      <c r="FH752" s="1496"/>
      <c r="FI752" s="1497"/>
      <c r="FJ752" s="1495" t="str">
        <f t="shared" si="31"/>
        <v/>
      </c>
      <c r="FK752" s="1496"/>
      <c r="FL752" s="1496"/>
      <c r="FM752" s="1496"/>
      <c r="FN752" s="1497"/>
      <c r="FO752" s="1495" t="str">
        <f t="shared" si="32"/>
        <v/>
      </c>
      <c r="FP752" s="1496"/>
      <c r="FQ752" s="1496"/>
      <c r="FR752" s="1496"/>
      <c r="FS752" s="1497"/>
      <c r="FT752" s="1495" t="str">
        <f t="shared" si="33"/>
        <v/>
      </c>
      <c r="FU752" s="1496"/>
      <c r="FV752" s="1496"/>
      <c r="FW752" s="1496"/>
      <c r="FX752" s="1497"/>
      <c r="FY752" s="1495" t="str">
        <f t="shared" si="34"/>
        <v/>
      </c>
      <c r="FZ752" s="1496"/>
      <c r="GA752" s="1496"/>
      <c r="GB752" s="1496"/>
      <c r="GC752" s="1497"/>
    </row>
    <row r="753" spans="1:185" s="3" customFormat="1" ht="12.95" customHeight="1">
      <c r="A753"/>
      <c r="B753" s="1467" t="s">
        <v>125</v>
      </c>
      <c r="C753" s="1468"/>
      <c r="D753" s="1468"/>
      <c r="E753" s="1468"/>
      <c r="F753" s="1469"/>
      <c r="G753" s="1613">
        <f>SUM(G718:G752)</f>
        <v>230</v>
      </c>
      <c r="H753" s="1614"/>
      <c r="I753" s="1614"/>
      <c r="J753" s="1615"/>
      <c r="K753" s="903" t="s">
        <v>124</v>
      </c>
      <c r="L753" s="5"/>
      <c r="M753" s="5"/>
      <c r="N753" s="46"/>
      <c r="O753" s="1607">
        <f>SUMPRODUCT(G718:G752,O718:O752)</f>
        <v>371480</v>
      </c>
      <c r="P753" s="1422"/>
      <c r="Q753" s="1422"/>
      <c r="R753" s="1422"/>
      <c r="S753" s="1608"/>
      <c r="T753"/>
      <c r="U753"/>
      <c r="V753"/>
      <c r="W753"/>
      <c r="X753" s="905" t="s">
        <v>900</v>
      </c>
      <c r="Y753" s="904"/>
      <c r="Z753" s="904"/>
      <c r="AA753" s="904"/>
      <c r="AB753" s="906"/>
      <c r="AC753" s="1610">
        <f>BH753</f>
        <v>0.58260869565217388</v>
      </c>
      <c r="AD753" s="1611"/>
      <c r="AE753" s="1611"/>
      <c r="AF753" s="1611"/>
      <c r="AG753" s="1612"/>
      <c r="AH753" s="1610">
        <f>IFERROR(BU753,"")</f>
        <v>0.58265529230438362</v>
      </c>
      <c r="AI753" s="1611"/>
      <c r="AJ753" s="1612"/>
      <c r="AK753"/>
      <c r="AL753"/>
      <c r="AM753"/>
      <c r="AN753"/>
      <c r="AO753"/>
      <c r="AP753" s="206"/>
      <c r="AQ753" s="206"/>
      <c r="AR753" s="206"/>
      <c r="AS753" s="206"/>
      <c r="AT753"/>
      <c r="AU753"/>
      <c r="AV753"/>
      <c r="AW753"/>
      <c r="AX753"/>
      <c r="AY753"/>
      <c r="AZ753" s="34"/>
      <c r="BA753" s="34"/>
      <c r="BB753" s="34"/>
      <c r="BC753" s="34"/>
      <c r="BE753" s="291" t="s">
        <v>899</v>
      </c>
      <c r="BF753" s="300">
        <f>SUM(BF718:BF752)</f>
        <v>230</v>
      </c>
      <c r="BG753" s="301">
        <f>SUM(BG718:BG752)</f>
        <v>1</v>
      </c>
      <c r="BH753" s="301">
        <f>SUM(BH718:BH752)</f>
        <v>0.58260869565217388</v>
      </c>
      <c r="BI753"/>
      <c r="BJ753"/>
      <c r="BK753"/>
      <c r="BL753"/>
      <c r="BO753"/>
      <c r="BP753"/>
      <c r="BQ753"/>
      <c r="BR753"/>
      <c r="BS753" s="860">
        <f>SUM(BS718:BS752)</f>
        <v>230</v>
      </c>
      <c r="BT753" s="301">
        <f>SUM(BT718:BT752)</f>
        <v>1</v>
      </c>
      <c r="BU753" s="301">
        <f>SUM(BU718:BU752)</f>
        <v>0.58265529230438362</v>
      </c>
      <c r="CI753" s="1495">
        <f>SUM(CI718:CJ752)</f>
        <v>24</v>
      </c>
      <c r="CJ753" s="1497"/>
      <c r="CM753" s="1495">
        <f>SUM(CM718:CN752)</f>
        <v>24</v>
      </c>
      <c r="CN753" s="1497"/>
      <c r="CP753" s="1495">
        <f>SUM(CP718:CT752)</f>
        <v>101</v>
      </c>
      <c r="CQ753" s="1496"/>
      <c r="CR753" s="1496"/>
      <c r="CS753" s="1496"/>
      <c r="CT753" s="1497"/>
      <c r="CU753" s="1464">
        <f>SUM(CU718:CY752)</f>
        <v>36</v>
      </c>
      <c r="CV753" s="1464"/>
      <c r="CW753" s="1464"/>
      <c r="CX753" s="1464"/>
      <c r="CY753" s="1464"/>
      <c r="CZ753" s="1464">
        <f>SUM(CZ718:DD752)</f>
        <v>93</v>
      </c>
      <c r="DA753" s="1464"/>
      <c r="DB753" s="1464"/>
      <c r="DC753" s="1464"/>
      <c r="DD753" s="1464"/>
      <c r="DE753" s="1464">
        <f>SUM(DE718:DI752)</f>
        <v>0</v>
      </c>
      <c r="DF753" s="1464"/>
      <c r="DG753" s="1464"/>
      <c r="DH753" s="1464"/>
      <c r="DI753" s="1464"/>
      <c r="DJ753" s="1464">
        <f>SUM(DJ718:DN752)</f>
        <v>0</v>
      </c>
      <c r="DK753" s="1464"/>
      <c r="DL753" s="1464"/>
      <c r="DM753" s="1464"/>
      <c r="DN753" s="1464"/>
      <c r="DO753" s="1464">
        <f>SUM(DO718:DS752)</f>
        <v>0</v>
      </c>
      <c r="DP753" s="1464"/>
      <c r="DQ753" s="1464"/>
      <c r="DR753" s="1464"/>
      <c r="DS753" s="1464"/>
      <c r="DT753" s="355"/>
      <c r="DU753" s="1464">
        <f>SUM(DU718:DY752)</f>
        <v>24</v>
      </c>
      <c r="DV753" s="1464"/>
      <c r="DW753" s="1464"/>
      <c r="DX753" s="1464"/>
      <c r="DY753" s="1464"/>
      <c r="DZ753" s="1464">
        <f>SUM(DZ718:ED752)</f>
        <v>0</v>
      </c>
      <c r="EA753" s="1464"/>
      <c r="EB753" s="1464"/>
      <c r="EC753" s="1464"/>
      <c r="ED753" s="1464"/>
      <c r="EE753" s="1464">
        <f>SUM(EE718:EI752)</f>
        <v>0</v>
      </c>
      <c r="EF753" s="1464"/>
      <c r="EG753" s="1464"/>
      <c r="EH753" s="1464"/>
      <c r="EI753" s="1464"/>
      <c r="EJ753" s="1464">
        <f>SUM(EJ718:EN752)</f>
        <v>0</v>
      </c>
      <c r="EK753" s="1464"/>
      <c r="EL753" s="1464"/>
      <c r="EM753" s="1464"/>
      <c r="EN753" s="1464"/>
      <c r="EO753" s="1464">
        <f>SUM(EO718:ES752)</f>
        <v>0</v>
      </c>
      <c r="EP753" s="1464"/>
      <c r="EQ753" s="1464"/>
      <c r="ER753" s="1464"/>
      <c r="ES753" s="1464"/>
      <c r="ET753" s="1464">
        <f>SUM(ET718:EX752)</f>
        <v>0</v>
      </c>
      <c r="EU753" s="1464"/>
      <c r="EV753" s="1464"/>
      <c r="EW753" s="1464"/>
      <c r="EX753" s="1464"/>
      <c r="EY753"/>
      <c r="EZ753" s="1464">
        <f>SUM(EZ718:FD752)</f>
        <v>3397</v>
      </c>
      <c r="FA753" s="1464"/>
      <c r="FB753" s="1464"/>
      <c r="FC753" s="1464"/>
      <c r="FD753" s="1464"/>
      <c r="FE753" s="1464">
        <f>SUM(FE718:FI752)</f>
        <v>1560</v>
      </c>
      <c r="FF753" s="1464"/>
      <c r="FG753" s="1464"/>
      <c r="FH753" s="1464"/>
      <c r="FI753" s="1464"/>
      <c r="FJ753" s="1464">
        <f>SUM(FJ718:FN752)</f>
        <v>4056</v>
      </c>
      <c r="FK753" s="1464"/>
      <c r="FL753" s="1464"/>
      <c r="FM753" s="1464"/>
      <c r="FN753" s="1464"/>
      <c r="FO753" s="1464">
        <f>SUM(FO718:FS752)</f>
        <v>0</v>
      </c>
      <c r="FP753" s="1464"/>
      <c r="FQ753" s="1464"/>
      <c r="FR753" s="1464"/>
      <c r="FS753" s="1464"/>
      <c r="FT753" s="1464">
        <f>SUM(FT718:FX752)</f>
        <v>0</v>
      </c>
      <c r="FU753" s="1464"/>
      <c r="FV753" s="1464"/>
      <c r="FW753" s="1464"/>
      <c r="FX753" s="1464"/>
      <c r="FY753" s="1464">
        <f>SUM(FY718:GC752)</f>
        <v>0</v>
      </c>
      <c r="FZ753" s="1464"/>
      <c r="GA753" s="1464"/>
      <c r="GB753" s="1464"/>
      <c r="GC753" s="1464"/>
    </row>
    <row r="754" spans="1:185" s="3" customFormat="1" ht="12.95" customHeight="1">
      <c r="A754"/>
      <c r="B754" s="1627" t="s">
        <v>1893</v>
      </c>
      <c r="C754" s="1627"/>
      <c r="D754" s="1627"/>
      <c r="E754" s="1627"/>
      <c r="F754" s="1627"/>
      <c r="G754" s="1627"/>
      <c r="H754" s="1627"/>
      <c r="I754" s="1627"/>
      <c r="J754" s="1627"/>
      <c r="K754" s="1627"/>
      <c r="L754" s="1627"/>
      <c r="M754" s="1627"/>
      <c r="N754" s="1627"/>
      <c r="O754" s="1627"/>
      <c r="P754" s="1627"/>
      <c r="Q754" s="1627"/>
      <c r="R754" s="1627"/>
      <c r="S754" s="1627"/>
      <c r="T754" s="1627"/>
      <c r="U754" s="1627"/>
      <c r="V754" s="1627"/>
      <c r="W754" s="1627"/>
      <c r="X754" s="1627"/>
      <c r="Y754" s="1627"/>
      <c r="Z754" s="1627"/>
      <c r="AA754" s="1627"/>
      <c r="AB754" s="1627"/>
      <c r="AC754" s="1627"/>
      <c r="AD754" s="1627"/>
      <c r="AE754" s="1627"/>
      <c r="AF754" s="1627"/>
      <c r="AG754" s="1627"/>
      <c r="AH754" s="1627"/>
      <c r="AI754"/>
      <c r="AJ754"/>
      <c r="AK754"/>
      <c r="AT754"/>
      <c r="AU754"/>
      <c r="AV754"/>
      <c r="AW754"/>
      <c r="AX754"/>
      <c r="AY754"/>
      <c r="CD754"/>
      <c r="DN754" s="56" t="s">
        <v>1860</v>
      </c>
      <c r="DO754" s="1495">
        <f>CP753+CU753+CZ753+DE753+DJ753+DO753</f>
        <v>230</v>
      </c>
      <c r="DP754" s="1496"/>
      <c r="DQ754" s="1496"/>
      <c r="DR754" s="1496"/>
      <c r="DS754" s="1497"/>
      <c r="DT754" s="355"/>
      <c r="EI754"/>
      <c r="EJ754"/>
      <c r="EK754"/>
      <c r="EL754"/>
      <c r="EM754"/>
      <c r="EN754"/>
      <c r="EO754"/>
      <c r="EP754"/>
      <c r="EQ754"/>
      <c r="ER754"/>
      <c r="ES754"/>
      <c r="ET754"/>
      <c r="EU754"/>
      <c r="EV754"/>
      <c r="EW754"/>
      <c r="EX754"/>
      <c r="EY754"/>
      <c r="EZ754"/>
      <c r="FA754"/>
      <c r="FB754"/>
      <c r="FC754"/>
      <c r="FD754"/>
      <c r="FE754"/>
      <c r="FF754"/>
      <c r="FG754"/>
      <c r="FH754"/>
      <c r="FI754"/>
      <c r="FJ754"/>
      <c r="FK754"/>
      <c r="FL754"/>
      <c r="FM754"/>
      <c r="FN754"/>
      <c r="FO754"/>
      <c r="FP754"/>
      <c r="FQ754"/>
      <c r="FR754"/>
      <c r="FS754"/>
      <c r="FT754"/>
      <c r="FU754"/>
      <c r="FV754"/>
      <c r="FW754"/>
      <c r="FX754"/>
      <c r="FY754"/>
      <c r="FZ754"/>
      <c r="GA754"/>
      <c r="GB754"/>
      <c r="GC754"/>
    </row>
    <row r="755" spans="1:185" ht="12.95" customHeight="1">
      <c r="B755" s="1627"/>
      <c r="C755" s="1627"/>
      <c r="D755" s="1627"/>
      <c r="E755" s="1627"/>
      <c r="F755" s="1627"/>
      <c r="G755" s="1627"/>
      <c r="H755" s="1627"/>
      <c r="I755" s="1627"/>
      <c r="J755" s="1627"/>
      <c r="K755" s="1627"/>
      <c r="L755" s="1627"/>
      <c r="M755" s="1627"/>
      <c r="N755" s="1627"/>
      <c r="O755" s="1627"/>
      <c r="P755" s="1627"/>
      <c r="Q755" s="1627"/>
      <c r="R755" s="1627"/>
      <c r="S755" s="1627"/>
      <c r="T755" s="1627"/>
      <c r="U755" s="1627"/>
      <c r="V755" s="1627"/>
      <c r="W755" s="1627"/>
      <c r="X755" s="1627"/>
      <c r="Y755" s="1627"/>
      <c r="Z755" s="1627"/>
      <c r="AA755" s="1627"/>
      <c r="AB755" s="1627"/>
      <c r="AC755" s="1627"/>
      <c r="AD755" s="1627"/>
      <c r="AE755" s="1627"/>
      <c r="AF755" s="1627"/>
      <c r="AG755" s="1627"/>
      <c r="AH755" s="1627"/>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T755" s="862">
        <f>CP753*1</f>
        <v>101</v>
      </c>
      <c r="CU755" s="3"/>
      <c r="CV755" s="3"/>
      <c r="CW755" s="3"/>
      <c r="CX755" s="3"/>
      <c r="CY755" s="862">
        <f>CU753*1</f>
        <v>36</v>
      </c>
      <c r="CZ755" s="3"/>
      <c r="DA755" s="3"/>
      <c r="DB755" s="3"/>
      <c r="DC755" s="3"/>
      <c r="DD755" s="862">
        <f>CZ753*2</f>
        <v>186</v>
      </c>
      <c r="DE755" s="3"/>
      <c r="DF755" s="3"/>
      <c r="DG755" s="3"/>
      <c r="DH755" s="3"/>
      <c r="DI755" s="862">
        <f>DE753*3</f>
        <v>0</v>
      </c>
      <c r="DJ755" s="3"/>
      <c r="DK755" s="3"/>
      <c r="DL755" s="3"/>
      <c r="DM755" s="3"/>
      <c r="DN755" s="862">
        <f>DJ753*4</f>
        <v>0</v>
      </c>
      <c r="DO755" s="3"/>
      <c r="DP755" s="3"/>
      <c r="DQ755" s="3"/>
      <c r="DR755" s="3"/>
      <c r="DS755" s="862">
        <f>DO753*5</f>
        <v>0</v>
      </c>
      <c r="DU755" s="862">
        <f>CT755+CY755+DD755+DI755+DN755+DS755</f>
        <v>323</v>
      </c>
      <c r="DV755" s="57" t="s">
        <v>1862</v>
      </c>
      <c r="DW755" s="3"/>
      <c r="DX755" s="3"/>
      <c r="DY755" s="3"/>
      <c r="DZ755" s="3"/>
      <c r="EA755" s="3"/>
      <c r="EB755" s="3"/>
      <c r="EC755" s="3"/>
      <c r="ED755" s="3"/>
      <c r="EE755" s="3"/>
      <c r="EF755" s="3"/>
      <c r="EG755" s="3"/>
      <c r="EH755" s="3"/>
    </row>
    <row r="756" spans="1:185" ht="12.95" customHeight="1">
      <c r="A756" s="3"/>
      <c r="B756" s="3"/>
      <c r="C756" s="118" t="s">
        <v>1891</v>
      </c>
      <c r="D756" s="1033"/>
      <c r="E756" s="1033"/>
      <c r="F756" s="1033"/>
      <c r="G756" s="1034"/>
      <c r="H756" s="1034"/>
      <c r="I756" s="1034"/>
      <c r="J756" s="1034"/>
      <c r="K756" s="1033"/>
      <c r="L756" s="1033"/>
      <c r="M756" s="1033"/>
      <c r="N756" s="1033"/>
      <c r="O756" s="1464">
        <f>DU755</f>
        <v>323</v>
      </c>
      <c r="P756" s="1464"/>
      <c r="Q756" s="1464"/>
      <c r="R756" s="1464"/>
      <c r="S756" s="970"/>
      <c r="T756" s="970"/>
      <c r="U756" s="118" t="s">
        <v>1892</v>
      </c>
      <c r="V756" s="1033"/>
      <c r="W756" s="1033"/>
      <c r="X756" s="1033"/>
      <c r="Y756" s="1034"/>
      <c r="Z756" s="1034"/>
      <c r="AA756" s="1034"/>
      <c r="AB756" s="1034"/>
      <c r="AC756" s="1033"/>
      <c r="AD756" s="1033"/>
      <c r="AE756" s="1033"/>
      <c r="AF756" s="1033"/>
      <c r="AG756" s="1616">
        <v>0</v>
      </c>
      <c r="AH756" s="1616"/>
      <c r="AI756" s="1616"/>
      <c r="AJ756" s="1616"/>
      <c r="AK756" s="3"/>
      <c r="AL756" s="3"/>
      <c r="AM756" s="3"/>
      <c r="AN756" s="3"/>
      <c r="AO756" s="3"/>
      <c r="AP756" s="3"/>
      <c r="AQ756" s="3"/>
      <c r="AR756" s="3"/>
      <c r="AS756" s="3"/>
      <c r="AZ756" s="3"/>
      <c r="BA756" s="3"/>
      <c r="BB756" s="291"/>
      <c r="BC756" s="291"/>
      <c r="BD756" s="291"/>
      <c r="BE756" s="291"/>
      <c r="BF756" s="291"/>
      <c r="BG756" s="291"/>
      <c r="BH756" s="291"/>
      <c r="BI756" s="291"/>
      <c r="BJ756" s="291"/>
      <c r="BK756" s="291"/>
      <c r="BL756" s="291"/>
      <c r="BM756" s="291"/>
      <c r="BN756" s="291"/>
      <c r="BO756" s="291"/>
      <c r="BP756" s="291"/>
      <c r="BQ756" s="291"/>
      <c r="BR756" s="291"/>
      <c r="BS756" s="291"/>
      <c r="BT756" s="291"/>
      <c r="BU756" s="291"/>
      <c r="BV756" s="291"/>
      <c r="BW756" s="291"/>
      <c r="BX756" s="291"/>
      <c r="BY756" s="291"/>
      <c r="BZ756" s="291"/>
      <c r="CA756" s="291"/>
      <c r="CB756" s="291"/>
      <c r="CC756" s="291"/>
      <c r="CE756" s="3"/>
      <c r="CF756" s="291"/>
      <c r="CG756" s="291"/>
      <c r="CH756" s="291"/>
      <c r="CI756" s="291"/>
      <c r="CJ756" s="291"/>
      <c r="CK756" s="291"/>
      <c r="CL756" s="291"/>
      <c r="CM756" s="291"/>
      <c r="CN756" s="291"/>
      <c r="CO756" s="291"/>
      <c r="CP756" s="291"/>
      <c r="CQ756" s="291"/>
      <c r="CR756" s="291"/>
      <c r="CS756" s="291"/>
      <c r="CT756" s="291"/>
      <c r="CU756" s="291"/>
      <c r="CV756" s="291"/>
      <c r="CW756" s="291"/>
      <c r="CX756" s="291"/>
      <c r="CY756" s="291"/>
      <c r="CZ756" s="291"/>
      <c r="DA756" s="291"/>
      <c r="DB756" s="291"/>
      <c r="DC756" s="291"/>
      <c r="DD756" s="291"/>
      <c r="DE756" s="291"/>
      <c r="DF756" s="291"/>
      <c r="DG756" s="291"/>
      <c r="DH756" s="291"/>
      <c r="DI756" s="291"/>
      <c r="DJ756" s="291"/>
      <c r="DK756" s="291"/>
      <c r="DL756" s="291"/>
      <c r="DM756" s="291"/>
      <c r="DN756" s="291"/>
      <c r="DO756" s="291"/>
      <c r="DP756" s="291"/>
      <c r="DQ756" s="291"/>
      <c r="DR756" s="291"/>
      <c r="DS756" s="291"/>
      <c r="DT756" s="291"/>
      <c r="DU756" s="291"/>
      <c r="DV756" s="291"/>
      <c r="DW756" s="291"/>
      <c r="FB756" s="291"/>
      <c r="FC756" s="291"/>
    </row>
    <row r="757" spans="1:185" ht="12.95" customHeight="1">
      <c r="B757" s="57"/>
      <c r="C757" s="1348" t="str">
        <f>IF(G753&lt;&gt;AG440,"! Total Low-Income Units in the Unit Mix Table above does not match the number of Total Low-Income Units on row #"&amp;TEXT(ROW(D440),"#"),"")</f>
        <v/>
      </c>
      <c r="D757" s="1348"/>
      <c r="E757" s="1348"/>
      <c r="F757" s="1348"/>
      <c r="G757" s="1348"/>
      <c r="H757" s="1348"/>
      <c r="I757" s="1348"/>
      <c r="J757" s="1348"/>
      <c r="K757" s="1348"/>
      <c r="L757" s="1348"/>
      <c r="M757" s="1348"/>
      <c r="N757" s="1348"/>
      <c r="O757" s="1348"/>
      <c r="P757" s="1348"/>
      <c r="Q757" s="1348"/>
      <c r="R757" s="1348"/>
      <c r="S757" s="1348"/>
      <c r="T757" s="1348"/>
      <c r="U757" s="1348"/>
      <c r="V757" s="1348"/>
      <c r="W757" s="1348"/>
      <c r="X757" s="1348"/>
      <c r="Y757" s="1348"/>
      <c r="Z757" s="1348"/>
      <c r="AA757" s="1348"/>
      <c r="AB757" s="1348"/>
      <c r="AC757" s="1348"/>
      <c r="AD757" s="1348"/>
      <c r="AE757" s="1348"/>
      <c r="AF757" s="1348"/>
      <c r="AG757" s="1348"/>
      <c r="AH757" s="1348"/>
      <c r="AI757" s="1348"/>
      <c r="AJ757" s="1348"/>
      <c r="AK757" s="1348"/>
      <c r="AL757" s="1348"/>
      <c r="AM757" s="1348"/>
      <c r="AP757" s="291"/>
      <c r="AQ757" s="291"/>
      <c r="AR757" s="291"/>
      <c r="AS757" s="291"/>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85" ht="12.95" customHeight="1">
      <c r="B758" s="57"/>
      <c r="C758" s="1348"/>
      <c r="D758" s="1348"/>
      <c r="E758" s="1348"/>
      <c r="F758" s="1348"/>
      <c r="G758" s="1348"/>
      <c r="H758" s="1348"/>
      <c r="I758" s="1348"/>
      <c r="J758" s="1348"/>
      <c r="K758" s="1348"/>
      <c r="L758" s="1348"/>
      <c r="M758" s="1348"/>
      <c r="N758" s="1348"/>
      <c r="O758" s="1348"/>
      <c r="P758" s="1348"/>
      <c r="Q758" s="1348"/>
      <c r="R758" s="1348"/>
      <c r="S758" s="1348"/>
      <c r="T758" s="1348"/>
      <c r="U758" s="1348"/>
      <c r="V758" s="1348"/>
      <c r="W758" s="1348"/>
      <c r="X758" s="1348"/>
      <c r="Y758" s="1348"/>
      <c r="Z758" s="1348"/>
      <c r="AA758" s="1348"/>
      <c r="AB758" s="1348"/>
      <c r="AC758" s="1348"/>
      <c r="AD758" s="1348"/>
      <c r="AE758" s="1348"/>
      <c r="AF758" s="1348"/>
      <c r="AG758" s="1348"/>
      <c r="AH758" s="1348"/>
      <c r="AI758" s="1348"/>
      <c r="AJ758" s="1348"/>
      <c r="AK758" s="1348"/>
      <c r="AL758" s="1348"/>
      <c r="AM758" s="1348"/>
      <c r="AP758" s="291"/>
      <c r="AQ758" s="291"/>
      <c r="AR758" s="291"/>
      <c r="AS758" s="291"/>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85" ht="12.95" customHeight="1">
      <c r="B759" s="3"/>
      <c r="C759" s="118" t="s">
        <v>1890</v>
      </c>
      <c r="D759" s="1035"/>
      <c r="E759" s="1035"/>
      <c r="F759" s="1035"/>
      <c r="G759" s="1035"/>
      <c r="H759" s="1035"/>
      <c r="I759" s="1035"/>
      <c r="J759" s="1035"/>
      <c r="K759" s="1035"/>
      <c r="L759" s="1035"/>
      <c r="M759" s="1035"/>
      <c r="N759" s="1035"/>
      <c r="O759" s="1035"/>
      <c r="P759" s="1035"/>
      <c r="Q759" s="1035"/>
      <c r="R759" s="1035"/>
      <c r="S759" s="1035"/>
      <c r="T759" s="1035"/>
      <c r="U759" s="1035"/>
      <c r="V759" s="1035"/>
      <c r="W759" s="1035"/>
      <c r="X759" s="1035"/>
      <c r="Y759" s="1035"/>
      <c r="Z759" s="1035"/>
      <c r="AA759" s="1035"/>
      <c r="AB759" s="1035"/>
      <c r="AC759" s="1035"/>
      <c r="AD759" s="1628" t="s">
        <v>591</v>
      </c>
      <c r="AE759" s="1628"/>
      <c r="AF759" s="1628"/>
      <c r="AG759" s="1035"/>
      <c r="AH759" s="1035"/>
      <c r="AI759" s="1035"/>
      <c r="AJ759" s="1035"/>
      <c r="AK759" s="1035"/>
      <c r="AL759" s="1035"/>
      <c r="AM759" s="1035"/>
      <c r="AN759" s="1035"/>
      <c r="AO759" s="1035"/>
      <c r="AP759" s="1035"/>
      <c r="AQ759" s="1035"/>
      <c r="AR759" s="1035"/>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85" ht="12.95" customHeight="1">
      <c r="C760" s="1036" t="s">
        <v>2089</v>
      </c>
      <c r="D760" s="1035"/>
      <c r="E760" s="1035"/>
      <c r="F760" s="1035"/>
      <c r="G760" s="1035"/>
      <c r="H760" s="1035"/>
      <c r="I760" s="1035"/>
      <c r="J760" s="1035"/>
      <c r="K760" s="1035"/>
      <c r="L760" s="1035"/>
      <c r="M760" s="1035"/>
      <c r="N760" s="1035"/>
      <c r="O760" s="1035"/>
      <c r="P760" s="1035"/>
      <c r="Q760" s="1035"/>
      <c r="R760" s="1035"/>
      <c r="S760" s="1035"/>
      <c r="T760" s="1035"/>
      <c r="U760" s="1035"/>
      <c r="V760" s="1035"/>
      <c r="W760" s="1035"/>
      <c r="X760" s="1035"/>
      <c r="Y760" s="1035"/>
      <c r="Z760" s="1035"/>
      <c r="AA760" s="1035"/>
      <c r="AB760" s="1035"/>
      <c r="AC760" s="1035"/>
      <c r="AD760" s="1035"/>
      <c r="AE760" s="1035"/>
      <c r="AF760" s="1035"/>
      <c r="AG760" s="1035"/>
      <c r="AH760" s="1035"/>
      <c r="AI760" s="1035"/>
      <c r="AJ760" s="1035"/>
      <c r="AK760" s="1035"/>
      <c r="AL760" s="1035"/>
      <c r="AM760" s="1035"/>
      <c r="AN760" s="1035"/>
      <c r="AO760" s="1035"/>
      <c r="AP760" s="1035"/>
      <c r="AQ760" s="1035"/>
      <c r="AR760" s="1035"/>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85" ht="12.95" customHeight="1">
      <c r="A761" s="2" t="s">
        <v>576</v>
      </c>
      <c r="B761" s="56"/>
      <c r="C761" s="57" t="s">
        <v>423</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DU761" s="3"/>
      <c r="DV761" s="3"/>
      <c r="DW761" s="3"/>
      <c r="FB761" s="3"/>
      <c r="FC761" s="3"/>
    </row>
    <row r="762" spans="1:185" ht="12.95" customHeight="1">
      <c r="A762" s="3"/>
      <c r="B762" s="1033"/>
      <c r="C762" s="118" t="s">
        <v>176</v>
      </c>
      <c r="D762" s="1033"/>
      <c r="E762" s="1033"/>
      <c r="F762" s="1033"/>
      <c r="G762" s="355"/>
      <c r="H762" s="355"/>
      <c r="I762" s="355"/>
      <c r="J762" s="355"/>
      <c r="K762" s="355"/>
      <c r="L762" s="1033"/>
      <c r="M762" s="1033"/>
      <c r="N762" s="1033"/>
      <c r="O762" s="1033"/>
      <c r="P762" s="1033"/>
      <c r="Q762" s="355"/>
      <c r="R762" s="355"/>
      <c r="S762" s="355"/>
      <c r="T762" s="355"/>
      <c r="U762" s="355"/>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DU762" s="3"/>
      <c r="DV762" s="3"/>
      <c r="DW762" s="3"/>
      <c r="FB762" s="3"/>
      <c r="FC762" s="3"/>
    </row>
    <row r="763" spans="1:185" ht="12.95" customHeight="1">
      <c r="A763" s="3"/>
      <c r="B763" s="1033"/>
      <c r="C763" s="1265" t="s">
        <v>2090</v>
      </c>
      <c r="D763" s="1265"/>
      <c r="E763" s="1265"/>
      <c r="F763" s="1265"/>
      <c r="G763" s="1265"/>
      <c r="H763" s="1265"/>
      <c r="I763" s="1265"/>
      <c r="J763" s="1265"/>
      <c r="K763" s="1265"/>
      <c r="L763" s="1265"/>
      <c r="M763" s="1265"/>
      <c r="N763" s="1265"/>
      <c r="O763" s="1265"/>
      <c r="P763" s="1265"/>
      <c r="Q763" s="1265"/>
      <c r="R763" s="1265"/>
      <c r="S763" s="1265"/>
      <c r="T763" s="1265"/>
      <c r="U763" s="1265"/>
      <c r="V763" s="1265"/>
      <c r="W763" s="1265"/>
      <c r="X763" s="1265"/>
      <c r="Y763" s="1265"/>
      <c r="Z763" s="1265"/>
      <c r="AA763" s="1265"/>
      <c r="AB763" s="1265"/>
      <c r="AC763" s="1265"/>
      <c r="AD763" s="1265"/>
      <c r="AE763" s="1265"/>
      <c r="AF763" s="1265"/>
      <c r="AG763" s="1265"/>
      <c r="AH763" s="1265"/>
      <c r="AI763" s="1265"/>
      <c r="AJ763" s="1265"/>
      <c r="AK763" s="1265"/>
      <c r="AL763" s="1265"/>
      <c r="AM763" s="1265"/>
      <c r="AN763" s="1265"/>
      <c r="AO763" s="1265"/>
      <c r="AP763" s="1265"/>
      <c r="AQ763" s="1265"/>
      <c r="AR763" s="1265"/>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85" ht="12.95" customHeight="1">
      <c r="A764" s="3"/>
      <c r="B764" s="1033"/>
      <c r="C764" s="1265"/>
      <c r="D764" s="1265"/>
      <c r="E764" s="1265"/>
      <c r="F764" s="1265"/>
      <c r="G764" s="1265"/>
      <c r="H764" s="1265"/>
      <c r="I764" s="1265"/>
      <c r="J764" s="1265"/>
      <c r="K764" s="1265"/>
      <c r="L764" s="1265"/>
      <c r="M764" s="1265"/>
      <c r="N764" s="1265"/>
      <c r="O764" s="1265"/>
      <c r="P764" s="1265"/>
      <c r="Q764" s="1265"/>
      <c r="R764" s="1265"/>
      <c r="S764" s="1265"/>
      <c r="T764" s="1265"/>
      <c r="U764" s="1265"/>
      <c r="V764" s="1265"/>
      <c r="W764" s="1265"/>
      <c r="X764" s="1265"/>
      <c r="Y764" s="1265"/>
      <c r="Z764" s="1265"/>
      <c r="AA764" s="1265"/>
      <c r="AB764" s="1265"/>
      <c r="AC764" s="1265"/>
      <c r="AD764" s="1265"/>
      <c r="AE764" s="1265"/>
      <c r="AF764" s="1265"/>
      <c r="AG764" s="1265"/>
      <c r="AH764" s="1265"/>
      <c r="AI764" s="1265"/>
      <c r="AJ764" s="1265"/>
      <c r="AK764" s="1265"/>
      <c r="AL764" s="1265"/>
      <c r="AM764" s="1265"/>
      <c r="AN764" s="1265"/>
      <c r="AO764" s="1265"/>
      <c r="AP764" s="1265"/>
      <c r="AQ764" s="1265"/>
      <c r="AR764" s="1265"/>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DU764" s="3"/>
      <c r="DV764" s="3"/>
      <c r="DW764" s="3"/>
      <c r="FB764" s="3"/>
      <c r="FC764" s="3"/>
    </row>
    <row r="765" spans="1:185" ht="12.95" customHeight="1">
      <c r="A765" s="3"/>
      <c r="B765" s="1033"/>
      <c r="C765" s="1265"/>
      <c r="D765" s="1265"/>
      <c r="E765" s="1265"/>
      <c r="F765" s="1265"/>
      <c r="G765" s="1265"/>
      <c r="H765" s="1265"/>
      <c r="I765" s="1265"/>
      <c r="J765" s="1265"/>
      <c r="K765" s="1265"/>
      <c r="L765" s="1265"/>
      <c r="M765" s="1265"/>
      <c r="N765" s="1265"/>
      <c r="O765" s="1265"/>
      <c r="P765" s="1265"/>
      <c r="Q765" s="1265"/>
      <c r="R765" s="1265"/>
      <c r="S765" s="1265"/>
      <c r="T765" s="1265"/>
      <c r="U765" s="1265"/>
      <c r="V765" s="1265"/>
      <c r="W765" s="1265"/>
      <c r="X765" s="1265"/>
      <c r="Y765" s="1265"/>
      <c r="Z765" s="1265"/>
      <c r="AA765" s="1265"/>
      <c r="AB765" s="1265"/>
      <c r="AC765" s="1265"/>
      <c r="AD765" s="1265"/>
      <c r="AE765" s="1265"/>
      <c r="AF765" s="1265"/>
      <c r="AG765" s="1265"/>
      <c r="AH765" s="1265"/>
      <c r="AI765" s="1265"/>
      <c r="AJ765" s="1265"/>
      <c r="AK765" s="1265"/>
      <c r="AL765" s="1265"/>
      <c r="AM765" s="1265"/>
      <c r="AN765" s="1265"/>
      <c r="AO765" s="1265"/>
      <c r="AP765" s="1265"/>
      <c r="AQ765" s="1265"/>
      <c r="AR765" s="1265"/>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row>
    <row r="766" spans="1:185" ht="12.95" customHeight="1">
      <c r="A766" s="3"/>
      <c r="B766" s="1033"/>
      <c r="C766" s="1265" t="s">
        <v>2091</v>
      </c>
      <c r="D766" s="1265"/>
      <c r="E766" s="1265"/>
      <c r="F766" s="1265"/>
      <c r="G766" s="1265"/>
      <c r="H766" s="1265"/>
      <c r="I766" s="1265"/>
      <c r="J766" s="1265"/>
      <c r="K766" s="1265"/>
      <c r="L766" s="1265"/>
      <c r="M766" s="1265"/>
      <c r="N766" s="1265"/>
      <c r="O766" s="1265"/>
      <c r="P766" s="1265"/>
      <c r="Q766" s="1265"/>
      <c r="R766" s="1265"/>
      <c r="S766" s="1265"/>
      <c r="T766" s="1265"/>
      <c r="U766" s="1265"/>
      <c r="V766" s="1265"/>
      <c r="W766" s="1265"/>
      <c r="X766" s="1265"/>
      <c r="Y766" s="1265"/>
      <c r="Z766" s="1265"/>
      <c r="AA766" s="1265"/>
      <c r="AB766" s="1265"/>
      <c r="AC766" s="1265"/>
      <c r="AD766" s="1265"/>
      <c r="AE766" s="1265"/>
      <c r="AF766" s="1265"/>
      <c r="AG766" s="1265"/>
      <c r="AH766" s="1265"/>
      <c r="AI766" s="1265"/>
      <c r="AJ766" s="1265"/>
      <c r="AK766" s="1265"/>
      <c r="AL766" s="1265"/>
      <c r="AM766" s="1265"/>
      <c r="AN766" s="1265"/>
      <c r="AO766" s="1265"/>
      <c r="AP766" s="1265"/>
      <c r="AQ766" s="1265"/>
      <c r="AR766" s="1265"/>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DX766" s="291"/>
      <c r="DY766" s="291"/>
      <c r="DZ766" s="291"/>
      <c r="EA766" s="291"/>
      <c r="EB766" s="291"/>
      <c r="EC766" s="291"/>
      <c r="ED766" s="291"/>
      <c r="EE766" s="291"/>
      <c r="EF766" s="291"/>
      <c r="EG766" s="291"/>
      <c r="EH766" s="291"/>
      <c r="EI766" s="291"/>
      <c r="EJ766" s="291"/>
      <c r="EK766" s="291"/>
      <c r="EL766" s="291"/>
      <c r="EM766" s="291"/>
      <c r="EN766" s="291"/>
      <c r="EO766" s="291"/>
      <c r="EP766" s="291"/>
      <c r="EQ766" s="291"/>
      <c r="ER766" s="291"/>
      <c r="ES766" s="291"/>
      <c r="ET766" s="291"/>
      <c r="EU766" s="291"/>
      <c r="EV766" s="291"/>
      <c r="EW766" s="291"/>
      <c r="EX766" s="291"/>
      <c r="EY766" s="291"/>
      <c r="EZ766" s="291"/>
      <c r="FA766" s="291"/>
    </row>
    <row r="767" spans="1:185" ht="12.95" customHeight="1">
      <c r="A767" s="3"/>
      <c r="B767" s="1033"/>
      <c r="C767" s="1265"/>
      <c r="D767" s="1265"/>
      <c r="E767" s="1265"/>
      <c r="F767" s="1265"/>
      <c r="G767" s="1265"/>
      <c r="H767" s="1265"/>
      <c r="I767" s="1265"/>
      <c r="J767" s="1265"/>
      <c r="K767" s="1265"/>
      <c r="L767" s="1265"/>
      <c r="M767" s="1265"/>
      <c r="N767" s="1265"/>
      <c r="O767" s="1265"/>
      <c r="P767" s="1265"/>
      <c r="Q767" s="1265"/>
      <c r="R767" s="1265"/>
      <c r="S767" s="1265"/>
      <c r="T767" s="1265"/>
      <c r="U767" s="1265"/>
      <c r="V767" s="1265"/>
      <c r="W767" s="1265"/>
      <c r="X767" s="1265"/>
      <c r="Y767" s="1265"/>
      <c r="Z767" s="1265"/>
      <c r="AA767" s="1265"/>
      <c r="AB767" s="1265"/>
      <c r="AC767" s="1265"/>
      <c r="AD767" s="1265"/>
      <c r="AE767" s="1265"/>
      <c r="AF767" s="1265"/>
      <c r="AG767" s="1265"/>
      <c r="AH767" s="1265"/>
      <c r="AI767" s="1265"/>
      <c r="AJ767" s="1265"/>
      <c r="AK767" s="1265"/>
      <c r="AL767" s="1265"/>
      <c r="AM767" s="1265"/>
      <c r="AN767" s="1265"/>
      <c r="AO767" s="1265"/>
      <c r="AP767" s="1265"/>
      <c r="AQ767" s="1265"/>
      <c r="AR767" s="1265"/>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row>
    <row r="768" spans="1:185" ht="12.95" customHeight="1">
      <c r="A768" s="3"/>
      <c r="B768" s="1033"/>
      <c r="C768" s="1265"/>
      <c r="D768" s="1265"/>
      <c r="E768" s="1265"/>
      <c r="F768" s="1265"/>
      <c r="G768" s="1265"/>
      <c r="H768" s="1265"/>
      <c r="I768" s="1265"/>
      <c r="J768" s="1265"/>
      <c r="K768" s="1265"/>
      <c r="L768" s="1265"/>
      <c r="M768" s="1265"/>
      <c r="N768" s="1265"/>
      <c r="O768" s="1265"/>
      <c r="P768" s="1265"/>
      <c r="Q768" s="1265"/>
      <c r="R768" s="1265"/>
      <c r="S768" s="1265"/>
      <c r="T768" s="1265"/>
      <c r="U768" s="1265"/>
      <c r="V768" s="1265"/>
      <c r="W768" s="1265"/>
      <c r="X768" s="1265"/>
      <c r="Y768" s="1265"/>
      <c r="Z768" s="1265"/>
      <c r="AA768" s="1265"/>
      <c r="AB768" s="1265"/>
      <c r="AC768" s="1265"/>
      <c r="AD768" s="1265"/>
      <c r="AE768" s="1265"/>
      <c r="AF768" s="1265"/>
      <c r="AG768" s="1265"/>
      <c r="AH768" s="1265"/>
      <c r="AI768" s="1265"/>
      <c r="AJ768" s="1265"/>
      <c r="AK768" s="1265"/>
      <c r="AL768" s="1265"/>
      <c r="AM768" s="1265"/>
      <c r="AN768" s="1265"/>
      <c r="AO768" s="1265"/>
      <c r="AP768" s="1265"/>
      <c r="AQ768" s="1265"/>
      <c r="AR768" s="1265"/>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26" ht="12.95" customHeight="1">
      <c r="J769" s="1476" t="s">
        <v>388</v>
      </c>
      <c r="K769" s="1477"/>
      <c r="L769" s="1477"/>
      <c r="M769" s="1477"/>
      <c r="N769" s="1478"/>
      <c r="O769" s="1626" t="s">
        <v>284</v>
      </c>
      <c r="P769" s="1626"/>
      <c r="Q769" s="1626"/>
      <c r="R769" s="1626"/>
      <c r="S769" s="1626"/>
      <c r="T769" s="1617" t="s">
        <v>1678</v>
      </c>
      <c r="U769" s="1618"/>
      <c r="V769" s="1618"/>
      <c r="W769" s="1619"/>
      <c r="X769" s="1476" t="s">
        <v>447</v>
      </c>
      <c r="Y769" s="1477"/>
      <c r="Z769" s="1477"/>
      <c r="AA769" s="1477"/>
      <c r="AB769" s="1478"/>
      <c r="AC769" s="1476" t="s">
        <v>285</v>
      </c>
      <c r="AD769" s="1477"/>
      <c r="AE769" s="1477"/>
      <c r="AF769" s="1477"/>
      <c r="AG769" s="1478"/>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126" ht="12.95" customHeight="1">
      <c r="J770" s="1479"/>
      <c r="K770" s="1480"/>
      <c r="L770" s="1480"/>
      <c r="M770" s="1480"/>
      <c r="N770" s="1481"/>
      <c r="O770" s="1626"/>
      <c r="P770" s="1626"/>
      <c r="Q770" s="1626"/>
      <c r="R770" s="1626"/>
      <c r="S770" s="1626"/>
      <c r="T770" s="1620"/>
      <c r="U770" s="1621"/>
      <c r="V770" s="1621"/>
      <c r="W770" s="1622"/>
      <c r="X770" s="1479"/>
      <c r="Y770" s="1480"/>
      <c r="Z770" s="1480"/>
      <c r="AA770" s="1480"/>
      <c r="AB770" s="1481"/>
      <c r="AC770" s="1479"/>
      <c r="AD770" s="1480"/>
      <c r="AE770" s="1480"/>
      <c r="AF770" s="1480"/>
      <c r="AG770" s="1481"/>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126" ht="12.95" customHeight="1">
      <c r="J771" s="1479"/>
      <c r="K771" s="1480"/>
      <c r="L771" s="1480"/>
      <c r="M771" s="1480"/>
      <c r="N771" s="1481"/>
      <c r="O771" s="1626"/>
      <c r="P771" s="1626"/>
      <c r="Q771" s="1626"/>
      <c r="R771" s="1626"/>
      <c r="S771" s="1626"/>
      <c r="T771" s="1620"/>
      <c r="U771" s="1621"/>
      <c r="V771" s="1621"/>
      <c r="W771" s="1622"/>
      <c r="X771" s="1479"/>
      <c r="Y771" s="1480"/>
      <c r="Z771" s="1480"/>
      <c r="AA771" s="1480"/>
      <c r="AB771" s="1481"/>
      <c r="AC771" s="1479"/>
      <c r="AD771" s="1480"/>
      <c r="AE771" s="1480"/>
      <c r="AF771" s="1480"/>
      <c r="AG771" s="1481"/>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126" ht="12.95" customHeight="1">
      <c r="J772" s="1482"/>
      <c r="K772" s="1483"/>
      <c r="L772" s="1483"/>
      <c r="M772" s="1483"/>
      <c r="N772" s="1484"/>
      <c r="O772" s="1626"/>
      <c r="P772" s="1626"/>
      <c r="Q772" s="1626"/>
      <c r="R772" s="1626"/>
      <c r="S772" s="1626"/>
      <c r="T772" s="1623"/>
      <c r="U772" s="1624"/>
      <c r="V772" s="1624"/>
      <c r="W772" s="1625"/>
      <c r="X772" s="1482"/>
      <c r="Y772" s="1483"/>
      <c r="Z772" s="1483"/>
      <c r="AA772" s="1483"/>
      <c r="AB772" s="1484"/>
      <c r="AC772" s="1482"/>
      <c r="AD772" s="1483"/>
      <c r="AE772" s="1483"/>
      <c r="AF772" s="1483"/>
      <c r="AG772" s="1484"/>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P772" s="3" t="s">
        <v>103</v>
      </c>
      <c r="CQ772" s="3"/>
      <c r="CR772" s="3"/>
      <c r="CS772" s="3"/>
      <c r="CT772" s="3"/>
      <c r="CU772" s="3"/>
      <c r="CV772" s="3"/>
      <c r="CW772" s="3"/>
      <c r="CX772" s="3"/>
      <c r="CY772" s="3"/>
      <c r="CZ772" s="3"/>
      <c r="DA772" s="3"/>
      <c r="DB772" s="3"/>
      <c r="DC772" s="3"/>
      <c r="DD772" s="3"/>
      <c r="DE772" s="3"/>
      <c r="DF772" s="3"/>
      <c r="DG772" s="3"/>
      <c r="DH772" s="3"/>
      <c r="DI772" s="3"/>
      <c r="DJ772" s="3"/>
      <c r="DK772" s="3"/>
      <c r="DL772" s="3"/>
      <c r="DM772" s="3"/>
      <c r="DN772" s="3"/>
      <c r="DO772" s="3"/>
      <c r="DP772" s="3"/>
      <c r="DQ772" s="3"/>
      <c r="DR772" s="3"/>
      <c r="DS772" s="3"/>
      <c r="DT772" s="6"/>
      <c r="DU772" s="3"/>
      <c r="DV772" s="3"/>
    </row>
    <row r="773" spans="1:126" ht="12.95" customHeight="1">
      <c r="J773" s="1355" t="s">
        <v>163</v>
      </c>
      <c r="K773" s="1356"/>
      <c r="L773" s="1356"/>
      <c r="M773" s="1356"/>
      <c r="N773" s="1357"/>
      <c r="O773" s="1609">
        <v>2</v>
      </c>
      <c r="P773" s="1609"/>
      <c r="Q773" s="1609"/>
      <c r="R773" s="1609"/>
      <c r="S773" s="1609"/>
      <c r="T773" s="1352">
        <v>574</v>
      </c>
      <c r="U773" s="1353"/>
      <c r="V773" s="1353"/>
      <c r="W773" s="1354"/>
      <c r="X773" s="1370">
        <v>1872</v>
      </c>
      <c r="Y773" s="1371"/>
      <c r="Z773" s="1371"/>
      <c r="AA773" s="1371"/>
      <c r="AB773" s="1372"/>
      <c r="AC773" s="1607">
        <f>X773*O773</f>
        <v>3744</v>
      </c>
      <c r="AD773" s="1422"/>
      <c r="AE773" s="1422"/>
      <c r="AF773" s="1422"/>
      <c r="AG773" s="1608"/>
      <c r="AH773" s="1022"/>
      <c r="AI773" s="116"/>
      <c r="AJ773" s="116"/>
      <c r="AK773" s="1022"/>
      <c r="AL773" s="1022"/>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P773" s="1485">
        <f>IF(J773="SRO/Studio",O773,0)</f>
        <v>0</v>
      </c>
      <c r="CQ773" s="1486"/>
      <c r="CR773" s="1486"/>
      <c r="CS773" s="1486"/>
      <c r="CT773" s="1487"/>
      <c r="CU773" s="1463">
        <f>IF(J773="1 Bedroom",O773,0)</f>
        <v>0</v>
      </c>
      <c r="CV773" s="1463"/>
      <c r="CW773" s="1463"/>
      <c r="CX773" s="1463"/>
      <c r="CY773" s="1463"/>
      <c r="CZ773" s="1463">
        <f>IF(J773="2 Bedrooms",O773,0)</f>
        <v>2</v>
      </c>
      <c r="DA773" s="1463"/>
      <c r="DB773" s="1463"/>
      <c r="DC773" s="1463"/>
      <c r="DD773" s="1463"/>
      <c r="DE773" s="1463">
        <f>IF(J773="3 Bedrooms",O773,0)</f>
        <v>0</v>
      </c>
      <c r="DF773" s="1463"/>
      <c r="DG773" s="1463"/>
      <c r="DH773" s="1463"/>
      <c r="DI773" s="1463"/>
      <c r="DJ773" s="1463">
        <f>IF(J773="4 Bedrooms",O773,0)</f>
        <v>0</v>
      </c>
      <c r="DK773" s="1463"/>
      <c r="DL773" s="1463"/>
      <c r="DM773" s="1463"/>
      <c r="DN773" s="1463"/>
      <c r="DO773" s="1463">
        <f>IF(J773="5 Bedrooms",O773,0)</f>
        <v>0</v>
      </c>
      <c r="DP773" s="1463"/>
      <c r="DQ773" s="1463"/>
      <c r="DR773" s="1463"/>
      <c r="DS773" s="1463"/>
      <c r="DT773" s="6"/>
      <c r="DU773" s="3"/>
      <c r="DV773" s="3"/>
    </row>
    <row r="774" spans="1:126" ht="12.95" customHeight="1">
      <c r="J774" s="1355"/>
      <c r="K774" s="1356"/>
      <c r="L774" s="1356"/>
      <c r="M774" s="1356"/>
      <c r="N774" s="1357"/>
      <c r="O774" s="1609"/>
      <c r="P774" s="1609"/>
      <c r="Q774" s="1609"/>
      <c r="R774" s="1609"/>
      <c r="S774" s="1609"/>
      <c r="T774" s="1352"/>
      <c r="U774" s="1353"/>
      <c r="V774" s="1353"/>
      <c r="W774" s="1354"/>
      <c r="X774" s="1370"/>
      <c r="Y774" s="1371"/>
      <c r="Z774" s="1371"/>
      <c r="AA774" s="1371"/>
      <c r="AB774" s="1372"/>
      <c r="AC774" s="1607">
        <f>X774*O774</f>
        <v>0</v>
      </c>
      <c r="AD774" s="1422"/>
      <c r="AE774" s="1422"/>
      <c r="AF774" s="1422"/>
      <c r="AG774" s="1608"/>
      <c r="AH774" s="1022"/>
      <c r="AI774" s="1022"/>
      <c r="AJ774" s="1022"/>
      <c r="AK774" s="1022"/>
      <c r="AL774" s="1022"/>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P774" s="1485">
        <f>IF(J774="SRO/Studio",O774,0)</f>
        <v>0</v>
      </c>
      <c r="CQ774" s="1486"/>
      <c r="CR774" s="1486"/>
      <c r="CS774" s="1486"/>
      <c r="CT774" s="1487"/>
      <c r="CU774" s="1463">
        <f>IF(J774="1 Bedroom",O774,0)</f>
        <v>0</v>
      </c>
      <c r="CV774" s="1463"/>
      <c r="CW774" s="1463"/>
      <c r="CX774" s="1463"/>
      <c r="CY774" s="1463"/>
      <c r="CZ774" s="1463">
        <f>IF(J774="2 Bedrooms",O774,0)</f>
        <v>0</v>
      </c>
      <c r="DA774" s="1463"/>
      <c r="DB774" s="1463"/>
      <c r="DC774" s="1463"/>
      <c r="DD774" s="1463"/>
      <c r="DE774" s="1463">
        <f>IF(J774="3 Bedrooms",O774,0)</f>
        <v>0</v>
      </c>
      <c r="DF774" s="1463"/>
      <c r="DG774" s="1463"/>
      <c r="DH774" s="1463"/>
      <c r="DI774" s="1463"/>
      <c r="DJ774" s="1463">
        <f>IF(J774="4 Bedrooms",O774,0)</f>
        <v>0</v>
      </c>
      <c r="DK774" s="1463"/>
      <c r="DL774" s="1463"/>
      <c r="DM774" s="1463"/>
      <c r="DN774" s="1463"/>
      <c r="DO774" s="1463">
        <f>IF(J774="5 Bedrooms",O774,0)</f>
        <v>0</v>
      </c>
      <c r="DP774" s="1463"/>
      <c r="DQ774" s="1463"/>
      <c r="DR774" s="1463"/>
      <c r="DS774" s="1463"/>
      <c r="DT774" s="6"/>
      <c r="DU774" s="3"/>
      <c r="DV774" s="3"/>
    </row>
    <row r="775" spans="1:126" ht="12.95" customHeight="1">
      <c r="J775" s="1355"/>
      <c r="K775" s="1356"/>
      <c r="L775" s="1356"/>
      <c r="M775" s="1356"/>
      <c r="N775" s="1357"/>
      <c r="O775" s="1609"/>
      <c r="P775" s="1609"/>
      <c r="Q775" s="1609"/>
      <c r="R775" s="1609"/>
      <c r="S775" s="1609"/>
      <c r="T775" s="1352"/>
      <c r="U775" s="1353"/>
      <c r="V775" s="1353"/>
      <c r="W775" s="1354"/>
      <c r="X775" s="1370"/>
      <c r="Y775" s="1371"/>
      <c r="Z775" s="1371"/>
      <c r="AA775" s="1371"/>
      <c r="AB775" s="1372"/>
      <c r="AC775" s="1607">
        <f>X775*O775</f>
        <v>0</v>
      </c>
      <c r="AD775" s="1422"/>
      <c r="AE775" s="1422"/>
      <c r="AF775" s="1422"/>
      <c r="AG775" s="1608"/>
      <c r="AH775" s="1022"/>
      <c r="AI775" s="1022"/>
      <c r="AJ775" s="1022"/>
      <c r="AK775" s="1022"/>
      <c r="AL775" s="1022"/>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P775" s="1485">
        <f>IF(J775="SRO/Studio",O775,0)</f>
        <v>0</v>
      </c>
      <c r="CQ775" s="1486"/>
      <c r="CR775" s="1486"/>
      <c r="CS775" s="1486"/>
      <c r="CT775" s="1487"/>
      <c r="CU775" s="1463">
        <f>IF(J775="1 Bedroom",O775,0)</f>
        <v>0</v>
      </c>
      <c r="CV775" s="1463"/>
      <c r="CW775" s="1463"/>
      <c r="CX775" s="1463"/>
      <c r="CY775" s="1463"/>
      <c r="CZ775" s="1463">
        <f>IF(J775="2 Bedrooms",O775,0)</f>
        <v>0</v>
      </c>
      <c r="DA775" s="1463"/>
      <c r="DB775" s="1463"/>
      <c r="DC775" s="1463"/>
      <c r="DD775" s="1463"/>
      <c r="DE775" s="1463">
        <f>IF(J775="3 Bedrooms",O775,0)</f>
        <v>0</v>
      </c>
      <c r="DF775" s="1463"/>
      <c r="DG775" s="1463"/>
      <c r="DH775" s="1463"/>
      <c r="DI775" s="1463"/>
      <c r="DJ775" s="1463">
        <f>IF(J775="4 Bedrooms",O775,0)</f>
        <v>0</v>
      </c>
      <c r="DK775" s="1463"/>
      <c r="DL775" s="1463"/>
      <c r="DM775" s="1463"/>
      <c r="DN775" s="1463"/>
      <c r="DO775" s="1463">
        <f>IF(J775="5 Bedrooms",O775,0)</f>
        <v>0</v>
      </c>
      <c r="DP775" s="1463"/>
      <c r="DQ775" s="1463"/>
      <c r="DR775" s="1463"/>
      <c r="DS775" s="1463"/>
      <c r="DT775" s="1013"/>
    </row>
    <row r="776" spans="1:126" ht="12.95" customHeight="1">
      <c r="J776" s="1355"/>
      <c r="K776" s="1356"/>
      <c r="L776" s="1356"/>
      <c r="M776" s="1356"/>
      <c r="N776" s="1357"/>
      <c r="O776" s="1609"/>
      <c r="P776" s="1609"/>
      <c r="Q776" s="1609"/>
      <c r="R776" s="1609"/>
      <c r="S776" s="1609"/>
      <c r="T776" s="1352"/>
      <c r="U776" s="1353"/>
      <c r="V776" s="1353"/>
      <c r="W776" s="1354"/>
      <c r="X776" s="1370"/>
      <c r="Y776" s="1371"/>
      <c r="Z776" s="1371"/>
      <c r="AA776" s="1371"/>
      <c r="AB776" s="1372"/>
      <c r="AC776" s="1607">
        <f>X776*O776</f>
        <v>0</v>
      </c>
      <c r="AD776" s="1422"/>
      <c r="AE776" s="1422"/>
      <c r="AF776" s="1422"/>
      <c r="AG776" s="1608"/>
      <c r="AH776" s="1022"/>
      <c r="AI776" s="1022"/>
      <c r="AJ776" s="1022"/>
      <c r="AK776" s="1022"/>
      <c r="AL776" s="1022"/>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P776" s="1485">
        <f>IF(J776="SRO/Studio",O776,0)</f>
        <v>0</v>
      </c>
      <c r="CQ776" s="1486"/>
      <c r="CR776" s="1486"/>
      <c r="CS776" s="1486"/>
      <c r="CT776" s="1487"/>
      <c r="CU776" s="1463">
        <f>IF(J776="1 Bedroom",O776,0)</f>
        <v>0</v>
      </c>
      <c r="CV776" s="1463"/>
      <c r="CW776" s="1463"/>
      <c r="CX776" s="1463"/>
      <c r="CY776" s="1463"/>
      <c r="CZ776" s="1463">
        <f>IF(J776="2 Bedrooms",O776,0)</f>
        <v>0</v>
      </c>
      <c r="DA776" s="1463"/>
      <c r="DB776" s="1463"/>
      <c r="DC776" s="1463"/>
      <c r="DD776" s="1463"/>
      <c r="DE776" s="1463">
        <f>IF(J776="3 Bedrooms",O776,0)</f>
        <v>0</v>
      </c>
      <c r="DF776" s="1463"/>
      <c r="DG776" s="1463"/>
      <c r="DH776" s="1463"/>
      <c r="DI776" s="1463"/>
      <c r="DJ776" s="1463">
        <f>IF(J776="4 Bedrooms",O776,0)</f>
        <v>0</v>
      </c>
      <c r="DK776" s="1463"/>
      <c r="DL776" s="1463"/>
      <c r="DM776" s="1463"/>
      <c r="DN776" s="1463"/>
      <c r="DO776" s="1463">
        <f>IF(J776="5 Bedrooms",O776,0)</f>
        <v>0</v>
      </c>
      <c r="DP776" s="1463"/>
      <c r="DQ776" s="1463"/>
      <c r="DR776" s="1463"/>
      <c r="DS776" s="1463"/>
    </row>
    <row r="777" spans="1:126" ht="12.95" customHeight="1">
      <c r="J777" s="1467" t="s">
        <v>125</v>
      </c>
      <c r="K777" s="1468"/>
      <c r="L777" s="1468"/>
      <c r="M777" s="1468"/>
      <c r="N777" s="1469"/>
      <c r="O777" s="1489">
        <f>SUM(O773:S776)</f>
        <v>2</v>
      </c>
      <c r="P777" s="1490"/>
      <c r="Q777" s="1490"/>
      <c r="R777" s="1490"/>
      <c r="S777" s="1491"/>
      <c r="X777" s="1467" t="s">
        <v>124</v>
      </c>
      <c r="Y777" s="1468"/>
      <c r="Z777" s="1468"/>
      <c r="AA777" s="1468"/>
      <c r="AB777" s="1469"/>
      <c r="AC777" s="1607">
        <f>SUM(AC773:AG776)</f>
        <v>3744</v>
      </c>
      <c r="AD777" s="1422"/>
      <c r="AE777" s="1422"/>
      <c r="AF777" s="1422"/>
      <c r="AG777" s="1608"/>
      <c r="AI777" s="1022"/>
      <c r="AJ777" s="1022"/>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P777" s="1489">
        <f>SUM(CP773:CT776)</f>
        <v>0</v>
      </c>
      <c r="CQ777" s="1490"/>
      <c r="CR777" s="1490"/>
      <c r="CS777" s="1490"/>
      <c r="CT777" s="1491"/>
      <c r="CU777" s="1492">
        <f>SUM(CU773:CY776)</f>
        <v>0</v>
      </c>
      <c r="CV777" s="1493"/>
      <c r="CW777" s="1493"/>
      <c r="CX777" s="1493"/>
      <c r="CY777" s="1494"/>
      <c r="CZ777" s="1492">
        <f>SUM(CZ773:DD776)</f>
        <v>2</v>
      </c>
      <c r="DA777" s="1493"/>
      <c r="DB777" s="1493"/>
      <c r="DC777" s="1493"/>
      <c r="DD777" s="1494"/>
      <c r="DE777" s="1492">
        <f>SUM(DE773:DI776)</f>
        <v>0</v>
      </c>
      <c r="DF777" s="1493"/>
      <c r="DG777" s="1493"/>
      <c r="DH777" s="1493"/>
      <c r="DI777" s="1494"/>
      <c r="DJ777" s="1492">
        <f>SUM(DJ773:DN776)</f>
        <v>0</v>
      </c>
      <c r="DK777" s="1493"/>
      <c r="DL777" s="1493"/>
      <c r="DM777" s="1493"/>
      <c r="DN777" s="1494"/>
      <c r="DO777" s="1492">
        <f>SUM(DO773:DS776)</f>
        <v>0</v>
      </c>
      <c r="DP777" s="1493"/>
      <c r="DQ777" s="1493"/>
      <c r="DR777" s="1493"/>
      <c r="DS777" s="1494"/>
      <c r="DU777" s="862">
        <f>CP777+CU777+CZ777+DE777+DJ777+DO777</f>
        <v>2</v>
      </c>
      <c r="DV777" s="57" t="s">
        <v>1859</v>
      </c>
    </row>
    <row r="778" spans="1:126" ht="12.95" customHeight="1">
      <c r="J778" s="56"/>
      <c r="K778" s="56"/>
      <c r="L778" s="56"/>
      <c r="M778" s="56"/>
      <c r="N778" s="56"/>
      <c r="O778" s="6"/>
      <c r="P778" s="6"/>
      <c r="Q778" s="6"/>
      <c r="R778" s="6"/>
      <c r="S778" s="6"/>
      <c r="T778" s="56"/>
      <c r="U778" s="56"/>
      <c r="V778" s="56"/>
      <c r="W778" s="56"/>
      <c r="X778" s="56"/>
      <c r="Y778" s="176"/>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T778" s="862">
        <f>CP777*1</f>
        <v>0</v>
      </c>
      <c r="CU778" s="3"/>
      <c r="CV778" s="3"/>
      <c r="CW778" s="3"/>
      <c r="CX778" s="3"/>
      <c r="CY778" s="862">
        <f>CU777*1</f>
        <v>0</v>
      </c>
      <c r="CZ778" s="3"/>
      <c r="DA778" s="3"/>
      <c r="DB778" s="3"/>
      <c r="DC778" s="3"/>
      <c r="DD778" s="862">
        <f>CZ777*2</f>
        <v>4</v>
      </c>
      <c r="DE778" s="3"/>
      <c r="DF778" s="3"/>
      <c r="DG778" s="3"/>
      <c r="DH778" s="3"/>
      <c r="DI778" s="862">
        <f>DE777*3</f>
        <v>0</v>
      </c>
      <c r="DJ778" s="3"/>
      <c r="DK778" s="3"/>
      <c r="DL778" s="3"/>
      <c r="DM778" s="3"/>
      <c r="DN778" s="862">
        <f>DJ777*4</f>
        <v>0</v>
      </c>
      <c r="DO778" s="3"/>
      <c r="DP778" s="3"/>
      <c r="DQ778" s="3"/>
      <c r="DR778" s="3"/>
      <c r="DS778" s="862">
        <f>DO777*5</f>
        <v>0</v>
      </c>
      <c r="DU778" s="862">
        <f>CT778+CY778+DD778+DI778+DN778+DS778</f>
        <v>4</v>
      </c>
      <c r="DV778" s="57" t="s">
        <v>1861</v>
      </c>
    </row>
    <row r="779" spans="1:126" ht="12.95" customHeight="1">
      <c r="B779" s="56"/>
      <c r="C779" s="56"/>
      <c r="D779" s="56"/>
      <c r="E779" s="56"/>
      <c r="F779" s="56"/>
      <c r="G779" s="6"/>
      <c r="H779" s="6"/>
      <c r="I779" s="6"/>
      <c r="J779" s="1687" t="s">
        <v>669</v>
      </c>
      <c r="K779" s="1687"/>
      <c r="L779" s="56"/>
      <c r="M779" s="35" t="s">
        <v>976</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26" ht="12.95" customHeight="1">
      <c r="B780" s="56"/>
      <c r="C780" s="56"/>
      <c r="D780" s="56"/>
      <c r="E780" s="56"/>
      <c r="F780" s="56"/>
      <c r="G780" s="6"/>
      <c r="H780" s="6"/>
      <c r="I780" s="6"/>
      <c r="J780" s="6"/>
      <c r="K780" s="6"/>
      <c r="L780" s="56"/>
      <c r="M780" s="35" t="s">
        <v>2092</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26" ht="12.95" customHeight="1">
      <c r="A781" s="2" t="s">
        <v>586</v>
      </c>
      <c r="B781" s="57"/>
      <c r="C781" s="57" t="s">
        <v>286</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26" ht="12.95" customHeight="1">
      <c r="B782" s="56"/>
      <c r="C782" s="56"/>
      <c r="D782" s="56"/>
      <c r="E782" s="56"/>
      <c r="F782" s="56"/>
      <c r="G782" s="6"/>
      <c r="H782" s="6"/>
      <c r="I782" s="6"/>
      <c r="J782" s="513"/>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26" ht="12.95" customHeight="1">
      <c r="J783" s="1476" t="s">
        <v>388</v>
      </c>
      <c r="K783" s="1477"/>
      <c r="L783" s="1477"/>
      <c r="M783" s="1477"/>
      <c r="N783" s="1478"/>
      <c r="O783" s="1626" t="s">
        <v>284</v>
      </c>
      <c r="P783" s="1626"/>
      <c r="Q783" s="1626"/>
      <c r="R783" s="1626"/>
      <c r="S783" s="1626"/>
      <c r="T783" s="1617" t="s">
        <v>1678</v>
      </c>
      <c r="U783" s="1618"/>
      <c r="V783" s="1618"/>
      <c r="W783" s="1619"/>
      <c r="X783" s="1476" t="s">
        <v>447</v>
      </c>
      <c r="Y783" s="1477"/>
      <c r="Z783" s="1477"/>
      <c r="AA783" s="1477"/>
      <c r="AB783" s="1478"/>
      <c r="AC783" s="1476" t="s">
        <v>285</v>
      </c>
      <c r="AD783" s="1477"/>
      <c r="AE783" s="1477"/>
      <c r="AF783" s="1477"/>
      <c r="AG783" s="1478"/>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26" ht="12.95" customHeight="1">
      <c r="J784" s="1479"/>
      <c r="K784" s="1480"/>
      <c r="L784" s="1480"/>
      <c r="M784" s="1480"/>
      <c r="N784" s="1481"/>
      <c r="O784" s="1626"/>
      <c r="P784" s="1626"/>
      <c r="Q784" s="1626"/>
      <c r="R784" s="1626"/>
      <c r="S784" s="1626"/>
      <c r="T784" s="1620"/>
      <c r="U784" s="1621"/>
      <c r="V784" s="1621"/>
      <c r="W784" s="1622"/>
      <c r="X784" s="1479"/>
      <c r="Y784" s="1480"/>
      <c r="Z784" s="1480"/>
      <c r="AA784" s="1480"/>
      <c r="AB784" s="1481"/>
      <c r="AC784" s="1479"/>
      <c r="AD784" s="1480"/>
      <c r="AE784" s="1480"/>
      <c r="AF784" s="1480"/>
      <c r="AG784" s="1481"/>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4" ht="12.95" customHeight="1">
      <c r="J785" s="1479"/>
      <c r="K785" s="1480"/>
      <c r="L785" s="1480"/>
      <c r="M785" s="1480"/>
      <c r="N785" s="1481"/>
      <c r="O785" s="1626"/>
      <c r="P785" s="1626"/>
      <c r="Q785" s="1626"/>
      <c r="R785" s="1626"/>
      <c r="S785" s="1626"/>
      <c r="T785" s="1620"/>
      <c r="U785" s="1621"/>
      <c r="V785" s="1621"/>
      <c r="W785" s="1622"/>
      <c r="X785" s="1479"/>
      <c r="Y785" s="1480"/>
      <c r="Z785" s="1480"/>
      <c r="AA785" s="1480"/>
      <c r="AB785" s="1481"/>
      <c r="AC785" s="1479"/>
      <c r="AD785" s="1480"/>
      <c r="AE785" s="1480"/>
      <c r="AF785" s="1480"/>
      <c r="AG785" s="1481"/>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4" ht="12.95" customHeight="1">
      <c r="J786" s="1482"/>
      <c r="K786" s="1483"/>
      <c r="L786" s="1483"/>
      <c r="M786" s="1483"/>
      <c r="N786" s="1484"/>
      <c r="O786" s="1626"/>
      <c r="P786" s="1626"/>
      <c r="Q786" s="1626"/>
      <c r="R786" s="1626"/>
      <c r="S786" s="1626"/>
      <c r="T786" s="1623"/>
      <c r="U786" s="1624"/>
      <c r="V786" s="1624"/>
      <c r="W786" s="1625"/>
      <c r="X786" s="1482"/>
      <c r="Y786" s="1483"/>
      <c r="Z786" s="1483"/>
      <c r="AA786" s="1483"/>
      <c r="AB786" s="1484"/>
      <c r="AC786" s="1482"/>
      <c r="AD786" s="1483"/>
      <c r="AE786" s="1483"/>
      <c r="AF786" s="1483"/>
      <c r="AG786" s="1484"/>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P786" s="34" t="s">
        <v>104</v>
      </c>
      <c r="CQ786" s="34"/>
      <c r="CR786" s="34"/>
      <c r="CS786" s="3"/>
      <c r="CT786" s="3"/>
      <c r="CU786" s="3"/>
      <c r="CV786" s="3"/>
      <c r="CW786" s="3"/>
      <c r="CX786" s="3"/>
      <c r="CY786" s="3"/>
      <c r="CZ786" s="3"/>
      <c r="DA786" s="3"/>
      <c r="DB786" s="3"/>
      <c r="DC786" s="3"/>
      <c r="DD786" s="3"/>
      <c r="DE786" s="3"/>
      <c r="DF786" s="3"/>
      <c r="DG786" s="3"/>
      <c r="DH786" s="3"/>
      <c r="DI786" s="3"/>
      <c r="DJ786" s="3"/>
      <c r="DK786" s="3"/>
      <c r="DL786" s="3"/>
      <c r="DM786" s="3"/>
      <c r="DN786" s="3"/>
      <c r="DO786" s="3"/>
      <c r="DP786" s="3"/>
      <c r="DQ786" s="3"/>
      <c r="DR786" s="3"/>
      <c r="DS786" s="3"/>
      <c r="DT786" s="3"/>
      <c r="DU786" s="3" t="s">
        <v>1866</v>
      </c>
      <c r="DV786" s="3"/>
      <c r="DW786" s="3"/>
      <c r="DX786" s="3"/>
      <c r="DY786" s="3"/>
      <c r="DZ786" s="3"/>
      <c r="EA786" s="3"/>
      <c r="EB786" s="3"/>
      <c r="EC786" s="3"/>
      <c r="ED786" s="3"/>
      <c r="EE786" s="3"/>
      <c r="EF786" s="3"/>
      <c r="EG786" s="3"/>
      <c r="EH786" s="3"/>
    </row>
    <row r="787" spans="1:154" ht="12.95" customHeight="1">
      <c r="J787" s="1355"/>
      <c r="K787" s="1356"/>
      <c r="L787" s="1356"/>
      <c r="M787" s="1356"/>
      <c r="N787" s="1357"/>
      <c r="O787" s="1609"/>
      <c r="P787" s="1609"/>
      <c r="Q787" s="1609"/>
      <c r="R787" s="1609"/>
      <c r="S787" s="1609"/>
      <c r="T787" s="1352"/>
      <c r="U787" s="1353"/>
      <c r="V787" s="1353"/>
      <c r="W787" s="1354"/>
      <c r="X787" s="1370"/>
      <c r="Y787" s="1371"/>
      <c r="Z787" s="1371"/>
      <c r="AA787" s="1371"/>
      <c r="AB787" s="1372"/>
      <c r="AC787" s="1607">
        <f t="shared" ref="AC787:AC796" si="39">X787*O787</f>
        <v>0</v>
      </c>
      <c r="AD787" s="1422"/>
      <c r="AE787" s="1422"/>
      <c r="AF787" s="1422"/>
      <c r="AG787" s="1608"/>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P787" s="1485">
        <f t="shared" ref="CP787:CP796" si="40">IF(J787="SRO/Studio",O787,0)</f>
        <v>0</v>
      </c>
      <c r="CQ787" s="1486"/>
      <c r="CR787" s="1486"/>
      <c r="CS787" s="1486"/>
      <c r="CT787" s="1487"/>
      <c r="CU787" s="1485">
        <f t="shared" ref="CU787:CU796" si="41">IF(J787="1 Bedroom",O787,0)</f>
        <v>0</v>
      </c>
      <c r="CV787" s="1486"/>
      <c r="CW787" s="1486"/>
      <c r="CX787" s="1486"/>
      <c r="CY787" s="1487"/>
      <c r="CZ787" s="1485">
        <f t="shared" ref="CZ787:CZ796" si="42">IF(J787="2 Bedrooms",O787,0)</f>
        <v>0</v>
      </c>
      <c r="DA787" s="1486"/>
      <c r="DB787" s="1486"/>
      <c r="DC787" s="1486"/>
      <c r="DD787" s="1487"/>
      <c r="DE787" s="1485">
        <f t="shared" ref="DE787:DE796" si="43">IF(J787="3 Bedrooms",O787,0)</f>
        <v>0</v>
      </c>
      <c r="DF787" s="1486"/>
      <c r="DG787" s="1486"/>
      <c r="DH787" s="1486"/>
      <c r="DI787" s="1487"/>
      <c r="DJ787" s="1485">
        <f t="shared" ref="DJ787:DJ796" si="44">IF(J787="4 Bedrooms",O787,0)</f>
        <v>0</v>
      </c>
      <c r="DK787" s="1486"/>
      <c r="DL787" s="1486"/>
      <c r="DM787" s="1486"/>
      <c r="DN787" s="1487"/>
      <c r="DO787" s="1485">
        <f t="shared" ref="DO787:DO796" si="45">IF(J787="5 Bedrooms",O787,0)</f>
        <v>0</v>
      </c>
      <c r="DP787" s="1486"/>
      <c r="DQ787" s="1486"/>
      <c r="DR787" s="1486"/>
      <c r="DS787" s="1487"/>
      <c r="DT787" s="6"/>
      <c r="DU787" s="1485">
        <f t="shared" ref="DU787:DU796" si="46">IF(AND(CP787&gt;=1,AH787&gt;=0.1,AH787&lt;=1),O787,0)</f>
        <v>0</v>
      </c>
      <c r="DV787" s="1486"/>
      <c r="DW787" s="1486"/>
      <c r="DX787" s="1486"/>
      <c r="DY787" s="1487"/>
      <c r="DZ787" s="1485">
        <f t="shared" ref="DZ787:DZ796" si="47">IF(AND(CU787&gt;=1,AH787&gt;=0.1,AH787&lt;=1),O787,0)</f>
        <v>0</v>
      </c>
      <c r="EA787" s="1486"/>
      <c r="EB787" s="1486"/>
      <c r="EC787" s="1486"/>
      <c r="ED787" s="1487"/>
      <c r="EE787" s="1485">
        <f t="shared" ref="EE787:EE796" si="48">IF(AND(CZ787&gt;=1,AH787&gt;=0.1,AH787&lt;=1),O787,0)</f>
        <v>0</v>
      </c>
      <c r="EF787" s="1486"/>
      <c r="EG787" s="1486"/>
      <c r="EH787" s="1486"/>
      <c r="EI787" s="1487"/>
      <c r="EJ787" s="1485">
        <f t="shared" ref="EJ787:EJ796" si="49">IF(AND(DE787&gt;=1,AH787&gt;=0.1,AH787&lt;=1),O787,0)</f>
        <v>0</v>
      </c>
      <c r="EK787" s="1486"/>
      <c r="EL787" s="1486"/>
      <c r="EM787" s="1486"/>
      <c r="EN787" s="1487"/>
      <c r="EO787" s="1485">
        <f t="shared" ref="EO787:EO796" si="50">IF(AND(DJ787&gt;=1,AH787&gt;=0.1,AH787&lt;=1),O787,0)</f>
        <v>0</v>
      </c>
      <c r="EP787" s="1486"/>
      <c r="EQ787" s="1486"/>
      <c r="ER787" s="1486"/>
      <c r="ES787" s="1487"/>
      <c r="ET787" s="1485">
        <f t="shared" ref="ET787:ET796" si="51">IF(AND(DO787&gt;=1,AH787&gt;=0.1,AH787&lt;=1),O787,0)</f>
        <v>0</v>
      </c>
      <c r="EU787" s="1486"/>
      <c r="EV787" s="1486"/>
      <c r="EW787" s="1486"/>
      <c r="EX787" s="1487"/>
    </row>
    <row r="788" spans="1:154" s="14" customFormat="1" ht="12.95" customHeight="1">
      <c r="A788"/>
      <c r="B788"/>
      <c r="C788"/>
      <c r="D788"/>
      <c r="E788"/>
      <c r="F788"/>
      <c r="G788"/>
      <c r="H788"/>
      <c r="I788"/>
      <c r="J788" s="1355"/>
      <c r="K788" s="1356"/>
      <c r="L788" s="1356"/>
      <c r="M788" s="1356"/>
      <c r="N788" s="1357"/>
      <c r="O788" s="1609"/>
      <c r="P788" s="1609"/>
      <c r="Q788" s="1609"/>
      <c r="R788" s="1609"/>
      <c r="S788" s="1609"/>
      <c r="T788" s="1352"/>
      <c r="U788" s="1353"/>
      <c r="V788" s="1353"/>
      <c r="W788" s="1354"/>
      <c r="X788" s="1370"/>
      <c r="Y788" s="1371"/>
      <c r="Z788" s="1371"/>
      <c r="AA788" s="1371"/>
      <c r="AB788" s="1372"/>
      <c r="AC788" s="1607">
        <f t="shared" si="39"/>
        <v>0</v>
      </c>
      <c r="AD788" s="1422"/>
      <c r="AE788" s="1422"/>
      <c r="AF788" s="1422"/>
      <c r="AG788" s="1608"/>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P788" s="1485">
        <f t="shared" si="40"/>
        <v>0</v>
      </c>
      <c r="CQ788" s="1486"/>
      <c r="CR788" s="1486"/>
      <c r="CS788" s="1486"/>
      <c r="CT788" s="1487"/>
      <c r="CU788" s="1485">
        <f t="shared" si="41"/>
        <v>0</v>
      </c>
      <c r="CV788" s="1486"/>
      <c r="CW788" s="1486"/>
      <c r="CX788" s="1486"/>
      <c r="CY788" s="1487"/>
      <c r="CZ788" s="1485">
        <f t="shared" si="42"/>
        <v>0</v>
      </c>
      <c r="DA788" s="1486"/>
      <c r="DB788" s="1486"/>
      <c r="DC788" s="1486"/>
      <c r="DD788" s="1487"/>
      <c r="DE788" s="1485">
        <f t="shared" si="43"/>
        <v>0</v>
      </c>
      <c r="DF788" s="1486"/>
      <c r="DG788" s="1486"/>
      <c r="DH788" s="1486"/>
      <c r="DI788" s="1487"/>
      <c r="DJ788" s="1485">
        <f t="shared" si="44"/>
        <v>0</v>
      </c>
      <c r="DK788" s="1486"/>
      <c r="DL788" s="1486"/>
      <c r="DM788" s="1486"/>
      <c r="DN788" s="1487"/>
      <c r="DO788" s="1485">
        <f t="shared" si="45"/>
        <v>0</v>
      </c>
      <c r="DP788" s="1486"/>
      <c r="DQ788" s="1486"/>
      <c r="DR788" s="1486"/>
      <c r="DS788" s="1487"/>
      <c r="DT788" s="6"/>
      <c r="DU788" s="1485">
        <f t="shared" si="46"/>
        <v>0</v>
      </c>
      <c r="DV788" s="1486"/>
      <c r="DW788" s="1486"/>
      <c r="DX788" s="1486"/>
      <c r="DY788" s="1487"/>
      <c r="DZ788" s="1485">
        <f t="shared" si="47"/>
        <v>0</v>
      </c>
      <c r="EA788" s="1486"/>
      <c r="EB788" s="1486"/>
      <c r="EC788" s="1486"/>
      <c r="ED788" s="1487"/>
      <c r="EE788" s="1485">
        <f t="shared" si="48"/>
        <v>0</v>
      </c>
      <c r="EF788" s="1486"/>
      <c r="EG788" s="1486"/>
      <c r="EH788" s="1486"/>
      <c r="EI788" s="1487"/>
      <c r="EJ788" s="1485">
        <f t="shared" si="49"/>
        <v>0</v>
      </c>
      <c r="EK788" s="1486"/>
      <c r="EL788" s="1486"/>
      <c r="EM788" s="1486"/>
      <c r="EN788" s="1487"/>
      <c r="EO788" s="1485">
        <f t="shared" si="50"/>
        <v>0</v>
      </c>
      <c r="EP788" s="1486"/>
      <c r="EQ788" s="1486"/>
      <c r="ER788" s="1486"/>
      <c r="ES788" s="1487"/>
      <c r="ET788" s="1485">
        <f t="shared" si="51"/>
        <v>0</v>
      </c>
      <c r="EU788" s="1486"/>
      <c r="EV788" s="1486"/>
      <c r="EW788" s="1486"/>
      <c r="EX788" s="1487"/>
    </row>
    <row r="789" spans="1:154" s="14" customFormat="1" ht="12.95" customHeight="1">
      <c r="A789"/>
      <c r="B789"/>
      <c r="C789"/>
      <c r="D789"/>
      <c r="E789"/>
      <c r="F789"/>
      <c r="G789"/>
      <c r="H789"/>
      <c r="I789"/>
      <c r="J789" s="1355"/>
      <c r="K789" s="1356"/>
      <c r="L789" s="1356"/>
      <c r="M789" s="1356"/>
      <c r="N789" s="1357"/>
      <c r="O789" s="1609"/>
      <c r="P789" s="1609"/>
      <c r="Q789" s="1609"/>
      <c r="R789" s="1609"/>
      <c r="S789" s="1609"/>
      <c r="T789" s="1352"/>
      <c r="U789" s="1353"/>
      <c r="V789" s="1353"/>
      <c r="W789" s="1354"/>
      <c r="X789" s="1370"/>
      <c r="Y789" s="1371"/>
      <c r="Z789" s="1371"/>
      <c r="AA789" s="1371"/>
      <c r="AB789" s="1372"/>
      <c r="AC789" s="1607">
        <f t="shared" si="39"/>
        <v>0</v>
      </c>
      <c r="AD789" s="1422"/>
      <c r="AE789" s="1422"/>
      <c r="AF789" s="1422"/>
      <c r="AG789" s="1608"/>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P789" s="1485">
        <f t="shared" si="40"/>
        <v>0</v>
      </c>
      <c r="CQ789" s="1486"/>
      <c r="CR789" s="1486"/>
      <c r="CS789" s="1486"/>
      <c r="CT789" s="1487"/>
      <c r="CU789" s="1485">
        <f t="shared" si="41"/>
        <v>0</v>
      </c>
      <c r="CV789" s="1486"/>
      <c r="CW789" s="1486"/>
      <c r="CX789" s="1486"/>
      <c r="CY789" s="1487"/>
      <c r="CZ789" s="1485">
        <f t="shared" si="42"/>
        <v>0</v>
      </c>
      <c r="DA789" s="1486"/>
      <c r="DB789" s="1486"/>
      <c r="DC789" s="1486"/>
      <c r="DD789" s="1487"/>
      <c r="DE789" s="1485">
        <f t="shared" si="43"/>
        <v>0</v>
      </c>
      <c r="DF789" s="1486"/>
      <c r="DG789" s="1486"/>
      <c r="DH789" s="1486"/>
      <c r="DI789" s="1487"/>
      <c r="DJ789" s="1485">
        <f t="shared" si="44"/>
        <v>0</v>
      </c>
      <c r="DK789" s="1486"/>
      <c r="DL789" s="1486"/>
      <c r="DM789" s="1486"/>
      <c r="DN789" s="1487"/>
      <c r="DO789" s="1485">
        <f t="shared" si="45"/>
        <v>0</v>
      </c>
      <c r="DP789" s="1486"/>
      <c r="DQ789" s="1486"/>
      <c r="DR789" s="1486"/>
      <c r="DS789" s="1487"/>
      <c r="DT789" s="6"/>
      <c r="DU789" s="1485">
        <f t="shared" si="46"/>
        <v>0</v>
      </c>
      <c r="DV789" s="1486"/>
      <c r="DW789" s="1486"/>
      <c r="DX789" s="1486"/>
      <c r="DY789" s="1487"/>
      <c r="DZ789" s="1485">
        <f t="shared" si="47"/>
        <v>0</v>
      </c>
      <c r="EA789" s="1486"/>
      <c r="EB789" s="1486"/>
      <c r="EC789" s="1486"/>
      <c r="ED789" s="1487"/>
      <c r="EE789" s="1485">
        <f t="shared" si="48"/>
        <v>0</v>
      </c>
      <c r="EF789" s="1486"/>
      <c r="EG789" s="1486"/>
      <c r="EH789" s="1486"/>
      <c r="EI789" s="1487"/>
      <c r="EJ789" s="1485">
        <f t="shared" si="49"/>
        <v>0</v>
      </c>
      <c r="EK789" s="1486"/>
      <c r="EL789" s="1486"/>
      <c r="EM789" s="1486"/>
      <c r="EN789" s="1487"/>
      <c r="EO789" s="1485">
        <f t="shared" si="50"/>
        <v>0</v>
      </c>
      <c r="EP789" s="1486"/>
      <c r="EQ789" s="1486"/>
      <c r="ER789" s="1486"/>
      <c r="ES789" s="1487"/>
      <c r="ET789" s="1485">
        <f t="shared" si="51"/>
        <v>0</v>
      </c>
      <c r="EU789" s="1486"/>
      <c r="EV789" s="1486"/>
      <c r="EW789" s="1486"/>
      <c r="EX789" s="1487"/>
    </row>
    <row r="790" spans="1:154" s="14" customFormat="1" ht="12.95" customHeight="1">
      <c r="A790"/>
      <c r="B790"/>
      <c r="C790"/>
      <c r="D790"/>
      <c r="E790"/>
      <c r="F790"/>
      <c r="G790"/>
      <c r="H790"/>
      <c r="I790"/>
      <c r="J790" s="1355"/>
      <c r="K790" s="1356"/>
      <c r="L790" s="1356"/>
      <c r="M790" s="1356"/>
      <c r="N790" s="1357"/>
      <c r="O790" s="1609"/>
      <c r="P790" s="1609"/>
      <c r="Q790" s="1609"/>
      <c r="R790" s="1609"/>
      <c r="S790" s="1609"/>
      <c r="T790" s="1352"/>
      <c r="U790" s="1353"/>
      <c r="V790" s="1353"/>
      <c r="W790" s="1354"/>
      <c r="X790" s="1370"/>
      <c r="Y790" s="1371"/>
      <c r="Z790" s="1371"/>
      <c r="AA790" s="1371"/>
      <c r="AB790" s="1372"/>
      <c r="AC790" s="1607">
        <f t="shared" si="39"/>
        <v>0</v>
      </c>
      <c r="AD790" s="1422"/>
      <c r="AE790" s="1422"/>
      <c r="AF790" s="1422"/>
      <c r="AG790" s="1608"/>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P790" s="1485">
        <f t="shared" si="40"/>
        <v>0</v>
      </c>
      <c r="CQ790" s="1486"/>
      <c r="CR790" s="1486"/>
      <c r="CS790" s="1486"/>
      <c r="CT790" s="1487"/>
      <c r="CU790" s="1485">
        <f t="shared" si="41"/>
        <v>0</v>
      </c>
      <c r="CV790" s="1486"/>
      <c r="CW790" s="1486"/>
      <c r="CX790" s="1486"/>
      <c r="CY790" s="1487"/>
      <c r="CZ790" s="1485">
        <f t="shared" si="42"/>
        <v>0</v>
      </c>
      <c r="DA790" s="1486"/>
      <c r="DB790" s="1486"/>
      <c r="DC790" s="1486"/>
      <c r="DD790" s="1487"/>
      <c r="DE790" s="1485">
        <f t="shared" si="43"/>
        <v>0</v>
      </c>
      <c r="DF790" s="1486"/>
      <c r="DG790" s="1486"/>
      <c r="DH790" s="1486"/>
      <c r="DI790" s="1487"/>
      <c r="DJ790" s="1485">
        <f t="shared" si="44"/>
        <v>0</v>
      </c>
      <c r="DK790" s="1486"/>
      <c r="DL790" s="1486"/>
      <c r="DM790" s="1486"/>
      <c r="DN790" s="1487"/>
      <c r="DO790" s="1485">
        <f t="shared" si="45"/>
        <v>0</v>
      </c>
      <c r="DP790" s="1486"/>
      <c r="DQ790" s="1486"/>
      <c r="DR790" s="1486"/>
      <c r="DS790" s="1487"/>
      <c r="DT790" s="6"/>
      <c r="DU790" s="1485">
        <f t="shared" si="46"/>
        <v>0</v>
      </c>
      <c r="DV790" s="1486"/>
      <c r="DW790" s="1486"/>
      <c r="DX790" s="1486"/>
      <c r="DY790" s="1487"/>
      <c r="DZ790" s="1485">
        <f t="shared" si="47"/>
        <v>0</v>
      </c>
      <c r="EA790" s="1486"/>
      <c r="EB790" s="1486"/>
      <c r="EC790" s="1486"/>
      <c r="ED790" s="1487"/>
      <c r="EE790" s="1485">
        <f t="shared" si="48"/>
        <v>0</v>
      </c>
      <c r="EF790" s="1486"/>
      <c r="EG790" s="1486"/>
      <c r="EH790" s="1486"/>
      <c r="EI790" s="1487"/>
      <c r="EJ790" s="1485">
        <f t="shared" si="49"/>
        <v>0</v>
      </c>
      <c r="EK790" s="1486"/>
      <c r="EL790" s="1486"/>
      <c r="EM790" s="1486"/>
      <c r="EN790" s="1487"/>
      <c r="EO790" s="1485">
        <f t="shared" si="50"/>
        <v>0</v>
      </c>
      <c r="EP790" s="1486"/>
      <c r="EQ790" s="1486"/>
      <c r="ER790" s="1486"/>
      <c r="ES790" s="1487"/>
      <c r="ET790" s="1485">
        <f t="shared" si="51"/>
        <v>0</v>
      </c>
      <c r="EU790" s="1486"/>
      <c r="EV790" s="1486"/>
      <c r="EW790" s="1486"/>
      <c r="EX790" s="1487"/>
    </row>
    <row r="791" spans="1:154" s="14" customFormat="1" ht="12.95" customHeight="1">
      <c r="A791"/>
      <c r="B791"/>
      <c r="C791"/>
      <c r="D791"/>
      <c r="E791"/>
      <c r="F791"/>
      <c r="G791"/>
      <c r="H791"/>
      <c r="I791"/>
      <c r="J791" s="1355"/>
      <c r="K791" s="1356"/>
      <c r="L791" s="1356"/>
      <c r="M791" s="1356"/>
      <c r="N791" s="1357"/>
      <c r="O791" s="1609"/>
      <c r="P791" s="1609"/>
      <c r="Q791" s="1609"/>
      <c r="R791" s="1609"/>
      <c r="S791" s="1609"/>
      <c r="T791" s="1352"/>
      <c r="U791" s="1353"/>
      <c r="V791" s="1353"/>
      <c r="W791" s="1354"/>
      <c r="X791" s="1370"/>
      <c r="Y791" s="1371"/>
      <c r="Z791" s="1371"/>
      <c r="AA791" s="1371"/>
      <c r="AB791" s="1372"/>
      <c r="AC791" s="1607">
        <f t="shared" si="39"/>
        <v>0</v>
      </c>
      <c r="AD791" s="1422"/>
      <c r="AE791" s="1422"/>
      <c r="AF791" s="1422"/>
      <c r="AG791" s="1608"/>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P791" s="1485">
        <f t="shared" si="40"/>
        <v>0</v>
      </c>
      <c r="CQ791" s="1486"/>
      <c r="CR791" s="1486"/>
      <c r="CS791" s="1486"/>
      <c r="CT791" s="1487"/>
      <c r="CU791" s="1485">
        <f t="shared" si="41"/>
        <v>0</v>
      </c>
      <c r="CV791" s="1486"/>
      <c r="CW791" s="1486"/>
      <c r="CX791" s="1486"/>
      <c r="CY791" s="1487"/>
      <c r="CZ791" s="1485">
        <f t="shared" si="42"/>
        <v>0</v>
      </c>
      <c r="DA791" s="1486"/>
      <c r="DB791" s="1486"/>
      <c r="DC791" s="1486"/>
      <c r="DD791" s="1487"/>
      <c r="DE791" s="1485">
        <f t="shared" si="43"/>
        <v>0</v>
      </c>
      <c r="DF791" s="1486"/>
      <c r="DG791" s="1486"/>
      <c r="DH791" s="1486"/>
      <c r="DI791" s="1487"/>
      <c r="DJ791" s="1485">
        <f t="shared" si="44"/>
        <v>0</v>
      </c>
      <c r="DK791" s="1486"/>
      <c r="DL791" s="1486"/>
      <c r="DM791" s="1486"/>
      <c r="DN791" s="1487"/>
      <c r="DO791" s="1485">
        <f t="shared" si="45"/>
        <v>0</v>
      </c>
      <c r="DP791" s="1486"/>
      <c r="DQ791" s="1486"/>
      <c r="DR791" s="1486"/>
      <c r="DS791" s="1487"/>
      <c r="DT791" s="6"/>
      <c r="DU791" s="1485">
        <f t="shared" si="46"/>
        <v>0</v>
      </c>
      <c r="DV791" s="1486"/>
      <c r="DW791" s="1486"/>
      <c r="DX791" s="1486"/>
      <c r="DY791" s="1487"/>
      <c r="DZ791" s="1485">
        <f t="shared" si="47"/>
        <v>0</v>
      </c>
      <c r="EA791" s="1486"/>
      <c r="EB791" s="1486"/>
      <c r="EC791" s="1486"/>
      <c r="ED791" s="1487"/>
      <c r="EE791" s="1485">
        <f t="shared" si="48"/>
        <v>0</v>
      </c>
      <c r="EF791" s="1486"/>
      <c r="EG791" s="1486"/>
      <c r="EH791" s="1486"/>
      <c r="EI791" s="1487"/>
      <c r="EJ791" s="1485">
        <f t="shared" si="49"/>
        <v>0</v>
      </c>
      <c r="EK791" s="1486"/>
      <c r="EL791" s="1486"/>
      <c r="EM791" s="1486"/>
      <c r="EN791" s="1487"/>
      <c r="EO791" s="1485">
        <f t="shared" si="50"/>
        <v>0</v>
      </c>
      <c r="EP791" s="1486"/>
      <c r="EQ791" s="1486"/>
      <c r="ER791" s="1486"/>
      <c r="ES791" s="1487"/>
      <c r="ET791" s="1485">
        <f t="shared" si="51"/>
        <v>0</v>
      </c>
      <c r="EU791" s="1486"/>
      <c r="EV791" s="1486"/>
      <c r="EW791" s="1486"/>
      <c r="EX791" s="1487"/>
    </row>
    <row r="792" spans="1:154" s="14" customFormat="1" ht="12.95" customHeight="1">
      <c r="A792"/>
      <c r="B792"/>
      <c r="C792"/>
      <c r="D792"/>
      <c r="E792"/>
      <c r="F792"/>
      <c r="G792"/>
      <c r="H792"/>
      <c r="I792"/>
      <c r="J792" s="1355"/>
      <c r="K792" s="1356"/>
      <c r="L792" s="1356"/>
      <c r="M792" s="1356"/>
      <c r="N792" s="1357"/>
      <c r="O792" s="1609"/>
      <c r="P792" s="1609"/>
      <c r="Q792" s="1609"/>
      <c r="R792" s="1609"/>
      <c r="S792" s="1609"/>
      <c r="T792" s="1352"/>
      <c r="U792" s="1353"/>
      <c r="V792" s="1353"/>
      <c r="W792" s="1354"/>
      <c r="X792" s="1370"/>
      <c r="Y792" s="1371"/>
      <c r="Z792" s="1371"/>
      <c r="AA792" s="1371"/>
      <c r="AB792" s="1372"/>
      <c r="AC792" s="1607">
        <f t="shared" si="39"/>
        <v>0</v>
      </c>
      <c r="AD792" s="1422"/>
      <c r="AE792" s="1422"/>
      <c r="AF792" s="1422"/>
      <c r="AG792" s="1608"/>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P792" s="1485">
        <f t="shared" si="40"/>
        <v>0</v>
      </c>
      <c r="CQ792" s="1486"/>
      <c r="CR792" s="1486"/>
      <c r="CS792" s="1486"/>
      <c r="CT792" s="1487"/>
      <c r="CU792" s="1485">
        <f t="shared" si="41"/>
        <v>0</v>
      </c>
      <c r="CV792" s="1486"/>
      <c r="CW792" s="1486"/>
      <c r="CX792" s="1486"/>
      <c r="CY792" s="1487"/>
      <c r="CZ792" s="1485">
        <f t="shared" si="42"/>
        <v>0</v>
      </c>
      <c r="DA792" s="1486"/>
      <c r="DB792" s="1486"/>
      <c r="DC792" s="1486"/>
      <c r="DD792" s="1487"/>
      <c r="DE792" s="1485">
        <f t="shared" si="43"/>
        <v>0</v>
      </c>
      <c r="DF792" s="1486"/>
      <c r="DG792" s="1486"/>
      <c r="DH792" s="1486"/>
      <c r="DI792" s="1487"/>
      <c r="DJ792" s="1485">
        <f t="shared" si="44"/>
        <v>0</v>
      </c>
      <c r="DK792" s="1486"/>
      <c r="DL792" s="1486"/>
      <c r="DM792" s="1486"/>
      <c r="DN792" s="1487"/>
      <c r="DO792" s="1485">
        <f t="shared" si="45"/>
        <v>0</v>
      </c>
      <c r="DP792" s="1486"/>
      <c r="DQ792" s="1486"/>
      <c r="DR792" s="1486"/>
      <c r="DS792" s="1487"/>
      <c r="DT792" s="6"/>
      <c r="DU792" s="1485">
        <f t="shared" si="46"/>
        <v>0</v>
      </c>
      <c r="DV792" s="1486"/>
      <c r="DW792" s="1486"/>
      <c r="DX792" s="1486"/>
      <c r="DY792" s="1487"/>
      <c r="DZ792" s="1485">
        <f t="shared" si="47"/>
        <v>0</v>
      </c>
      <c r="EA792" s="1486"/>
      <c r="EB792" s="1486"/>
      <c r="EC792" s="1486"/>
      <c r="ED792" s="1487"/>
      <c r="EE792" s="1485">
        <f t="shared" si="48"/>
        <v>0</v>
      </c>
      <c r="EF792" s="1486"/>
      <c r="EG792" s="1486"/>
      <c r="EH792" s="1486"/>
      <c r="EI792" s="1487"/>
      <c r="EJ792" s="1485">
        <f t="shared" si="49"/>
        <v>0</v>
      </c>
      <c r="EK792" s="1486"/>
      <c r="EL792" s="1486"/>
      <c r="EM792" s="1486"/>
      <c r="EN792" s="1487"/>
      <c r="EO792" s="1485">
        <f t="shared" si="50"/>
        <v>0</v>
      </c>
      <c r="EP792" s="1486"/>
      <c r="EQ792" s="1486"/>
      <c r="ER792" s="1486"/>
      <c r="ES792" s="1487"/>
      <c r="ET792" s="1485">
        <f t="shared" si="51"/>
        <v>0</v>
      </c>
      <c r="EU792" s="1486"/>
      <c r="EV792" s="1486"/>
      <c r="EW792" s="1486"/>
      <c r="EX792" s="1487"/>
    </row>
    <row r="793" spans="1:154" s="14" customFormat="1" ht="12.95" customHeight="1">
      <c r="A793"/>
      <c r="B793"/>
      <c r="C793"/>
      <c r="D793"/>
      <c r="E793"/>
      <c r="F793"/>
      <c r="G793"/>
      <c r="H793"/>
      <c r="I793"/>
      <c r="J793" s="1355"/>
      <c r="K793" s="1356"/>
      <c r="L793" s="1356"/>
      <c r="M793" s="1356"/>
      <c r="N793" s="1357"/>
      <c r="O793" s="1609"/>
      <c r="P793" s="1609"/>
      <c r="Q793" s="1609"/>
      <c r="R793" s="1609"/>
      <c r="S793" s="1609"/>
      <c r="T793" s="1352"/>
      <c r="U793" s="1353"/>
      <c r="V793" s="1353"/>
      <c r="W793" s="1354"/>
      <c r="X793" s="1370"/>
      <c r="Y793" s="1371"/>
      <c r="Z793" s="1371"/>
      <c r="AA793" s="1371"/>
      <c r="AB793" s="1372"/>
      <c r="AC793" s="1607">
        <f t="shared" si="39"/>
        <v>0</v>
      </c>
      <c r="AD793" s="1422"/>
      <c r="AE793" s="1422"/>
      <c r="AF793" s="1422"/>
      <c r="AG793" s="1608"/>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P793" s="1485">
        <f t="shared" si="40"/>
        <v>0</v>
      </c>
      <c r="CQ793" s="1486"/>
      <c r="CR793" s="1486"/>
      <c r="CS793" s="1486"/>
      <c r="CT793" s="1487"/>
      <c r="CU793" s="1485">
        <f t="shared" si="41"/>
        <v>0</v>
      </c>
      <c r="CV793" s="1486"/>
      <c r="CW793" s="1486"/>
      <c r="CX793" s="1486"/>
      <c r="CY793" s="1487"/>
      <c r="CZ793" s="1485">
        <f t="shared" si="42"/>
        <v>0</v>
      </c>
      <c r="DA793" s="1486"/>
      <c r="DB793" s="1486"/>
      <c r="DC793" s="1486"/>
      <c r="DD793" s="1487"/>
      <c r="DE793" s="1485">
        <f t="shared" si="43"/>
        <v>0</v>
      </c>
      <c r="DF793" s="1486"/>
      <c r="DG793" s="1486"/>
      <c r="DH793" s="1486"/>
      <c r="DI793" s="1487"/>
      <c r="DJ793" s="1485">
        <f t="shared" si="44"/>
        <v>0</v>
      </c>
      <c r="DK793" s="1486"/>
      <c r="DL793" s="1486"/>
      <c r="DM793" s="1486"/>
      <c r="DN793" s="1487"/>
      <c r="DO793" s="1485">
        <f t="shared" si="45"/>
        <v>0</v>
      </c>
      <c r="DP793" s="1486"/>
      <c r="DQ793" s="1486"/>
      <c r="DR793" s="1486"/>
      <c r="DS793" s="1487"/>
      <c r="DT793" s="6"/>
      <c r="DU793" s="1485">
        <f t="shared" si="46"/>
        <v>0</v>
      </c>
      <c r="DV793" s="1486"/>
      <c r="DW793" s="1486"/>
      <c r="DX793" s="1486"/>
      <c r="DY793" s="1487"/>
      <c r="DZ793" s="1485">
        <f t="shared" si="47"/>
        <v>0</v>
      </c>
      <c r="EA793" s="1486"/>
      <c r="EB793" s="1486"/>
      <c r="EC793" s="1486"/>
      <c r="ED793" s="1487"/>
      <c r="EE793" s="1485">
        <f t="shared" si="48"/>
        <v>0</v>
      </c>
      <c r="EF793" s="1486"/>
      <c r="EG793" s="1486"/>
      <c r="EH793" s="1486"/>
      <c r="EI793" s="1487"/>
      <c r="EJ793" s="1485">
        <f t="shared" si="49"/>
        <v>0</v>
      </c>
      <c r="EK793" s="1486"/>
      <c r="EL793" s="1486"/>
      <c r="EM793" s="1486"/>
      <c r="EN793" s="1487"/>
      <c r="EO793" s="1485">
        <f t="shared" si="50"/>
        <v>0</v>
      </c>
      <c r="EP793" s="1486"/>
      <c r="EQ793" s="1486"/>
      <c r="ER793" s="1486"/>
      <c r="ES793" s="1487"/>
      <c r="ET793" s="1485">
        <f t="shared" si="51"/>
        <v>0</v>
      </c>
      <c r="EU793" s="1486"/>
      <c r="EV793" s="1486"/>
      <c r="EW793" s="1486"/>
      <c r="EX793" s="1487"/>
    </row>
    <row r="794" spans="1:154" s="14" customFormat="1" ht="12.95" customHeight="1">
      <c r="A794"/>
      <c r="B794"/>
      <c r="C794"/>
      <c r="D794"/>
      <c r="E794"/>
      <c r="F794"/>
      <c r="G794"/>
      <c r="H794"/>
      <c r="I794"/>
      <c r="J794" s="1355"/>
      <c r="K794" s="1356"/>
      <c r="L794" s="1356"/>
      <c r="M794" s="1356"/>
      <c r="N794" s="1357"/>
      <c r="O794" s="1609"/>
      <c r="P794" s="1609"/>
      <c r="Q794" s="1609"/>
      <c r="R794" s="1609"/>
      <c r="S794" s="1609"/>
      <c r="T794" s="1352"/>
      <c r="U794" s="1353"/>
      <c r="V794" s="1353"/>
      <c r="W794" s="1354"/>
      <c r="X794" s="1370"/>
      <c r="Y794" s="1371"/>
      <c r="Z794" s="1371"/>
      <c r="AA794" s="1371"/>
      <c r="AB794" s="1372"/>
      <c r="AC794" s="1607">
        <f t="shared" si="39"/>
        <v>0</v>
      </c>
      <c r="AD794" s="1422"/>
      <c r="AE794" s="1422"/>
      <c r="AF794" s="1422"/>
      <c r="AG794" s="1608"/>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1485">
        <f t="shared" si="40"/>
        <v>0</v>
      </c>
      <c r="CQ794" s="1486"/>
      <c r="CR794" s="1486"/>
      <c r="CS794" s="1486"/>
      <c r="CT794" s="1487"/>
      <c r="CU794" s="1485">
        <f t="shared" si="41"/>
        <v>0</v>
      </c>
      <c r="CV794" s="1486"/>
      <c r="CW794" s="1486"/>
      <c r="CX794" s="1486"/>
      <c r="CY794" s="1487"/>
      <c r="CZ794" s="1485">
        <f t="shared" si="42"/>
        <v>0</v>
      </c>
      <c r="DA794" s="1486"/>
      <c r="DB794" s="1486"/>
      <c r="DC794" s="1486"/>
      <c r="DD794" s="1487"/>
      <c r="DE794" s="1485">
        <f t="shared" si="43"/>
        <v>0</v>
      </c>
      <c r="DF794" s="1486"/>
      <c r="DG794" s="1486"/>
      <c r="DH794" s="1486"/>
      <c r="DI794" s="1487"/>
      <c r="DJ794" s="1485">
        <f t="shared" si="44"/>
        <v>0</v>
      </c>
      <c r="DK794" s="1486"/>
      <c r="DL794" s="1486"/>
      <c r="DM794" s="1486"/>
      <c r="DN794" s="1487"/>
      <c r="DO794" s="1485">
        <f t="shared" si="45"/>
        <v>0</v>
      </c>
      <c r="DP794" s="1486"/>
      <c r="DQ794" s="1486"/>
      <c r="DR794" s="1486"/>
      <c r="DS794" s="1487"/>
      <c r="DT794" s="6"/>
      <c r="DU794" s="1485">
        <f t="shared" si="46"/>
        <v>0</v>
      </c>
      <c r="DV794" s="1486"/>
      <c r="DW794" s="1486"/>
      <c r="DX794" s="1486"/>
      <c r="DY794" s="1487"/>
      <c r="DZ794" s="1485">
        <f t="shared" si="47"/>
        <v>0</v>
      </c>
      <c r="EA794" s="1486"/>
      <c r="EB794" s="1486"/>
      <c r="EC794" s="1486"/>
      <c r="ED794" s="1487"/>
      <c r="EE794" s="1485">
        <f t="shared" si="48"/>
        <v>0</v>
      </c>
      <c r="EF794" s="1486"/>
      <c r="EG794" s="1486"/>
      <c r="EH794" s="1486"/>
      <c r="EI794" s="1487"/>
      <c r="EJ794" s="1485">
        <f t="shared" si="49"/>
        <v>0</v>
      </c>
      <c r="EK794" s="1486"/>
      <c r="EL794" s="1486"/>
      <c r="EM794" s="1486"/>
      <c r="EN794" s="1487"/>
      <c r="EO794" s="1485">
        <f t="shared" si="50"/>
        <v>0</v>
      </c>
      <c r="EP794" s="1486"/>
      <c r="EQ794" s="1486"/>
      <c r="ER794" s="1486"/>
      <c r="ES794" s="1487"/>
      <c r="ET794" s="1485">
        <f t="shared" si="51"/>
        <v>0</v>
      </c>
      <c r="EU794" s="1486"/>
      <c r="EV794" s="1486"/>
      <c r="EW794" s="1486"/>
      <c r="EX794" s="1487"/>
    </row>
    <row r="795" spans="1:154" s="14" customFormat="1" ht="12.95" customHeight="1">
      <c r="A795"/>
      <c r="B795"/>
      <c r="C795"/>
      <c r="D795"/>
      <c r="E795"/>
      <c r="F795"/>
      <c r="G795"/>
      <c r="H795"/>
      <c r="I795"/>
      <c r="J795" s="1355"/>
      <c r="K795" s="1356"/>
      <c r="L795" s="1356"/>
      <c r="M795" s="1356"/>
      <c r="N795" s="1357"/>
      <c r="O795" s="1609"/>
      <c r="P795" s="1609"/>
      <c r="Q795" s="1609"/>
      <c r="R795" s="1609"/>
      <c r="S795" s="1609"/>
      <c r="T795" s="1352"/>
      <c r="U795" s="1353"/>
      <c r="V795" s="1353"/>
      <c r="W795" s="1354"/>
      <c r="X795" s="1370"/>
      <c r="Y795" s="1371"/>
      <c r="Z795" s="1371"/>
      <c r="AA795" s="1371"/>
      <c r="AB795" s="1372"/>
      <c r="AC795" s="1607">
        <f t="shared" si="39"/>
        <v>0</v>
      </c>
      <c r="AD795" s="1422"/>
      <c r="AE795" s="1422"/>
      <c r="AF795" s="1422"/>
      <c r="AG795" s="1608"/>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485">
        <f t="shared" si="40"/>
        <v>0</v>
      </c>
      <c r="CQ795" s="1486"/>
      <c r="CR795" s="1486"/>
      <c r="CS795" s="1486"/>
      <c r="CT795" s="1487"/>
      <c r="CU795" s="1485">
        <f t="shared" si="41"/>
        <v>0</v>
      </c>
      <c r="CV795" s="1486"/>
      <c r="CW795" s="1486"/>
      <c r="CX795" s="1486"/>
      <c r="CY795" s="1487"/>
      <c r="CZ795" s="1485">
        <f t="shared" si="42"/>
        <v>0</v>
      </c>
      <c r="DA795" s="1486"/>
      <c r="DB795" s="1486"/>
      <c r="DC795" s="1486"/>
      <c r="DD795" s="1487"/>
      <c r="DE795" s="1485">
        <f t="shared" si="43"/>
        <v>0</v>
      </c>
      <c r="DF795" s="1486"/>
      <c r="DG795" s="1486"/>
      <c r="DH795" s="1486"/>
      <c r="DI795" s="1487"/>
      <c r="DJ795" s="1485">
        <f t="shared" si="44"/>
        <v>0</v>
      </c>
      <c r="DK795" s="1486"/>
      <c r="DL795" s="1486"/>
      <c r="DM795" s="1486"/>
      <c r="DN795" s="1487"/>
      <c r="DO795" s="1485">
        <f t="shared" si="45"/>
        <v>0</v>
      </c>
      <c r="DP795" s="1486"/>
      <c r="DQ795" s="1486"/>
      <c r="DR795" s="1486"/>
      <c r="DS795" s="1487"/>
      <c r="DT795" s="6"/>
      <c r="DU795" s="1485">
        <f t="shared" si="46"/>
        <v>0</v>
      </c>
      <c r="DV795" s="1486"/>
      <c r="DW795" s="1486"/>
      <c r="DX795" s="1486"/>
      <c r="DY795" s="1487"/>
      <c r="DZ795" s="1485">
        <f t="shared" si="47"/>
        <v>0</v>
      </c>
      <c r="EA795" s="1486"/>
      <c r="EB795" s="1486"/>
      <c r="EC795" s="1486"/>
      <c r="ED795" s="1487"/>
      <c r="EE795" s="1485">
        <f t="shared" si="48"/>
        <v>0</v>
      </c>
      <c r="EF795" s="1486"/>
      <c r="EG795" s="1486"/>
      <c r="EH795" s="1486"/>
      <c r="EI795" s="1487"/>
      <c r="EJ795" s="1485">
        <f t="shared" si="49"/>
        <v>0</v>
      </c>
      <c r="EK795" s="1486"/>
      <c r="EL795" s="1486"/>
      <c r="EM795" s="1486"/>
      <c r="EN795" s="1487"/>
      <c r="EO795" s="1485">
        <f t="shared" si="50"/>
        <v>0</v>
      </c>
      <c r="EP795" s="1486"/>
      <c r="EQ795" s="1486"/>
      <c r="ER795" s="1486"/>
      <c r="ES795" s="1487"/>
      <c r="ET795" s="1485">
        <f t="shared" si="51"/>
        <v>0</v>
      </c>
      <c r="EU795" s="1486"/>
      <c r="EV795" s="1486"/>
      <c r="EW795" s="1486"/>
      <c r="EX795" s="1487"/>
    </row>
    <row r="796" spans="1:154" s="4" customFormat="1" ht="12.95" customHeight="1">
      <c r="A796"/>
      <c r="B796"/>
      <c r="C796"/>
      <c r="D796"/>
      <c r="E796"/>
      <c r="F796"/>
      <c r="G796"/>
      <c r="H796"/>
      <c r="I796"/>
      <c r="J796" s="1355"/>
      <c r="K796" s="1356"/>
      <c r="L796" s="1356"/>
      <c r="M796" s="1356"/>
      <c r="N796" s="1357"/>
      <c r="O796" s="1609"/>
      <c r="P796" s="1609"/>
      <c r="Q796" s="1609"/>
      <c r="R796" s="1609"/>
      <c r="S796" s="1609"/>
      <c r="T796" s="1352"/>
      <c r="U796" s="1353"/>
      <c r="V796" s="1353"/>
      <c r="W796" s="1354"/>
      <c r="X796" s="1370"/>
      <c r="Y796" s="1371"/>
      <c r="Z796" s="1371"/>
      <c r="AA796" s="1371"/>
      <c r="AB796" s="1372"/>
      <c r="AC796" s="1607">
        <f t="shared" si="39"/>
        <v>0</v>
      </c>
      <c r="AD796" s="1422"/>
      <c r="AE796" s="1422"/>
      <c r="AF796" s="1422"/>
      <c r="AG796" s="1608"/>
      <c r="AH796"/>
      <c r="AI796"/>
      <c r="AJ796"/>
      <c r="AK796"/>
      <c r="AL796"/>
      <c r="AM796"/>
      <c r="AN796"/>
      <c r="AO796"/>
      <c r="AP796"/>
      <c r="AQ796"/>
      <c r="AR796"/>
      <c r="AS796"/>
      <c r="AT796"/>
      <c r="AU796"/>
      <c r="AV796"/>
      <c r="AW796"/>
      <c r="AX796"/>
      <c r="AY796"/>
      <c r="AZ796" s="3"/>
      <c r="CP796" s="1485">
        <f t="shared" si="40"/>
        <v>0</v>
      </c>
      <c r="CQ796" s="1486"/>
      <c r="CR796" s="1486"/>
      <c r="CS796" s="1486"/>
      <c r="CT796" s="1487"/>
      <c r="CU796" s="1485">
        <f t="shared" si="41"/>
        <v>0</v>
      </c>
      <c r="CV796" s="1486"/>
      <c r="CW796" s="1486"/>
      <c r="CX796" s="1486"/>
      <c r="CY796" s="1487"/>
      <c r="CZ796" s="1485">
        <f t="shared" si="42"/>
        <v>0</v>
      </c>
      <c r="DA796" s="1486"/>
      <c r="DB796" s="1486"/>
      <c r="DC796" s="1486"/>
      <c r="DD796" s="1487"/>
      <c r="DE796" s="1485">
        <f t="shared" si="43"/>
        <v>0</v>
      </c>
      <c r="DF796" s="1486"/>
      <c r="DG796" s="1486"/>
      <c r="DH796" s="1486"/>
      <c r="DI796" s="1487"/>
      <c r="DJ796" s="1485">
        <f t="shared" si="44"/>
        <v>0</v>
      </c>
      <c r="DK796" s="1486"/>
      <c r="DL796" s="1486"/>
      <c r="DM796" s="1486"/>
      <c r="DN796" s="1487"/>
      <c r="DO796" s="1485">
        <f t="shared" si="45"/>
        <v>0</v>
      </c>
      <c r="DP796" s="1486"/>
      <c r="DQ796" s="1486"/>
      <c r="DR796" s="1486"/>
      <c r="DS796" s="1487"/>
      <c r="DT796" s="6"/>
      <c r="DU796" s="1485">
        <f t="shared" si="46"/>
        <v>0</v>
      </c>
      <c r="DV796" s="1486"/>
      <c r="DW796" s="1486"/>
      <c r="DX796" s="1486"/>
      <c r="DY796" s="1487"/>
      <c r="DZ796" s="1485">
        <f t="shared" si="47"/>
        <v>0</v>
      </c>
      <c r="EA796" s="1486"/>
      <c r="EB796" s="1486"/>
      <c r="EC796" s="1486"/>
      <c r="ED796" s="1487"/>
      <c r="EE796" s="1485">
        <f t="shared" si="48"/>
        <v>0</v>
      </c>
      <c r="EF796" s="1486"/>
      <c r="EG796" s="1486"/>
      <c r="EH796" s="1486"/>
      <c r="EI796" s="1487"/>
      <c r="EJ796" s="1485">
        <f t="shared" si="49"/>
        <v>0</v>
      </c>
      <c r="EK796" s="1486"/>
      <c r="EL796" s="1486"/>
      <c r="EM796" s="1486"/>
      <c r="EN796" s="1487"/>
      <c r="EO796" s="1485">
        <f t="shared" si="50"/>
        <v>0</v>
      </c>
      <c r="EP796" s="1486"/>
      <c r="EQ796" s="1486"/>
      <c r="ER796" s="1486"/>
      <c r="ES796" s="1487"/>
      <c r="ET796" s="1485">
        <f t="shared" si="51"/>
        <v>0</v>
      </c>
      <c r="EU796" s="1486"/>
      <c r="EV796" s="1486"/>
      <c r="EW796" s="1486"/>
      <c r="EX796" s="1487"/>
    </row>
    <row r="797" spans="1:154" s="4" customFormat="1" ht="12.95" customHeight="1">
      <c r="A797"/>
      <c r="B797"/>
      <c r="C797"/>
      <c r="D797"/>
      <c r="E797"/>
      <c r="F797"/>
      <c r="G797"/>
      <c r="H797"/>
      <c r="I797"/>
      <c r="J797" s="1467" t="s">
        <v>125</v>
      </c>
      <c r="K797" s="1468"/>
      <c r="L797" s="1468"/>
      <c r="M797" s="1468"/>
      <c r="N797" s="1469"/>
      <c r="O797" s="1728">
        <f>SUM(O787:S796)</f>
        <v>0</v>
      </c>
      <c r="P797" s="1728"/>
      <c r="Q797" s="1728"/>
      <c r="R797" s="1728"/>
      <c r="S797" s="1728"/>
      <c r="T797"/>
      <c r="U797"/>
      <c r="V797"/>
      <c r="W797"/>
      <c r="X797" s="903" t="s">
        <v>124</v>
      </c>
      <c r="Y797" s="11"/>
      <c r="Z797" s="11"/>
      <c r="AA797" s="11"/>
      <c r="AB797" s="910"/>
      <c r="AC797" s="1607">
        <f>SUM(AC787:AG796)</f>
        <v>0</v>
      </c>
      <c r="AD797" s="1422"/>
      <c r="AE797" s="1422"/>
      <c r="AF797" s="1422"/>
      <c r="AG797" s="1608"/>
      <c r="AH797"/>
      <c r="AI797"/>
      <c r="AJ797"/>
      <c r="AK797"/>
      <c r="AL797"/>
      <c r="AM797"/>
      <c r="AN797"/>
      <c r="AO797"/>
      <c r="AP797"/>
      <c r="AQ797"/>
      <c r="AR797"/>
      <c r="AS797"/>
      <c r="AT797"/>
      <c r="AU797"/>
      <c r="AV797"/>
      <c r="AW797"/>
      <c r="AX797"/>
      <c r="AY797"/>
      <c r="AZ797" s="3"/>
      <c r="BA797"/>
      <c r="CP797" s="1489">
        <f>SUM(CP787:CT796)</f>
        <v>0</v>
      </c>
      <c r="CQ797" s="1490"/>
      <c r="CR797" s="1490"/>
      <c r="CS797" s="1490"/>
      <c r="CT797" s="1491"/>
      <c r="CU797" s="1492">
        <f>SUM(CU787:CY796)</f>
        <v>0</v>
      </c>
      <c r="CV797" s="1493"/>
      <c r="CW797" s="1493"/>
      <c r="CX797" s="1493"/>
      <c r="CY797" s="1494"/>
      <c r="CZ797" s="1492">
        <f>SUM(CZ787:DD796)</f>
        <v>0</v>
      </c>
      <c r="DA797" s="1493"/>
      <c r="DB797" s="1493"/>
      <c r="DC797" s="1493"/>
      <c r="DD797" s="1494"/>
      <c r="DE797" s="1492">
        <f>SUM(DE787:DI796)</f>
        <v>0</v>
      </c>
      <c r="DF797" s="1493"/>
      <c r="DG797" s="1493"/>
      <c r="DH797" s="1493"/>
      <c r="DI797" s="1494"/>
      <c r="DJ797" s="1492">
        <f>SUM(DJ787:DN796)</f>
        <v>0</v>
      </c>
      <c r="DK797" s="1493"/>
      <c r="DL797" s="1493"/>
      <c r="DM797" s="1493"/>
      <c r="DN797" s="1494"/>
      <c r="DO797" s="1492">
        <f>SUM(DO787:DS796)</f>
        <v>0</v>
      </c>
      <c r="DP797" s="1493"/>
      <c r="DQ797" s="1493"/>
      <c r="DR797" s="1493"/>
      <c r="DS797" s="1494"/>
      <c r="DT797" s="1013"/>
      <c r="DU797" s="1489">
        <f>SUM(DU787:DY796)</f>
        <v>0</v>
      </c>
      <c r="DV797" s="1490"/>
      <c r="DW797" s="1490"/>
      <c r="DX797" s="1490"/>
      <c r="DY797" s="1491"/>
      <c r="DZ797" s="1489">
        <f>SUM(DZ787:ED796)</f>
        <v>0</v>
      </c>
      <c r="EA797" s="1490"/>
      <c r="EB797" s="1490"/>
      <c r="EC797" s="1490"/>
      <c r="ED797" s="1491"/>
      <c r="EE797" s="1489">
        <f>SUM(EE787:EI796)</f>
        <v>0</v>
      </c>
      <c r="EF797" s="1490"/>
      <c r="EG797" s="1490"/>
      <c r="EH797" s="1490"/>
      <c r="EI797" s="1491"/>
      <c r="EJ797" s="1489">
        <f>SUM(EJ787:EN796)</f>
        <v>0</v>
      </c>
      <c r="EK797" s="1490"/>
      <c r="EL797" s="1490"/>
      <c r="EM797" s="1490"/>
      <c r="EN797" s="1491"/>
      <c r="EO797" s="1489">
        <f>SUM(EO787:ES796)</f>
        <v>0</v>
      </c>
      <c r="EP797" s="1490"/>
      <c r="EQ797" s="1490"/>
      <c r="ER797" s="1490"/>
      <c r="ES797" s="1491"/>
      <c r="ET797" s="1489">
        <f>SUM(ET787:EX796)</f>
        <v>0</v>
      </c>
      <c r="EU797" s="1490"/>
      <c r="EV797" s="1490"/>
      <c r="EW797" s="1490"/>
      <c r="EX797" s="1491"/>
    </row>
    <row r="798" spans="1:154" s="4" customFormat="1" ht="12.95" customHeight="1">
      <c r="A798"/>
      <c r="B798"/>
      <c r="C798" s="1729" t="str">
        <f>IF(O797&lt;&gt;AG438,"! Total market rate units in the Unit Mix Table above does not match the number of  market rate units on row #"&amp;TEXT(ROW(D438),"#"),"")</f>
        <v/>
      </c>
      <c r="D798" s="1729"/>
      <c r="E798" s="1729"/>
      <c r="F798" s="1729"/>
      <c r="G798" s="1729"/>
      <c r="H798" s="1729"/>
      <c r="I798" s="1729"/>
      <c r="J798" s="1729"/>
      <c r="K798" s="1729"/>
      <c r="L798" s="1729"/>
      <c r="M798" s="1729"/>
      <c r="N798" s="1729"/>
      <c r="O798" s="1729"/>
      <c r="P798" s="1729"/>
      <c r="Q798" s="1729"/>
      <c r="R798" s="1729"/>
      <c r="S798" s="1729"/>
      <c r="T798" s="1729"/>
      <c r="U798" s="1729"/>
      <c r="V798" s="1729"/>
      <c r="W798" s="1729"/>
      <c r="X798" s="1729"/>
      <c r="Y798" s="1729"/>
      <c r="Z798" s="1729"/>
      <c r="AA798" s="1729"/>
      <c r="AB798" s="1729"/>
      <c r="AC798" s="1729"/>
      <c r="AD798" s="1729"/>
      <c r="AE798" s="1729"/>
      <c r="AF798" s="1729"/>
      <c r="AG798" s="1729"/>
      <c r="AH798" s="1729"/>
      <c r="AI798" s="1729"/>
      <c r="AJ798" s="1729"/>
      <c r="AK798" s="1729"/>
      <c r="AL798" s="1729"/>
      <c r="AM798" s="1729"/>
      <c r="AN798" s="1729"/>
      <c r="AO798"/>
      <c r="AP798"/>
      <c r="AQ798"/>
      <c r="AR798"/>
      <c r="AS798"/>
      <c r="AT798"/>
      <c r="AU798"/>
      <c r="AV798"/>
      <c r="AW798"/>
      <c r="AX798"/>
      <c r="AY798"/>
      <c r="AZ798" s="30"/>
      <c r="BA798" s="30"/>
      <c r="CP798"/>
      <c r="CQ798"/>
      <c r="CR798"/>
      <c r="CS798"/>
      <c r="CT798" s="862">
        <f>CP797*1</f>
        <v>0</v>
      </c>
      <c r="CU798" s="3"/>
      <c r="CV798" s="3"/>
      <c r="CW798" s="3"/>
      <c r="CX798" s="3"/>
      <c r="CY798" s="862">
        <f>CU797*1</f>
        <v>0</v>
      </c>
      <c r="CZ798" s="3"/>
      <c r="DA798" s="3"/>
      <c r="DB798" s="3"/>
      <c r="DC798" s="3"/>
      <c r="DD798" s="862">
        <f>CZ797*2</f>
        <v>0</v>
      </c>
      <c r="DE798" s="3"/>
      <c r="DF798" s="3"/>
      <c r="DG798" s="3"/>
      <c r="DH798" s="3"/>
      <c r="DI798" s="862">
        <f>DE797*3</f>
        <v>0</v>
      </c>
      <c r="DJ798" s="3"/>
      <c r="DK798" s="3"/>
      <c r="DL798" s="3"/>
      <c r="DM798" s="3"/>
      <c r="DN798" s="862">
        <f>DJ797*4</f>
        <v>0</v>
      </c>
      <c r="DO798" s="3"/>
      <c r="DP798" s="3"/>
      <c r="DQ798" s="3"/>
      <c r="DR798" s="3"/>
      <c r="DS798" s="862">
        <f>DO797*5</f>
        <v>0</v>
      </c>
      <c r="DT798" s="3"/>
      <c r="DU798"/>
      <c r="DV798"/>
      <c r="DW798"/>
      <c r="DX798"/>
      <c r="DY798" s="3"/>
      <c r="DZ798" s="3"/>
      <c r="EA798" s="3"/>
      <c r="EB798" s="3"/>
      <c r="EC798" s="3"/>
      <c r="ED798" s="3"/>
      <c r="EE798" s="3"/>
      <c r="EF798" s="3"/>
      <c r="EG798" s="3"/>
      <c r="EH798" s="3"/>
      <c r="EI798" s="3"/>
      <c r="EJ798" s="3"/>
      <c r="EK798" s="3"/>
      <c r="EL798" s="3"/>
      <c r="EM798" s="3"/>
      <c r="EN798" s="3"/>
      <c r="EO798" s="3"/>
      <c r="EP798" s="3"/>
      <c r="EQ798" s="3"/>
      <c r="ER798" s="3"/>
      <c r="ES798" s="3"/>
      <c r="ET798" s="3"/>
      <c r="EU798" s="3"/>
      <c r="EV798" s="3"/>
      <c r="EW798" s="3"/>
      <c r="EX798" s="3"/>
    </row>
    <row r="799" spans="1:154" s="4" customFormat="1" ht="12.95" customHeight="1">
      <c r="A799"/>
      <c r="B799"/>
      <c r="C799" s="1729"/>
      <c r="D799" s="1729"/>
      <c r="E799" s="1729"/>
      <c r="F799" s="1729"/>
      <c r="G799" s="1729"/>
      <c r="H799" s="1729"/>
      <c r="I799" s="1729"/>
      <c r="J799" s="1729"/>
      <c r="K799" s="1729"/>
      <c r="L799" s="1729"/>
      <c r="M799" s="1729"/>
      <c r="N799" s="1729"/>
      <c r="O799" s="1729"/>
      <c r="P799" s="1729"/>
      <c r="Q799" s="1729"/>
      <c r="R799" s="1729"/>
      <c r="S799" s="1729"/>
      <c r="T799" s="1729"/>
      <c r="U799" s="1729"/>
      <c r="V799" s="1729"/>
      <c r="W799" s="1729"/>
      <c r="X799" s="1729"/>
      <c r="Y799" s="1729"/>
      <c r="Z799" s="1729"/>
      <c r="AA799" s="1729"/>
      <c r="AB799" s="1729"/>
      <c r="AC799" s="1729"/>
      <c r="AD799" s="1729"/>
      <c r="AE799" s="1729"/>
      <c r="AF799" s="1729"/>
      <c r="AG799" s="1729"/>
      <c r="AH799" s="1729"/>
      <c r="AI799" s="1729"/>
      <c r="AJ799" s="1729"/>
      <c r="AK799" s="1729"/>
      <c r="AL799" s="1729"/>
      <c r="AM799" s="1729"/>
      <c r="AN799" s="1729"/>
      <c r="AO799"/>
      <c r="AP799"/>
      <c r="AQ799"/>
      <c r="AR799"/>
      <c r="AS799"/>
      <c r="AT799"/>
      <c r="AU799"/>
      <c r="AV799"/>
      <c r="AW799"/>
      <c r="AX799"/>
      <c r="AY799"/>
      <c r="AZ799" s="30"/>
      <c r="BA799" s="30"/>
      <c r="CP799"/>
      <c r="CQ799"/>
      <c r="CR799"/>
      <c r="CS799"/>
      <c r="CT799"/>
      <c r="CU799"/>
      <c r="CV799"/>
      <c r="CW799"/>
      <c r="CX799"/>
      <c r="CY799"/>
      <c r="CZ799"/>
      <c r="DA799"/>
      <c r="DB799"/>
      <c r="DC799"/>
      <c r="DD799"/>
      <c r="DE799"/>
      <c r="DF799"/>
      <c r="DG799"/>
      <c r="DH799"/>
      <c r="DI799"/>
      <c r="DJ799"/>
      <c r="DK799"/>
      <c r="DL799"/>
      <c r="DM799"/>
      <c r="DN799"/>
      <c r="DO799"/>
      <c r="DP799"/>
      <c r="DQ799"/>
      <c r="DR799"/>
      <c r="DS799"/>
      <c r="DT799" s="3"/>
      <c r="DU799" s="862">
        <f>CP797+CU797+CZ797+DE797+DJ797+DO797</f>
        <v>0</v>
      </c>
      <c r="DV799" s="57" t="s">
        <v>1858</v>
      </c>
      <c r="DW799" s="3"/>
      <c r="DX799" s="3"/>
      <c r="DY799" s="3"/>
      <c r="DZ799" s="3"/>
      <c r="EA799" s="3"/>
      <c r="EB799" s="3"/>
      <c r="EC799" s="3"/>
      <c r="ED799" s="3"/>
      <c r="EE799" s="3"/>
      <c r="EF799" s="3"/>
      <c r="EG799" s="3"/>
      <c r="EH799" s="3"/>
      <c r="EI799"/>
      <c r="EJ799"/>
      <c r="EK799"/>
      <c r="EL799"/>
      <c r="EM799"/>
      <c r="EN799"/>
      <c r="EO799"/>
      <c r="EP799"/>
      <c r="EQ799"/>
      <c r="ER799"/>
      <c r="ES799" s="56" t="s">
        <v>1867</v>
      </c>
      <c r="ET799" s="1857">
        <f>SUM(DU797:EX797)</f>
        <v>0</v>
      </c>
      <c r="EU799" s="1858"/>
      <c r="EV799" s="1858"/>
      <c r="EW799" s="1858"/>
      <c r="EX799" s="1859"/>
    </row>
    <row r="800" spans="1:154" s="4" customFormat="1" ht="12.95" customHeight="1">
      <c r="A800"/>
      <c r="B800"/>
      <c r="C800"/>
      <c r="D800"/>
      <c r="E800"/>
      <c r="F800"/>
      <c r="G800"/>
      <c r="H800"/>
      <c r="I800"/>
      <c r="J800" s="45"/>
      <c r="K800" s="5"/>
      <c r="L800" s="5"/>
      <c r="M800" s="5"/>
      <c r="N800" s="5"/>
      <c r="O800" s="5"/>
      <c r="P800" s="5"/>
      <c r="Q800" s="5"/>
      <c r="R800" s="5"/>
      <c r="S800" s="5"/>
      <c r="T800" s="5"/>
      <c r="U800" s="5"/>
      <c r="V800" s="5"/>
      <c r="W800" s="5"/>
      <c r="X800" s="54" t="s">
        <v>161</v>
      </c>
      <c r="Y800" s="1651">
        <f>O753+AC777+AC797</f>
        <v>375224</v>
      </c>
      <c r="Z800" s="1651"/>
      <c r="AA800" s="1651"/>
      <c r="AB800" s="1651"/>
      <c r="AC800" s="1651"/>
      <c r="AD800"/>
      <c r="AE800"/>
      <c r="AF800"/>
      <c r="AG800"/>
      <c r="AH800"/>
      <c r="AI800"/>
      <c r="AJ800"/>
      <c r="AK800"/>
      <c r="AL800"/>
      <c r="AM800"/>
      <c r="AN800"/>
      <c r="AO800"/>
      <c r="AP800"/>
      <c r="AQ800"/>
      <c r="AR800"/>
      <c r="AS800"/>
      <c r="AT800"/>
      <c r="AU800"/>
      <c r="AV800"/>
      <c r="AW800"/>
      <c r="AX800"/>
      <c r="AY800"/>
      <c r="AZ800" s="30"/>
      <c r="BA800" s="30"/>
      <c r="CP800"/>
      <c r="CQ800"/>
      <c r="CR800"/>
      <c r="CS800"/>
      <c r="CT800"/>
      <c r="CU800"/>
      <c r="CV800"/>
      <c r="CW800"/>
      <c r="CX800"/>
      <c r="CY800"/>
      <c r="CZ800"/>
      <c r="DA800"/>
      <c r="DB800"/>
      <c r="DC800"/>
      <c r="DD800"/>
      <c r="DE800"/>
      <c r="DF800"/>
      <c r="DG800"/>
      <c r="DH800"/>
      <c r="DI800"/>
      <c r="DJ800"/>
      <c r="DK800"/>
      <c r="DL800"/>
      <c r="DM800"/>
      <c r="DN800"/>
      <c r="DO800"/>
      <c r="DP800"/>
      <c r="DQ800"/>
      <c r="DR800"/>
      <c r="DS800"/>
      <c r="DT800" s="3"/>
      <c r="DU800" s="862">
        <f>CT798+CY798+DD798+DI798+DN798+DS798</f>
        <v>0</v>
      </c>
      <c r="DV800" s="57" t="s">
        <v>1629</v>
      </c>
      <c r="DW800" s="3"/>
      <c r="DX800" s="3"/>
      <c r="DY800" s="3"/>
      <c r="DZ800" s="3"/>
      <c r="EA800" s="3"/>
      <c r="EB800" s="3"/>
      <c r="EC800" s="3"/>
      <c r="ED800" s="3"/>
      <c r="EE800" s="3"/>
      <c r="EF800" s="3"/>
      <c r="EG800" s="3"/>
      <c r="EH800" s="3"/>
      <c r="EI800"/>
      <c r="EJ800"/>
      <c r="EK800"/>
      <c r="EL800"/>
      <c r="EM800"/>
      <c r="EN800"/>
      <c r="EO800"/>
      <c r="EP800"/>
      <c r="EQ800"/>
      <c r="ER800"/>
      <c r="ES800"/>
      <c r="ET800"/>
      <c r="EU800"/>
      <c r="EV800"/>
      <c r="EW800"/>
      <c r="EX800"/>
    </row>
    <row r="801" spans="1:126" s="4" customFormat="1" ht="12.95"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651">
        <f>(O753+AC777+AC797)*12</f>
        <v>4502688</v>
      </c>
      <c r="Z801" s="1651"/>
      <c r="AA801" s="1651"/>
      <c r="AB801" s="1651"/>
      <c r="AC801" s="1651"/>
      <c r="AD801"/>
      <c r="AE801"/>
      <c r="AF801"/>
      <c r="AG801"/>
      <c r="AH801"/>
      <c r="AI801"/>
      <c r="AJ801"/>
      <c r="AK801"/>
      <c r="AL801"/>
      <c r="AM801"/>
      <c r="AN801"/>
      <c r="AO801"/>
      <c r="AP801"/>
      <c r="AQ801"/>
      <c r="AR801"/>
      <c r="AS801"/>
      <c r="AT801"/>
      <c r="AU801"/>
      <c r="AV801"/>
      <c r="AW801"/>
      <c r="AX801"/>
      <c r="AY801"/>
      <c r="AZ801" s="14"/>
      <c r="BA801" s="14"/>
      <c r="CP801" s="34" t="s">
        <v>105</v>
      </c>
      <c r="CQ801" s="3"/>
      <c r="CR801" s="3"/>
      <c r="CS801" s="3"/>
      <c r="CT801" s="3"/>
      <c r="CU801" s="3"/>
      <c r="CV801" s="3"/>
      <c r="CW801" s="3"/>
      <c r="CX801" s="3"/>
      <c r="CY801" s="3"/>
      <c r="CZ801" s="3"/>
      <c r="DA801" s="3"/>
      <c r="DB801" s="3"/>
      <c r="DC801" s="3"/>
      <c r="DD801" s="3"/>
      <c r="DE801" s="3"/>
      <c r="DF801" s="3"/>
      <c r="DG801" s="3"/>
      <c r="DH801" s="3"/>
      <c r="DI801" s="3"/>
      <c r="DJ801" s="3"/>
      <c r="DK801" s="3"/>
      <c r="DL801" s="3"/>
      <c r="DM801" s="3"/>
      <c r="DN801" s="3"/>
      <c r="DO801" s="3"/>
      <c r="DP801" s="3"/>
      <c r="DQ801" s="3"/>
      <c r="DR801" s="3"/>
      <c r="DS801" s="3"/>
      <c r="DT801" s="3"/>
      <c r="DU801"/>
      <c r="DV801"/>
    </row>
    <row r="802" spans="1:126" s="4" customFormat="1" ht="12.95"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CB802" s="70"/>
      <c r="CC802" s="70"/>
      <c r="CD802" s="70"/>
      <c r="CE802" s="70"/>
      <c r="CF802" s="70"/>
      <c r="CP802" s="1492">
        <f>CP753+CP777+CP797</f>
        <v>101</v>
      </c>
      <c r="CQ802" s="1493"/>
      <c r="CR802" s="1493"/>
      <c r="CS802" s="1493"/>
      <c r="CT802" s="1494"/>
      <c r="CU802" s="1492">
        <f>CU753+CU777+CU797</f>
        <v>36</v>
      </c>
      <c r="CV802" s="1493"/>
      <c r="CW802" s="1493"/>
      <c r="CX802" s="1493"/>
      <c r="CY802" s="1494"/>
      <c r="CZ802" s="1492">
        <f>CZ753+CZ777+CZ797</f>
        <v>95</v>
      </c>
      <c r="DA802" s="1493"/>
      <c r="DB802" s="1493"/>
      <c r="DC802" s="1493"/>
      <c r="DD802" s="1494"/>
      <c r="DE802" s="1492">
        <f>DE753+DE777+DE797</f>
        <v>0</v>
      </c>
      <c r="DF802" s="1493"/>
      <c r="DG802" s="1493"/>
      <c r="DH802" s="1493"/>
      <c r="DI802" s="1494"/>
      <c r="DJ802" s="1492">
        <f>DJ753+DJ777+DJ797</f>
        <v>0</v>
      </c>
      <c r="DK802" s="1493"/>
      <c r="DL802" s="1493"/>
      <c r="DM802" s="1493"/>
      <c r="DN802" s="1494"/>
      <c r="DO802" s="1495">
        <f>DO797+DO777+DO753</f>
        <v>0</v>
      </c>
      <c r="DP802" s="1496"/>
      <c r="DQ802" s="1496"/>
      <c r="DR802" s="1496"/>
      <c r="DS802" s="1497"/>
      <c r="DT802" s="3"/>
      <c r="DU802" s="862">
        <f>DU755+DU800</f>
        <v>323</v>
      </c>
      <c r="DV802" s="57" t="s">
        <v>1863</v>
      </c>
    </row>
    <row r="803" spans="1:126" s="4" customFormat="1" ht="12.95" customHeight="1">
      <c r="A803" s="2" t="s">
        <v>589</v>
      </c>
      <c r="B803" s="2"/>
      <c r="C803" s="2" t="s">
        <v>612</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CB803" s="70"/>
      <c r="CC803" s="70"/>
      <c r="CD803" s="70"/>
      <c r="CE803" s="70"/>
      <c r="CF803" s="70"/>
      <c r="CP803" s="34"/>
      <c r="CQ803" s="3"/>
      <c r="CR803" s="3"/>
      <c r="CS803" s="3"/>
      <c r="CT803" s="3"/>
      <c r="CU803" s="3"/>
      <c r="CV803" s="3"/>
      <c r="CW803" s="3"/>
      <c r="CX803" s="3"/>
      <c r="CY803" s="3"/>
      <c r="CZ803" s="3"/>
      <c r="DA803" s="3"/>
      <c r="DB803" s="3"/>
      <c r="DC803" s="3"/>
      <c r="DD803" s="3"/>
      <c r="DE803" s="3"/>
      <c r="DF803" s="3"/>
      <c r="DG803" s="3"/>
      <c r="DH803" s="3"/>
      <c r="DI803" s="3"/>
      <c r="DJ803" s="3"/>
      <c r="DK803" s="3"/>
      <c r="DL803" s="3"/>
      <c r="DM803" s="3"/>
      <c r="DN803" s="3"/>
      <c r="DO803" s="3"/>
      <c r="DP803" s="3"/>
      <c r="DQ803" s="3"/>
      <c r="DR803" s="3"/>
      <c r="DS803" s="3"/>
      <c r="DT803" s="3"/>
      <c r="DU803" s="3"/>
      <c r="DV803" s="3"/>
    </row>
    <row r="804" spans="1:126" s="4" customFormat="1" ht="12.95" customHeight="1">
      <c r="A804" s="2"/>
      <c r="B804" s="2"/>
      <c r="C804" s="2" t="s">
        <v>916</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row>
    <row r="805" spans="1:126" s="4" customFormat="1" ht="12.95"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row>
    <row r="806" spans="1:126" s="4" customFormat="1" ht="12.95" customHeight="1">
      <c r="A806"/>
      <c r="B806"/>
      <c r="C806"/>
      <c r="D806"/>
      <c r="E806"/>
      <c r="F806"/>
      <c r="G806"/>
      <c r="H806" s="45" t="s">
        <v>356</v>
      </c>
      <c r="I806" s="5"/>
      <c r="J806" s="5"/>
      <c r="K806" s="5"/>
      <c r="L806" s="5"/>
      <c r="M806" s="5"/>
      <c r="N806" s="5"/>
      <c r="O806" s="5"/>
      <c r="P806" s="5"/>
      <c r="Q806" s="5"/>
      <c r="R806" s="5"/>
      <c r="S806" s="5"/>
      <c r="T806" s="5"/>
      <c r="U806" s="5"/>
      <c r="V806" s="5"/>
      <c r="W806" s="5"/>
      <c r="X806" s="5"/>
      <c r="Y806" s="5"/>
      <c r="Z806" s="1404">
        <v>0</v>
      </c>
      <c r="AA806" s="1405"/>
      <c r="AB806" s="1405"/>
      <c r="AC806" s="1405"/>
      <c r="AD806" s="1405"/>
      <c r="AE806" s="1406"/>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row>
    <row r="807" spans="1:126" s="4" customFormat="1" ht="12.95" customHeight="1">
      <c r="A807"/>
      <c r="B807"/>
      <c r="C807"/>
      <c r="D807"/>
      <c r="E807"/>
      <c r="F807"/>
      <c r="G807"/>
      <c r="H807" s="45" t="s">
        <v>357</v>
      </c>
      <c r="I807" s="5"/>
      <c r="J807" s="5"/>
      <c r="K807" s="5"/>
      <c r="L807" s="5"/>
      <c r="M807" s="5"/>
      <c r="N807" s="5"/>
      <c r="O807" s="5"/>
      <c r="P807" s="5"/>
      <c r="Q807" s="5"/>
      <c r="R807" s="5"/>
      <c r="S807" s="5"/>
      <c r="T807" s="5"/>
      <c r="U807" s="5"/>
      <c r="V807" s="5"/>
      <c r="W807" s="5"/>
      <c r="X807" s="5"/>
      <c r="Y807" s="5"/>
      <c r="Z807" s="1710"/>
      <c r="AA807" s="1405"/>
      <c r="AB807" s="1405"/>
      <c r="AC807" s="1405"/>
      <c r="AD807" s="1405"/>
      <c r="AE807" s="1406"/>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row>
    <row r="808" spans="1:126" s="4" customFormat="1" ht="12.95"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727">
        <v>0</v>
      </c>
      <c r="AA808" s="1545"/>
      <c r="AB808" s="1545"/>
      <c r="AC808" s="1545"/>
      <c r="AD808" s="1545"/>
      <c r="AE808" s="1546"/>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row>
    <row r="809" spans="1:126" s="4" customFormat="1" ht="12.95"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629">
        <f>'Subsidy Contract Calculation'!J40</f>
        <v>0</v>
      </c>
      <c r="AA809" s="1630"/>
      <c r="AB809" s="1630"/>
      <c r="AC809" s="1630"/>
      <c r="AD809" s="1630"/>
      <c r="AE809" s="1631"/>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26" s="4" customFormat="1" ht="12.95"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26" s="4" customFormat="1" ht="12.95" customHeight="1">
      <c r="A811" s="2" t="s">
        <v>590</v>
      </c>
      <c r="B811" s="2"/>
      <c r="C811" s="2" t="s">
        <v>287</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26" s="4" customFormat="1" ht="12.95"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26" s="4" customFormat="1" ht="12.95"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455">
        <v>60320</v>
      </c>
      <c r="AA813" s="1456"/>
      <c r="AB813" s="1456"/>
      <c r="AC813" s="1456"/>
      <c r="AD813" s="1456"/>
      <c r="AE813" s="1457"/>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26" s="4" customFormat="1" ht="12.95"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455">
        <v>0</v>
      </c>
      <c r="AA814" s="1456"/>
      <c r="AB814" s="1456"/>
      <c r="AC814" s="1456"/>
      <c r="AD814" s="1456"/>
      <c r="AE814" s="1457"/>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26" s="4" customFormat="1" ht="12.95"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455">
        <v>0</v>
      </c>
      <c r="AA815" s="1456"/>
      <c r="AB815" s="1456"/>
      <c r="AC815" s="1456"/>
      <c r="AD815" s="1456"/>
      <c r="AE815" s="1457"/>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26" s="4" customFormat="1" ht="12.95" customHeight="1">
      <c r="A816"/>
      <c r="B816"/>
      <c r="C816"/>
      <c r="D816"/>
      <c r="E816"/>
      <c r="F816"/>
      <c r="G816"/>
      <c r="H816" s="45" t="s">
        <v>39</v>
      </c>
      <c r="I816" s="5"/>
      <c r="J816" s="5"/>
      <c r="K816" s="5"/>
      <c r="L816" s="5"/>
      <c r="M816" s="5"/>
      <c r="N816" s="5"/>
      <c r="O816" s="5"/>
      <c r="P816" s="1577" t="s">
        <v>2686</v>
      </c>
      <c r="Q816" s="1578"/>
      <c r="R816" s="1578"/>
      <c r="S816" s="1578"/>
      <c r="T816" s="1578"/>
      <c r="U816" s="1578"/>
      <c r="V816" s="1578"/>
      <c r="W816" s="1578"/>
      <c r="X816" s="1578"/>
      <c r="Y816" s="1579"/>
      <c r="Z816" s="1455">
        <f>7500+15000+39864+15000+5500+5000</f>
        <v>87864</v>
      </c>
      <c r="AA816" s="1456"/>
      <c r="AB816" s="1456"/>
      <c r="AC816" s="1456"/>
      <c r="AD816" s="1456"/>
      <c r="AE816" s="1457"/>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55" s="4" customFormat="1" ht="12.95"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629">
        <f>SUM(Z813:AE816)</f>
        <v>148184</v>
      </c>
      <c r="AA817" s="1630"/>
      <c r="AB817" s="1630"/>
      <c r="AC817" s="1630"/>
      <c r="AD817" s="1630"/>
      <c r="AE817" s="1631"/>
      <c r="AF817"/>
      <c r="AG817"/>
      <c r="AH817"/>
      <c r="AI817"/>
      <c r="AJ817"/>
      <c r="AK817"/>
      <c r="AL817"/>
      <c r="AM817"/>
      <c r="AN817"/>
      <c r="AO817"/>
      <c r="AP817"/>
      <c r="AQ817"/>
      <c r="AR817"/>
      <c r="AS817"/>
      <c r="AT817"/>
      <c r="AU817" s="3"/>
      <c r="AV817"/>
      <c r="AW817"/>
      <c r="AX817"/>
      <c r="AY817"/>
      <c r="AZ817" s="30"/>
      <c r="BA817" s="30"/>
      <c r="BB817" s="14"/>
      <c r="BC817" s="14"/>
    </row>
    <row r="818" spans="1:55" s="4" customFormat="1" ht="12.95" customHeight="1">
      <c r="A818"/>
      <c r="B818"/>
      <c r="C818"/>
      <c r="D818"/>
      <c r="E818"/>
      <c r="F818"/>
      <c r="G818"/>
      <c r="H818" s="45"/>
      <c r="I818" s="5"/>
      <c r="J818" s="5"/>
      <c r="K818" s="5"/>
      <c r="L818" s="5"/>
      <c r="M818" s="5"/>
      <c r="N818" s="5"/>
      <c r="O818" s="5"/>
      <c r="P818" s="5"/>
      <c r="Q818" s="5"/>
      <c r="R818" s="5"/>
      <c r="S818" s="5"/>
      <c r="T818" s="5"/>
      <c r="U818" s="5"/>
      <c r="V818" s="5"/>
      <c r="W818" s="5"/>
      <c r="X818" s="5"/>
      <c r="Y818" s="53" t="s">
        <v>644</v>
      </c>
      <c r="Z818" s="1629">
        <f>Z817+Y801+Z809</f>
        <v>4650872</v>
      </c>
      <c r="AA818" s="1630"/>
      <c r="AB818" s="1630"/>
      <c r="AC818" s="1630"/>
      <c r="AD818" s="1630"/>
      <c r="AE818" s="1631"/>
      <c r="AF818"/>
      <c r="AG818"/>
      <c r="AH818"/>
      <c r="AI818"/>
      <c r="AJ818"/>
      <c r="AK818"/>
      <c r="AL818"/>
      <c r="AM818"/>
      <c r="AN818"/>
      <c r="AO818"/>
      <c r="AP818"/>
      <c r="AQ818"/>
      <c r="AR818"/>
      <c r="AS818"/>
      <c r="AT818"/>
      <c r="AU818" s="3"/>
      <c r="AV818" s="3"/>
      <c r="AW818" s="3"/>
      <c r="AX818" s="3"/>
      <c r="AY818" s="3"/>
      <c r="AZ818" s="30"/>
      <c r="BA818" s="30"/>
      <c r="BB818" s="14"/>
      <c r="BC818" s="14"/>
    </row>
    <row r="819" spans="1:55" s="4" customFormat="1" ht="12.95"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row>
    <row r="820" spans="1:55" s="4" customFormat="1" ht="12.95" customHeight="1">
      <c r="A820" s="2" t="s">
        <v>592</v>
      </c>
      <c r="B820" s="2"/>
      <c r="C820" s="2" t="s">
        <v>424</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row>
    <row r="821" spans="1:55" s="4" customFormat="1" ht="12.95" customHeight="1">
      <c r="A821"/>
      <c r="B821"/>
      <c r="C821" s="22" t="s">
        <v>817</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row>
    <row r="822" spans="1:55" s="4" customFormat="1" ht="12.95"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row>
    <row r="823" spans="1:55" s="4" customFormat="1" ht="12.95" customHeight="1">
      <c r="A823"/>
      <c r="B823"/>
      <c r="C823" s="41"/>
      <c r="D823" s="42"/>
      <c r="E823" s="42"/>
      <c r="F823" s="42"/>
      <c r="G823" s="42"/>
      <c r="H823" s="42"/>
      <c r="I823" s="42"/>
      <c r="J823" s="42"/>
      <c r="K823" s="42"/>
      <c r="L823" s="58"/>
      <c r="M823" s="1653" t="s">
        <v>126</v>
      </c>
      <c r="N823" s="1653"/>
      <c r="O823" s="1653"/>
      <c r="P823" s="1730"/>
      <c r="Q823" s="1659" t="s">
        <v>289</v>
      </c>
      <c r="R823" s="1659"/>
      <c r="S823" s="1659"/>
      <c r="T823" s="1659"/>
      <c r="U823" s="1659" t="s">
        <v>290</v>
      </c>
      <c r="V823" s="1659"/>
      <c r="W823" s="1659"/>
      <c r="X823" s="1659"/>
      <c r="Y823" s="1659" t="s">
        <v>291</v>
      </c>
      <c r="Z823" s="1659"/>
      <c r="AA823" s="1659"/>
      <c r="AB823" s="1659"/>
      <c r="AC823" s="1659" t="s">
        <v>360</v>
      </c>
      <c r="AD823" s="1659"/>
      <c r="AE823" s="1659"/>
      <c r="AF823" s="1659"/>
      <c r="AG823" s="1709" t="s">
        <v>334</v>
      </c>
      <c r="AH823" s="1709"/>
      <c r="AI823" s="1709"/>
      <c r="AJ823" s="1709"/>
      <c r="AK823"/>
      <c r="AL823" s="3"/>
      <c r="AM823" s="3"/>
      <c r="AN823" s="3"/>
      <c r="AO823" s="3"/>
      <c r="AP823" s="3"/>
      <c r="AQ823" s="3"/>
      <c r="AR823" s="3"/>
      <c r="AS823" s="3"/>
      <c r="AT823" s="3"/>
      <c r="AU823" s="3"/>
      <c r="AV823" s="3"/>
      <c r="AW823" s="3"/>
      <c r="AX823" s="3"/>
      <c r="AY823" s="3"/>
      <c r="AZ823" s="30"/>
      <c r="BA823" s="30"/>
      <c r="BB823" s="14"/>
      <c r="BC823" s="14"/>
    </row>
    <row r="824" spans="1:55" s="14" customFormat="1" ht="12.95" customHeight="1">
      <c r="A824"/>
      <c r="B824"/>
      <c r="C824" s="47"/>
      <c r="D824" s="48"/>
      <c r="E824" s="48"/>
      <c r="F824" s="48"/>
      <c r="G824" s="48"/>
      <c r="H824" s="48"/>
      <c r="I824" s="48"/>
      <c r="J824" s="48"/>
      <c r="K824" s="48"/>
      <c r="L824" s="49"/>
      <c r="M824" s="1587"/>
      <c r="N824" s="1587"/>
      <c r="O824" s="1587"/>
      <c r="P824" s="1588"/>
      <c r="Q824" s="1659"/>
      <c r="R824" s="1659"/>
      <c r="S824" s="1659"/>
      <c r="T824" s="1659"/>
      <c r="U824" s="1659"/>
      <c r="V824" s="1659"/>
      <c r="W824" s="1659"/>
      <c r="X824" s="1659"/>
      <c r="Y824" s="1659"/>
      <c r="Z824" s="1659"/>
      <c r="AA824" s="1659"/>
      <c r="AB824" s="1659"/>
      <c r="AC824" s="1659"/>
      <c r="AD824" s="1659"/>
      <c r="AE824" s="1659"/>
      <c r="AF824" s="1659"/>
      <c r="AG824" s="1709"/>
      <c r="AH824" s="1709"/>
      <c r="AI824" s="1709"/>
      <c r="AJ824" s="1709"/>
      <c r="AK824"/>
      <c r="AL824" s="3"/>
      <c r="AM824" s="3"/>
      <c r="AN824" s="3"/>
      <c r="AO824" s="3"/>
      <c r="AP824" s="3"/>
      <c r="AQ824" s="3"/>
      <c r="AR824" s="3"/>
      <c r="AS824" s="3"/>
      <c r="AT824" s="3"/>
      <c r="AU824"/>
      <c r="AV824" s="3"/>
      <c r="AW824" s="3"/>
      <c r="AX824" s="3"/>
      <c r="AY824" s="3"/>
      <c r="AZ824" s="30"/>
      <c r="BA824" s="30"/>
    </row>
    <row r="825" spans="1:55" s="14" customFormat="1" ht="12.95" customHeight="1">
      <c r="A825"/>
      <c r="B825"/>
      <c r="C825" s="1379" t="s">
        <v>40</v>
      </c>
      <c r="D825" s="1380"/>
      <c r="E825" s="1380"/>
      <c r="F825" s="1380"/>
      <c r="G825" s="1380"/>
      <c r="H825" s="1380"/>
      <c r="I825" s="48"/>
      <c r="J825" s="48"/>
      <c r="K825" s="48"/>
      <c r="L825" s="49"/>
      <c r="M825" s="1647"/>
      <c r="N825" s="1647"/>
      <c r="O825" s="1647"/>
      <c r="P825" s="1647"/>
      <c r="Q825" s="1647"/>
      <c r="R825" s="1647"/>
      <c r="S825" s="1647"/>
      <c r="T825" s="1647"/>
      <c r="U825" s="1647"/>
      <c r="V825" s="1647"/>
      <c r="W825" s="1647"/>
      <c r="X825" s="1647"/>
      <c r="Y825" s="1647"/>
      <c r="Z825" s="1647"/>
      <c r="AA825" s="1647"/>
      <c r="AB825" s="1647"/>
      <c r="AC825" s="1460"/>
      <c r="AD825" s="1461"/>
      <c r="AE825" s="1461"/>
      <c r="AF825" s="1462"/>
      <c r="AG825" s="1460"/>
      <c r="AH825" s="1461"/>
      <c r="AI825" s="1461"/>
      <c r="AJ825" s="1462"/>
      <c r="AK825"/>
      <c r="AL825" s="3"/>
      <c r="AM825" s="3"/>
      <c r="AN825" s="3"/>
      <c r="AO825" s="3"/>
      <c r="AP825" s="3"/>
      <c r="AQ825" s="3"/>
      <c r="AR825" s="3"/>
      <c r="AS825" s="3"/>
      <c r="AT825" s="3"/>
      <c r="AU825"/>
      <c r="AV825" s="3"/>
      <c r="AW825" s="3"/>
      <c r="AX825" s="3"/>
      <c r="AY825" s="3"/>
      <c r="AZ825" s="30"/>
      <c r="BA825" s="30"/>
    </row>
    <row r="826" spans="1:55" s="14" customFormat="1" ht="12.95" customHeight="1">
      <c r="A826"/>
      <c r="B826"/>
      <c r="C826" s="1632" t="s">
        <v>41</v>
      </c>
      <c r="D826" s="1633"/>
      <c r="E826" s="1633"/>
      <c r="F826" s="1633"/>
      <c r="G826" s="1633"/>
      <c r="H826" s="1633"/>
      <c r="I826" s="5"/>
      <c r="J826" s="5"/>
      <c r="K826" s="5"/>
      <c r="L826" s="46"/>
      <c r="M826" s="1647"/>
      <c r="N826" s="1647"/>
      <c r="O826" s="1647"/>
      <c r="P826" s="1647"/>
      <c r="Q826" s="1647"/>
      <c r="R826" s="1647"/>
      <c r="S826" s="1647"/>
      <c r="T826" s="1647"/>
      <c r="U826" s="1647"/>
      <c r="V826" s="1647"/>
      <c r="W826" s="1647"/>
      <c r="X826" s="1647"/>
      <c r="Y826" s="1647"/>
      <c r="Z826" s="1647"/>
      <c r="AA826" s="1647"/>
      <c r="AB826" s="1647"/>
      <c r="AC826" s="1460"/>
      <c r="AD826" s="1461"/>
      <c r="AE826" s="1461"/>
      <c r="AF826" s="1462"/>
      <c r="AG826" s="1460"/>
      <c r="AH826" s="1461"/>
      <c r="AI826" s="1461"/>
      <c r="AJ826" s="1462"/>
      <c r="AK826"/>
      <c r="AL826" s="3"/>
      <c r="AM826" s="3"/>
      <c r="AN826" s="3"/>
      <c r="AO826" s="3"/>
      <c r="AP826" s="3"/>
      <c r="AQ826" s="3"/>
      <c r="AR826" s="3"/>
      <c r="AS826" s="3"/>
      <c r="AT826" s="3"/>
      <c r="AU826"/>
      <c r="AV826" s="3"/>
      <c r="AW826" s="3"/>
      <c r="AX826" s="3"/>
      <c r="AY826" s="3"/>
      <c r="AZ826" s="30"/>
      <c r="BA826" s="30"/>
    </row>
    <row r="827" spans="1:55" s="14" customFormat="1" ht="12.95" customHeight="1">
      <c r="A827"/>
      <c r="B827"/>
      <c r="C827" s="1632" t="s">
        <v>42</v>
      </c>
      <c r="D827" s="1633"/>
      <c r="E827" s="1633"/>
      <c r="F827" s="1633"/>
      <c r="G827" s="1633"/>
      <c r="H827" s="1633"/>
      <c r="I827" s="60"/>
      <c r="J827" s="60"/>
      <c r="K827" s="60"/>
      <c r="L827" s="61"/>
      <c r="M827" s="1647"/>
      <c r="N827" s="1647"/>
      <c r="O827" s="1647"/>
      <c r="P827" s="1647"/>
      <c r="Q827" s="1647"/>
      <c r="R827" s="1647"/>
      <c r="S827" s="1647"/>
      <c r="T827" s="1647"/>
      <c r="U827" s="1647"/>
      <c r="V827" s="1647"/>
      <c r="W827" s="1647"/>
      <c r="X827" s="1647"/>
      <c r="Y827" s="1647"/>
      <c r="Z827" s="1647"/>
      <c r="AA827" s="1647"/>
      <c r="AB827" s="1647"/>
      <c r="AC827" s="1460"/>
      <c r="AD827" s="1461"/>
      <c r="AE827" s="1461"/>
      <c r="AF827" s="1462"/>
      <c r="AG827" s="1460"/>
      <c r="AH827" s="1461"/>
      <c r="AI827" s="1461"/>
      <c r="AJ827" s="1462"/>
      <c r="AK827"/>
      <c r="AL827" s="3"/>
      <c r="AM827" s="3"/>
      <c r="AN827" s="3"/>
      <c r="AO827" s="3"/>
      <c r="AP827" s="3"/>
      <c r="AQ827" s="3"/>
      <c r="AR827" s="3"/>
      <c r="AS827" s="3"/>
      <c r="AT827" s="3"/>
      <c r="AU827"/>
      <c r="AV827" s="3"/>
      <c r="AW827" s="3"/>
      <c r="AX827" s="3"/>
      <c r="AY827" s="3"/>
      <c r="AZ827" s="30"/>
      <c r="BA827" s="30"/>
    </row>
    <row r="828" spans="1:55" s="14" customFormat="1" ht="12.95" customHeight="1">
      <c r="A828"/>
      <c r="B828"/>
      <c r="C828" s="1632" t="s">
        <v>762</v>
      </c>
      <c r="D828" s="1633"/>
      <c r="E828" s="1633"/>
      <c r="F828" s="1633"/>
      <c r="G828" s="1633"/>
      <c r="H828" s="1633"/>
      <c r="I828" s="60"/>
      <c r="J828" s="60"/>
      <c r="K828" s="60"/>
      <c r="L828" s="61"/>
      <c r="M828" s="1647"/>
      <c r="N828" s="1647"/>
      <c r="O828" s="1647"/>
      <c r="P828" s="1647"/>
      <c r="Q828" s="1647"/>
      <c r="R828" s="1647"/>
      <c r="S828" s="1647"/>
      <c r="T828" s="1647"/>
      <c r="U828" s="1647"/>
      <c r="V828" s="1647"/>
      <c r="W828" s="1647"/>
      <c r="X828" s="1647"/>
      <c r="Y828" s="1647"/>
      <c r="Z828" s="1647"/>
      <c r="AA828" s="1647"/>
      <c r="AB828" s="1647"/>
      <c r="AC828" s="1460"/>
      <c r="AD828" s="1461"/>
      <c r="AE828" s="1461"/>
      <c r="AF828" s="1462"/>
      <c r="AG828" s="1460"/>
      <c r="AH828" s="1461"/>
      <c r="AI828" s="1461"/>
      <c r="AJ828" s="1462"/>
      <c r="AK828"/>
      <c r="AL828" s="3"/>
      <c r="AM828" s="3"/>
      <c r="AN828" s="3"/>
      <c r="AO828" s="3"/>
      <c r="AP828" s="3"/>
      <c r="AQ828" s="3"/>
      <c r="AR828" s="3"/>
      <c r="AS828" s="3"/>
      <c r="AT828" s="3"/>
      <c r="AU828"/>
      <c r="AV828" s="3"/>
      <c r="AW828" s="3"/>
      <c r="AX828" s="3"/>
      <c r="AY828" s="3"/>
      <c r="AZ828" s="30"/>
      <c r="BA828" s="30"/>
    </row>
    <row r="829" spans="1:55" s="14" customFormat="1" ht="12.95" customHeight="1">
      <c r="A829"/>
      <c r="B829"/>
      <c r="C829" s="1632" t="s">
        <v>459</v>
      </c>
      <c r="D829" s="1633"/>
      <c r="E829" s="1633"/>
      <c r="F829" s="1633"/>
      <c r="G829" s="1633"/>
      <c r="H829" s="1633"/>
      <c r="I829" s="60"/>
      <c r="J829" s="60"/>
      <c r="K829" s="60"/>
      <c r="L829" s="61"/>
      <c r="M829" s="1647"/>
      <c r="N829" s="1647"/>
      <c r="O829" s="1647"/>
      <c r="P829" s="1647"/>
      <c r="Q829" s="1647"/>
      <c r="R829" s="1647"/>
      <c r="S829" s="1647"/>
      <c r="T829" s="1647"/>
      <c r="U829" s="1647"/>
      <c r="V829" s="1647"/>
      <c r="W829" s="1647"/>
      <c r="X829" s="1647"/>
      <c r="Y829" s="1647"/>
      <c r="Z829" s="1647"/>
      <c r="AA829" s="1647"/>
      <c r="AB829" s="1647"/>
      <c r="AC829" s="1460"/>
      <c r="AD829" s="1461"/>
      <c r="AE829" s="1461"/>
      <c r="AF829" s="1462"/>
      <c r="AG829" s="1460"/>
      <c r="AH829" s="1461"/>
      <c r="AI829" s="1461"/>
      <c r="AJ829" s="1462"/>
      <c r="AK829"/>
      <c r="AL829" s="3"/>
      <c r="AM829" s="3"/>
      <c r="AN829" s="3"/>
      <c r="AO829" s="3"/>
      <c r="AP829" s="3"/>
      <c r="AQ829" s="3"/>
      <c r="AR829" s="3"/>
      <c r="AS829" s="3"/>
      <c r="AT829" s="3"/>
      <c r="AU829"/>
      <c r="AV829" s="3"/>
      <c r="AW829" s="3"/>
      <c r="AX829" s="3"/>
      <c r="AY829" s="3"/>
      <c r="AZ829" s="30"/>
      <c r="BA829" s="30"/>
    </row>
    <row r="830" spans="1:55" s="14" customFormat="1" ht="12.95" customHeight="1">
      <c r="A830"/>
      <c r="B830"/>
      <c r="C830" s="1658" t="s">
        <v>783</v>
      </c>
      <c r="D830" s="1633"/>
      <c r="E830" s="1633"/>
      <c r="F830" s="1633"/>
      <c r="G830" s="1633"/>
      <c r="H830" s="1633"/>
      <c r="I830" s="60"/>
      <c r="J830" s="60"/>
      <c r="K830" s="60"/>
      <c r="L830" s="61"/>
      <c r="M830" s="1647"/>
      <c r="N830" s="1647"/>
      <c r="O830" s="1647"/>
      <c r="P830" s="1647"/>
      <c r="Q830" s="1647"/>
      <c r="R830" s="1647"/>
      <c r="S830" s="1647"/>
      <c r="T830" s="1647"/>
      <c r="U830" s="1647"/>
      <c r="V830" s="1647"/>
      <c r="W830" s="1647"/>
      <c r="X830" s="1647"/>
      <c r="Y830" s="1647"/>
      <c r="Z830" s="1647"/>
      <c r="AA830" s="1647"/>
      <c r="AB830" s="1647"/>
      <c r="AC830" s="1460"/>
      <c r="AD830" s="1461"/>
      <c r="AE830" s="1461"/>
      <c r="AF830" s="1462"/>
      <c r="AG830" s="1460"/>
      <c r="AH830" s="1461"/>
      <c r="AI830" s="1461"/>
      <c r="AJ830" s="1462"/>
      <c r="AK830"/>
      <c r="AL830" s="3"/>
      <c r="AM830" s="3"/>
      <c r="AN830" s="3"/>
      <c r="AO830" s="3"/>
      <c r="AP830" s="3"/>
      <c r="AQ830" s="3"/>
      <c r="AR830" s="3"/>
      <c r="AS830" s="3"/>
      <c r="AT830" s="3"/>
      <c r="AU830"/>
      <c r="AV830" s="3"/>
      <c r="AW830" s="3"/>
      <c r="AX830" s="3"/>
      <c r="AY830" s="3"/>
      <c r="AZ830" s="30"/>
      <c r="BA830" s="30"/>
    </row>
    <row r="831" spans="1:55" s="14" customFormat="1" ht="12.95" customHeight="1">
      <c r="A831"/>
      <c r="B831"/>
      <c r="C831" s="59" t="s">
        <v>292</v>
      </c>
      <c r="D831" s="60"/>
      <c r="E831" s="60"/>
      <c r="F831" s="1577" t="s">
        <v>333</v>
      </c>
      <c r="G831" s="1578"/>
      <c r="H831" s="1578"/>
      <c r="I831" s="1578"/>
      <c r="J831" s="1578"/>
      <c r="K831" s="1578"/>
      <c r="L831" s="1578"/>
      <c r="M831" s="1647"/>
      <c r="N831" s="1647"/>
      <c r="O831" s="1647"/>
      <c r="P831" s="1647"/>
      <c r="Q831" s="1647"/>
      <c r="R831" s="1647"/>
      <c r="S831" s="1647"/>
      <c r="T831" s="1647"/>
      <c r="U831" s="1647"/>
      <c r="V831" s="1647"/>
      <c r="W831" s="1647"/>
      <c r="X831" s="1647"/>
      <c r="Y831" s="1647"/>
      <c r="Z831" s="1647"/>
      <c r="AA831" s="1647"/>
      <c r="AB831" s="1647"/>
      <c r="AC831" s="1460"/>
      <c r="AD831" s="1461"/>
      <c r="AE831" s="1461"/>
      <c r="AF831" s="1462"/>
      <c r="AG831" s="1460"/>
      <c r="AH831" s="1461"/>
      <c r="AI831" s="1461"/>
      <c r="AJ831" s="1462"/>
      <c r="AK831"/>
      <c r="AL831" s="3"/>
      <c r="AM831" s="3"/>
      <c r="AN831" s="3"/>
      <c r="AO831" s="3"/>
      <c r="AP831" s="3"/>
      <c r="AQ831" s="3"/>
      <c r="AR831" s="3"/>
      <c r="AS831" s="3"/>
      <c r="AT831" s="3"/>
      <c r="AU831"/>
      <c r="AV831" s="3"/>
      <c r="AW831" s="3"/>
      <c r="AX831" s="3"/>
      <c r="AY831" s="3"/>
      <c r="AZ831" s="30"/>
      <c r="BA831" s="30"/>
    </row>
    <row r="832" spans="1:55" s="14" customFormat="1" ht="12.95" customHeight="1">
      <c r="A832"/>
      <c r="B832"/>
      <c r="C832" s="1467" t="s">
        <v>124</v>
      </c>
      <c r="D832" s="1468"/>
      <c r="E832" s="1468"/>
      <c r="F832" s="1468"/>
      <c r="G832" s="1468"/>
      <c r="H832" s="1468"/>
      <c r="I832" s="1468"/>
      <c r="J832" s="1468"/>
      <c r="K832" s="1468"/>
      <c r="L832" s="1469"/>
      <c r="M832" s="1642">
        <f>SUM(M825:P831)</f>
        <v>0</v>
      </c>
      <c r="N832" s="1642"/>
      <c r="O832" s="1642"/>
      <c r="P832" s="1642"/>
      <c r="Q832" s="1642">
        <f>SUM(Q825:T831)</f>
        <v>0</v>
      </c>
      <c r="R832" s="1642"/>
      <c r="S832" s="1642"/>
      <c r="T832" s="1642"/>
      <c r="U832" s="1642">
        <f>SUM(U825:X831)</f>
        <v>0</v>
      </c>
      <c r="V832" s="1642"/>
      <c r="W832" s="1642"/>
      <c r="X832" s="1642"/>
      <c r="Y832" s="1642">
        <f>SUM(Y825:AB831)</f>
        <v>0</v>
      </c>
      <c r="Z832" s="1642"/>
      <c r="AA832" s="1642"/>
      <c r="AB832" s="1642"/>
      <c r="AC832" s="1642">
        <f>SUM(AC825:AF831)</f>
        <v>0</v>
      </c>
      <c r="AD832" s="1642"/>
      <c r="AE832" s="1642"/>
      <c r="AF832" s="1642"/>
      <c r="AG832" s="1642">
        <f>SUM(AG825:AJ831)</f>
        <v>0</v>
      </c>
      <c r="AH832" s="1642"/>
      <c r="AI832" s="1642"/>
      <c r="AJ832" s="1642"/>
      <c r="AK832"/>
      <c r="AL832" s="3"/>
      <c r="AM832" s="3"/>
      <c r="AN832" s="3"/>
      <c r="AO832" s="3"/>
      <c r="AP832" s="3"/>
      <c r="AQ832" s="3"/>
      <c r="AR832" s="3"/>
      <c r="AS832" s="3"/>
      <c r="AT832" s="3"/>
      <c r="AU832"/>
      <c r="AV832" s="3"/>
      <c r="AW832" s="3"/>
      <c r="AX832" s="3"/>
      <c r="AY832" s="3"/>
      <c r="AZ832" s="30"/>
      <c r="BA832" s="30"/>
    </row>
    <row r="833" spans="1:64" s="14" customFormat="1" ht="12.95" customHeight="1">
      <c r="A833"/>
      <c r="B833"/>
      <c r="C833" s="57" t="s">
        <v>784</v>
      </c>
      <c r="D833" s="56"/>
      <c r="E833" s="56"/>
      <c r="F833" s="56"/>
      <c r="G833" s="56"/>
      <c r="H833" s="56"/>
      <c r="I833" s="56"/>
      <c r="J833" s="56"/>
      <c r="K833" s="56"/>
      <c r="L833" s="56"/>
      <c r="M833" s="179"/>
      <c r="N833" s="179"/>
      <c r="O833" s="179"/>
      <c r="P833" s="179"/>
      <c r="Q833" s="179"/>
      <c r="R833" s="179"/>
      <c r="S833" s="179"/>
      <c r="T833" s="179"/>
      <c r="U833" s="179"/>
      <c r="V833" s="179"/>
      <c r="W833" s="179"/>
      <c r="X833" s="179"/>
      <c r="Y833" s="179"/>
      <c r="Z833" s="179"/>
      <c r="AA833" s="179"/>
      <c r="AB833" s="179"/>
      <c r="AC833" s="179"/>
      <c r="AD833" s="179"/>
      <c r="AE833" s="179"/>
      <c r="AF833" s="179"/>
      <c r="AG833" s="179"/>
      <c r="AH833" s="179"/>
      <c r="AI833" s="179"/>
      <c r="AJ833" s="179"/>
      <c r="AK833"/>
      <c r="AL833" s="3"/>
      <c r="AM833" s="3"/>
      <c r="AN833" s="3"/>
      <c r="AO833" s="3"/>
      <c r="AP833" s="3"/>
      <c r="AQ833" s="3"/>
      <c r="AR833" s="3"/>
      <c r="AS833" s="3"/>
      <c r="AT833" s="3"/>
      <c r="AU833"/>
      <c r="AV833" s="3"/>
      <c r="AW833" s="3"/>
      <c r="AX833" s="3"/>
      <c r="AY833" s="3"/>
      <c r="AZ833" s="30"/>
      <c r="BA833" s="30"/>
    </row>
    <row r="834" spans="1:64" s="14" customFormat="1" ht="12.95" customHeight="1">
      <c r="A834"/>
      <c r="B834"/>
      <c r="C834" s="57" t="s">
        <v>785</v>
      </c>
      <c r="D834" s="56"/>
      <c r="E834" s="56"/>
      <c r="F834" s="56"/>
      <c r="G834" s="56"/>
      <c r="H834" s="56"/>
      <c r="I834" s="56"/>
      <c r="J834" s="56"/>
      <c r="K834" s="56"/>
      <c r="L834" s="56"/>
      <c r="M834" s="179"/>
      <c r="N834" s="179"/>
      <c r="O834" s="179"/>
      <c r="P834" s="179"/>
      <c r="Q834" s="179"/>
      <c r="R834" s="179"/>
      <c r="S834" s="179"/>
      <c r="T834" s="179"/>
      <c r="U834" s="179"/>
      <c r="V834" s="179"/>
      <c r="W834" s="179"/>
      <c r="X834" s="179"/>
      <c r="Y834" s="179"/>
      <c r="Z834" s="179"/>
      <c r="AA834" s="179"/>
      <c r="AB834" s="179"/>
      <c r="AC834" s="179"/>
      <c r="AD834" s="179"/>
      <c r="AE834" s="179"/>
      <c r="AF834" s="179"/>
      <c r="AG834" s="179"/>
      <c r="AH834" s="179"/>
      <c r="AI834" s="179"/>
      <c r="AJ834" s="179"/>
      <c r="AK834"/>
      <c r="AL834" s="3"/>
      <c r="AM834" s="3"/>
      <c r="AN834" s="3"/>
      <c r="AO834" s="3"/>
      <c r="AP834" s="3"/>
      <c r="AQ834" s="3"/>
      <c r="AR834" s="3"/>
      <c r="AS834" s="3"/>
      <c r="AT834" s="3"/>
      <c r="AU834"/>
      <c r="AV834"/>
      <c r="AW834"/>
      <c r="AX834"/>
      <c r="AY834"/>
      <c r="AZ834" s="30"/>
      <c r="BA834" s="30"/>
    </row>
    <row r="835" spans="1:64" s="14" customFormat="1" ht="12.95" customHeight="1">
      <c r="A835"/>
      <c r="B835"/>
      <c r="C835" s="56"/>
      <c r="D835" s="56"/>
      <c r="E835" s="56"/>
      <c r="F835" s="56"/>
      <c r="G835" s="56"/>
      <c r="H835" s="56"/>
      <c r="I835" s="56"/>
      <c r="J835" s="56"/>
      <c r="K835" s="56"/>
      <c r="L835" s="56"/>
      <c r="M835" s="179"/>
      <c r="N835" s="179"/>
      <c r="O835" s="179"/>
      <c r="P835" s="179"/>
      <c r="Q835" s="179"/>
      <c r="R835" s="179"/>
      <c r="S835" s="179"/>
      <c r="T835" s="179"/>
      <c r="U835" s="179"/>
      <c r="V835" s="179"/>
      <c r="W835" s="179"/>
      <c r="X835" s="179"/>
      <c r="Y835" s="179"/>
      <c r="Z835" s="179"/>
      <c r="AA835" s="179"/>
      <c r="AB835" s="179"/>
      <c r="AC835" s="179"/>
      <c r="AD835" s="179"/>
      <c r="AE835" s="179"/>
      <c r="AF835" s="179"/>
      <c r="AG835" s="179"/>
      <c r="AH835" s="179"/>
      <c r="AI835" s="179"/>
      <c r="AJ835" s="179"/>
      <c r="AK835"/>
      <c r="AL835" s="3"/>
      <c r="AM835" s="3"/>
      <c r="AN835" s="3"/>
      <c r="AO835" s="3"/>
      <c r="AP835" s="3"/>
      <c r="AQ835" s="3"/>
      <c r="AR835" s="3"/>
      <c r="AS835" s="3"/>
      <c r="AT835" s="3"/>
      <c r="AU835"/>
      <c r="AV835"/>
      <c r="AW835"/>
      <c r="AX835"/>
      <c r="AY835"/>
      <c r="AZ835" s="30"/>
      <c r="BA835" s="30"/>
    </row>
    <row r="836" spans="1:64" s="14" customFormat="1" ht="12.95"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row>
    <row r="837" spans="1:64" s="14" customFormat="1" ht="12.95" customHeight="1">
      <c r="A837"/>
      <c r="B837"/>
      <c r="C837" s="1715" t="s">
        <v>591</v>
      </c>
      <c r="D837" s="1716"/>
      <c r="E837" s="1716"/>
      <c r="F837" s="1716"/>
      <c r="G837" s="1716"/>
      <c r="H837" s="1716"/>
      <c r="I837" s="1716"/>
      <c r="J837" s="1716"/>
      <c r="K837" s="1716"/>
      <c r="L837" s="1716"/>
      <c r="M837" s="1716"/>
      <c r="N837" s="1716"/>
      <c r="O837" s="1716"/>
      <c r="P837" s="1716"/>
      <c r="Q837" s="1716"/>
      <c r="R837" s="1716"/>
      <c r="S837" s="1716"/>
      <c r="T837" s="1716"/>
      <c r="U837" s="1716"/>
      <c r="V837" s="1716"/>
      <c r="W837" s="1716"/>
      <c r="X837" s="1716"/>
      <c r="Y837" s="1716"/>
      <c r="Z837" s="1716"/>
      <c r="AA837" s="1716"/>
      <c r="AB837" s="1716"/>
      <c r="AC837" s="1716"/>
      <c r="AD837" s="1716"/>
      <c r="AE837" s="1716"/>
      <c r="AF837" s="1716"/>
      <c r="AG837" s="1716"/>
      <c r="AH837" s="1716"/>
      <c r="AI837" s="1716"/>
      <c r="AJ837" s="1717"/>
      <c r="AK837"/>
      <c r="AL837" s="3"/>
      <c r="AM837" s="3"/>
      <c r="AN837" s="3"/>
      <c r="AO837" s="3"/>
      <c r="AP837" s="3"/>
      <c r="AQ837" s="3"/>
      <c r="AR837" s="3"/>
      <c r="AS837" s="3"/>
      <c r="AT837" s="3"/>
      <c r="AU837"/>
      <c r="AV837"/>
      <c r="AW837"/>
      <c r="AX837"/>
      <c r="AY837"/>
      <c r="AZ837" s="30"/>
      <c r="BA837" s="30"/>
    </row>
    <row r="838" spans="1:64" s="14" customFormat="1" ht="12.95" customHeight="1">
      <c r="A838"/>
      <c r="B838" s="4"/>
      <c r="C838" s="3" t="s">
        <v>1156</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row>
    <row r="839" spans="1:64" s="14" customFormat="1" ht="12.95"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row>
    <row r="840" spans="1:64" s="14" customFormat="1" ht="12.95" customHeight="1">
      <c r="A840" s="2" t="s">
        <v>467</v>
      </c>
      <c r="B840"/>
      <c r="C840" s="2" t="s">
        <v>760</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row>
    <row r="841" spans="1:64" s="14" customFormat="1" ht="12.95"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66"/>
      <c r="BJ841" s="1666"/>
      <c r="BK841" s="1666"/>
      <c r="BL841" s="1666"/>
    </row>
    <row r="842" spans="1:64" s="14" customFormat="1" ht="12.95" customHeight="1">
      <c r="A842"/>
      <c r="B842"/>
      <c r="C842" s="2" t="s">
        <v>342</v>
      </c>
      <c r="D842"/>
      <c r="E842"/>
      <c r="F842"/>
      <c r="G842"/>
      <c r="H842"/>
      <c r="I842"/>
      <c r="J842" s="45" t="s">
        <v>355</v>
      </c>
      <c r="K842" s="5"/>
      <c r="L842" s="5"/>
      <c r="M842" s="5"/>
      <c r="N842" s="5"/>
      <c r="O842" s="5"/>
      <c r="P842" s="5"/>
      <c r="Q842" s="5"/>
      <c r="R842" s="5"/>
      <c r="S842" s="5"/>
      <c r="T842" s="5"/>
      <c r="U842" s="5"/>
      <c r="V842" s="46"/>
      <c r="W842" s="1501">
        <v>21200</v>
      </c>
      <c r="X842" s="1501"/>
      <c r="Y842" s="1501"/>
      <c r="Z842" s="1501"/>
      <c r="AA842" s="1501"/>
      <c r="AB842" s="1501"/>
      <c r="AC842" s="1501"/>
      <c r="AD842"/>
      <c r="AE842"/>
      <c r="AF842"/>
      <c r="AG842"/>
      <c r="AH842"/>
      <c r="AI842"/>
      <c r="AJ842"/>
      <c r="AK842"/>
      <c r="AL842"/>
      <c r="AM842"/>
      <c r="AN842"/>
      <c r="AO842"/>
      <c r="AP842"/>
      <c r="AQ842"/>
      <c r="AR842"/>
      <c r="AS842"/>
      <c r="AT842"/>
      <c r="AU842"/>
      <c r="AV842"/>
      <c r="AW842"/>
      <c r="AX842"/>
      <c r="AY842"/>
      <c r="AZ842" s="30"/>
      <c r="BA842" s="30"/>
    </row>
    <row r="843" spans="1:64" s="14" customFormat="1" ht="12.95" customHeight="1">
      <c r="A843"/>
      <c r="B843"/>
      <c r="C843"/>
      <c r="D843"/>
      <c r="E843"/>
      <c r="F843"/>
      <c r="G843"/>
      <c r="H843"/>
      <c r="I843"/>
      <c r="J843" s="45" t="s">
        <v>354</v>
      </c>
      <c r="K843" s="5"/>
      <c r="L843" s="5"/>
      <c r="M843" s="5"/>
      <c r="N843" s="5"/>
      <c r="O843" s="5"/>
      <c r="P843" s="5"/>
      <c r="Q843" s="5"/>
      <c r="R843" s="5"/>
      <c r="S843" s="5"/>
      <c r="T843" s="5"/>
      <c r="U843" s="5"/>
      <c r="V843" s="46"/>
      <c r="W843" s="1501"/>
      <c r="X843" s="1501"/>
      <c r="Y843" s="1501"/>
      <c r="Z843" s="1501"/>
      <c r="AA843" s="1501"/>
      <c r="AB843" s="1501"/>
      <c r="AC843" s="1501"/>
      <c r="AD843"/>
      <c r="AE843"/>
      <c r="AF843"/>
      <c r="AG843"/>
      <c r="AH843"/>
      <c r="AI843"/>
      <c r="AJ843"/>
      <c r="AK843"/>
      <c r="AL843"/>
      <c r="AM843"/>
      <c r="AN843"/>
      <c r="AO843"/>
      <c r="AP843"/>
      <c r="AQ843"/>
      <c r="AR843"/>
      <c r="AS843"/>
      <c r="AT843"/>
      <c r="AU843"/>
      <c r="AV843"/>
      <c r="AW843"/>
      <c r="AX843"/>
      <c r="AY843"/>
      <c r="AZ843" s="30"/>
      <c r="BA843" s="30"/>
    </row>
    <row r="844" spans="1:64" ht="12.95" customHeight="1">
      <c r="J844" s="45" t="s">
        <v>353</v>
      </c>
      <c r="K844" s="5"/>
      <c r="L844" s="5"/>
      <c r="M844" s="5"/>
      <c r="N844" s="5"/>
      <c r="O844" s="5"/>
      <c r="P844" s="5"/>
      <c r="Q844" s="5"/>
      <c r="R844" s="5"/>
      <c r="S844" s="5"/>
      <c r="T844" s="5"/>
      <c r="U844" s="5"/>
      <c r="V844" s="46"/>
      <c r="W844" s="1501">
        <v>15000</v>
      </c>
      <c r="X844" s="1501"/>
      <c r="Y844" s="1501"/>
      <c r="Z844" s="1501"/>
      <c r="AA844" s="1501"/>
      <c r="AB844" s="1501"/>
      <c r="AC844" s="1501"/>
      <c r="AZ844" s="30"/>
      <c r="BA844" s="30"/>
      <c r="BB844" s="14"/>
      <c r="BC844" s="14"/>
      <c r="BD844" s="14"/>
      <c r="BE844" s="14"/>
      <c r="BF844" s="14"/>
      <c r="BG844" s="14"/>
      <c r="BH844" s="14"/>
      <c r="BI844" s="14"/>
      <c r="BJ844" s="14"/>
      <c r="BK844" s="14"/>
      <c r="BL844" s="14"/>
    </row>
    <row r="845" spans="1:64" ht="12.95" customHeight="1">
      <c r="J845" s="45" t="s">
        <v>352</v>
      </c>
      <c r="K845" s="5"/>
      <c r="L845" s="5"/>
      <c r="M845" s="5"/>
      <c r="N845" s="5"/>
      <c r="O845" s="5"/>
      <c r="P845" s="5"/>
      <c r="Q845" s="5"/>
      <c r="R845" s="5"/>
      <c r="S845" s="5"/>
      <c r="T845" s="5"/>
      <c r="U845" s="5"/>
      <c r="V845" s="46"/>
      <c r="W845" s="1501"/>
      <c r="X845" s="1501"/>
      <c r="Y845" s="1501"/>
      <c r="Z845" s="1501"/>
      <c r="AA845" s="1501"/>
      <c r="AB845" s="1501"/>
      <c r="AC845" s="1501"/>
      <c r="AZ845" s="30"/>
      <c r="BA845" s="30"/>
      <c r="BB845" s="14"/>
      <c r="BC845" s="14"/>
      <c r="BD845" s="14"/>
      <c r="BE845" s="14"/>
      <c r="BF845" s="14"/>
      <c r="BG845" s="14"/>
      <c r="BH845" s="14"/>
      <c r="BI845" s="14"/>
      <c r="BJ845" s="14"/>
      <c r="BK845" s="14"/>
      <c r="BL845" s="14"/>
    </row>
    <row r="846" spans="1:64" ht="12.95" customHeight="1">
      <c r="J846" s="45" t="s">
        <v>169</v>
      </c>
      <c r="K846" s="5"/>
      <c r="L846" s="5"/>
      <c r="M846" s="1577" t="s">
        <v>2689</v>
      </c>
      <c r="N846" s="1578"/>
      <c r="O846" s="1578"/>
      <c r="P846" s="1578"/>
      <c r="Q846" s="1578"/>
      <c r="R846" s="1578"/>
      <c r="S846" s="1578"/>
      <c r="T846" s="1578"/>
      <c r="U846" s="1578"/>
      <c r="V846" s="1579"/>
      <c r="W846" s="1501">
        <f>17975+20000</f>
        <v>37975</v>
      </c>
      <c r="X846" s="1501"/>
      <c r="Y846" s="1501"/>
      <c r="Z846" s="1501"/>
      <c r="AA846" s="1501"/>
      <c r="AB846" s="1501"/>
      <c r="AC846" s="1501"/>
      <c r="AZ846" s="30"/>
      <c r="BA846" s="30"/>
      <c r="BB846" s="14"/>
      <c r="BC846" s="14"/>
      <c r="BD846" s="14"/>
      <c r="BE846" s="14"/>
      <c r="BF846" s="14"/>
      <c r="BG846" s="14"/>
      <c r="BH846" s="14"/>
      <c r="BI846" s="14"/>
      <c r="BJ846" s="14"/>
      <c r="BK846" s="14"/>
      <c r="BL846" s="14"/>
    </row>
    <row r="847" spans="1:64" ht="12.95" customHeight="1">
      <c r="J847" s="45"/>
      <c r="K847" s="5"/>
      <c r="L847" s="5"/>
      <c r="M847" s="5"/>
      <c r="N847" s="5"/>
      <c r="O847" s="5"/>
      <c r="P847" s="5"/>
      <c r="Q847" s="5"/>
      <c r="R847" s="5"/>
      <c r="S847" s="5"/>
      <c r="T847" s="5"/>
      <c r="U847" s="5"/>
      <c r="V847" s="54" t="s">
        <v>341</v>
      </c>
      <c r="W847" s="1629">
        <f>SUM(W842:AC846)</f>
        <v>74175</v>
      </c>
      <c r="X847" s="1630"/>
      <c r="Y847" s="1630"/>
      <c r="Z847" s="1630"/>
      <c r="AA847" s="1630"/>
      <c r="AB847" s="1630"/>
      <c r="AC847" s="1631"/>
      <c r="AZ847" s="30"/>
      <c r="BA847" s="30"/>
      <c r="BB847" s="14"/>
      <c r="BC847" s="14"/>
      <c r="BD847" s="14"/>
      <c r="BE847" s="14"/>
      <c r="BF847" s="14"/>
      <c r="BG847" s="14"/>
      <c r="BH847" s="14"/>
      <c r="BI847" s="14"/>
      <c r="BJ847" s="14"/>
      <c r="BK847" s="14"/>
      <c r="BL847" s="14"/>
    </row>
    <row r="848" spans="1:64" ht="12.95" customHeight="1">
      <c r="AZ848" s="30"/>
      <c r="BA848" s="30"/>
      <c r="BB848" s="14"/>
      <c r="BC848" s="14"/>
      <c r="BD848" s="14"/>
      <c r="BE848" s="14"/>
      <c r="BF848" s="14"/>
      <c r="BG848" s="1634"/>
      <c r="BH848" s="1634"/>
      <c r="BI848" s="1634"/>
      <c r="BJ848" s="1634"/>
      <c r="BK848" s="1634"/>
      <c r="BL848" s="1634"/>
    </row>
    <row r="849" spans="3:55" ht="12.95" customHeight="1">
      <c r="C849" s="2" t="s">
        <v>343</v>
      </c>
      <c r="J849" s="1467" t="s">
        <v>344</v>
      </c>
      <c r="K849" s="1468"/>
      <c r="L849" s="1468"/>
      <c r="M849" s="1468"/>
      <c r="N849" s="1468"/>
      <c r="O849" s="1468"/>
      <c r="P849" s="1468"/>
      <c r="Q849" s="1468"/>
      <c r="R849" s="1468"/>
      <c r="S849" s="1468"/>
      <c r="T849" s="1468"/>
      <c r="U849" s="1468"/>
      <c r="V849" s="1469"/>
      <c r="W849" s="1455">
        <v>154726</v>
      </c>
      <c r="X849" s="1456"/>
      <c r="Y849" s="1456"/>
      <c r="Z849" s="1456"/>
      <c r="AA849" s="1456"/>
      <c r="AB849" s="1456"/>
      <c r="AC849" s="1457"/>
      <c r="AD849" s="534"/>
      <c r="AZ849" s="30"/>
      <c r="BA849" s="30"/>
      <c r="BB849" s="14"/>
      <c r="BC849" s="14"/>
    </row>
    <row r="850" spans="3:55" ht="12.95" customHeight="1">
      <c r="AD850" s="534"/>
      <c r="AZ850" s="30"/>
      <c r="BA850" s="30"/>
      <c r="BB850" s="14"/>
      <c r="BC850" s="14"/>
    </row>
    <row r="851" spans="3:55" ht="12.95" customHeight="1">
      <c r="C851" s="2" t="s">
        <v>561</v>
      </c>
      <c r="J851" s="45" t="s">
        <v>351</v>
      </c>
      <c r="K851" s="5"/>
      <c r="L851" s="5"/>
      <c r="M851" s="5"/>
      <c r="N851" s="5"/>
      <c r="O851" s="5"/>
      <c r="P851" s="5"/>
      <c r="Q851" s="5"/>
      <c r="R851" s="5"/>
      <c r="S851" s="5"/>
      <c r="T851" s="5"/>
      <c r="U851" s="5"/>
      <c r="V851" s="46"/>
      <c r="W851" s="1657">
        <v>0</v>
      </c>
      <c r="X851" s="1657"/>
      <c r="Y851" s="1657"/>
      <c r="Z851" s="1657"/>
      <c r="AA851" s="1657"/>
      <c r="AB851" s="1657"/>
      <c r="AC851" s="1657"/>
      <c r="AZ851" s="1726"/>
      <c r="BA851" s="1726"/>
      <c r="BB851" s="14"/>
      <c r="BC851" s="14"/>
    </row>
    <row r="852" spans="3:55" ht="12.95" customHeight="1">
      <c r="J852" s="45" t="s">
        <v>350</v>
      </c>
      <c r="K852" s="5"/>
      <c r="L852" s="5"/>
      <c r="M852" s="5"/>
      <c r="N852" s="5"/>
      <c r="O852" s="5"/>
      <c r="P852" s="5"/>
      <c r="Q852" s="5"/>
      <c r="R852" s="5"/>
      <c r="S852" s="5"/>
      <c r="T852" s="5"/>
      <c r="U852" s="5"/>
      <c r="V852" s="46"/>
      <c r="W852" s="1657">
        <v>0</v>
      </c>
      <c r="X852" s="1657"/>
      <c r="Y852" s="1657"/>
      <c r="Z852" s="1657"/>
      <c r="AA852" s="1657"/>
      <c r="AB852" s="1657"/>
      <c r="AC852" s="1657"/>
      <c r="AZ852" s="30"/>
      <c r="BA852" s="30"/>
      <c r="BB852" s="14"/>
      <c r="BC852" s="14"/>
    </row>
    <row r="853" spans="3:55" ht="12.95" customHeight="1">
      <c r="J853" s="45" t="s">
        <v>459</v>
      </c>
      <c r="K853" s="5"/>
      <c r="L853" s="5"/>
      <c r="M853" s="5"/>
      <c r="N853" s="5"/>
      <c r="O853" s="5"/>
      <c r="P853" s="5"/>
      <c r="Q853" s="5"/>
      <c r="R853" s="5"/>
      <c r="S853" s="5"/>
      <c r="T853" s="5"/>
      <c r="U853" s="5"/>
      <c r="V853" s="46"/>
      <c r="W853" s="1657">
        <v>79727</v>
      </c>
      <c r="X853" s="1657"/>
      <c r="Y853" s="1657"/>
      <c r="Z853" s="1657"/>
      <c r="AA853" s="1657"/>
      <c r="AB853" s="1657"/>
      <c r="AC853" s="1657"/>
      <c r="AZ853" s="30"/>
      <c r="BA853" s="30"/>
      <c r="BB853" s="14"/>
      <c r="BC853" s="14"/>
    </row>
    <row r="854" spans="3:55" ht="12.95" customHeight="1">
      <c r="J854" s="62" t="s">
        <v>620</v>
      </c>
      <c r="K854" s="5"/>
      <c r="L854" s="5"/>
      <c r="M854" s="5"/>
      <c r="N854" s="5"/>
      <c r="O854" s="5"/>
      <c r="P854" s="5"/>
      <c r="Q854" s="5"/>
      <c r="R854" s="5"/>
      <c r="S854" s="5"/>
      <c r="T854" s="5"/>
      <c r="U854" s="5"/>
      <c r="V854" s="46"/>
      <c r="W854" s="1657">
        <v>102671</v>
      </c>
      <c r="X854" s="1657"/>
      <c r="Y854" s="1657"/>
      <c r="Z854" s="1657"/>
      <c r="AA854" s="1657"/>
      <c r="AB854" s="1657"/>
      <c r="AC854" s="1657"/>
      <c r="AZ854" s="34"/>
      <c r="BA854" s="34"/>
      <c r="BB854" s="34"/>
      <c r="BC854" s="34"/>
    </row>
    <row r="855" spans="3:55" ht="12.95" customHeight="1">
      <c r="J855" s="63"/>
      <c r="K855" s="48"/>
      <c r="L855" s="48"/>
      <c r="M855" s="48"/>
      <c r="N855" s="48"/>
      <c r="O855" s="48"/>
      <c r="P855" s="48"/>
      <c r="Q855" s="48"/>
      <c r="R855" s="48"/>
      <c r="S855" s="48"/>
      <c r="T855" s="48"/>
      <c r="U855" s="48"/>
      <c r="V855" s="54" t="s">
        <v>271</v>
      </c>
      <c r="W855" s="1714">
        <f>SUM(W851:AC854)</f>
        <v>182398</v>
      </c>
      <c r="X855" s="1714"/>
      <c r="Y855" s="1714"/>
      <c r="Z855" s="1714"/>
      <c r="AA855" s="1714"/>
      <c r="AB855" s="1714"/>
      <c r="AC855" s="1714"/>
      <c r="AZ855" s="34"/>
      <c r="BA855" s="34"/>
      <c r="BB855" s="34"/>
      <c r="BC855" s="34"/>
    </row>
    <row r="856" spans="3:55" ht="12.95" customHeight="1">
      <c r="AZ856" s="34"/>
      <c r="BA856" s="34"/>
      <c r="BB856" s="34"/>
      <c r="BC856" s="34"/>
    </row>
    <row r="857" spans="3:55" ht="12.95" customHeight="1">
      <c r="C857" s="2" t="s">
        <v>345</v>
      </c>
      <c r="J857" s="45" t="s">
        <v>619</v>
      </c>
      <c r="K857" s="5"/>
      <c r="L857" s="5"/>
      <c r="M857" s="5"/>
      <c r="N857" s="5"/>
      <c r="O857" s="5"/>
      <c r="P857" s="5"/>
      <c r="Q857" s="5"/>
      <c r="R857" s="5"/>
      <c r="S857" s="5"/>
      <c r="T857" s="5"/>
      <c r="U857" s="5"/>
      <c r="V857" s="46"/>
      <c r="W857" s="1636">
        <v>156000</v>
      </c>
      <c r="X857" s="1637"/>
      <c r="Y857" s="1637"/>
      <c r="Z857" s="1637"/>
      <c r="AA857" s="1637"/>
      <c r="AB857" s="1637"/>
      <c r="AC857" s="1638"/>
      <c r="AD857" s="529"/>
      <c r="AZ857" s="34"/>
      <c r="BA857" s="34"/>
      <c r="BB857" s="34"/>
      <c r="BC857" s="34"/>
    </row>
    <row r="858" spans="3:55" ht="12.95" customHeight="1">
      <c r="C858" s="2" t="s">
        <v>346</v>
      </c>
      <c r="J858" s="121" t="s">
        <v>1654</v>
      </c>
      <c r="K858" s="5"/>
      <c r="L858" s="5"/>
      <c r="M858" s="5"/>
      <c r="N858" s="5"/>
      <c r="O858" s="5"/>
      <c r="P858" s="5"/>
      <c r="Q858" s="5"/>
      <c r="R858" s="5"/>
      <c r="S858" s="5"/>
      <c r="T858" s="1718">
        <v>3</v>
      </c>
      <c r="U858" s="1719"/>
      <c r="V858" s="1720"/>
      <c r="W858" s="875"/>
      <c r="X858" s="876"/>
      <c r="Y858" s="876"/>
      <c r="Z858" s="876"/>
      <c r="AA858" s="876"/>
      <c r="AB858" s="876"/>
      <c r="AC858" s="877"/>
      <c r="AD858" s="529"/>
      <c r="AZ858" s="34"/>
      <c r="BA858" s="34"/>
      <c r="BB858" s="34"/>
      <c r="BC858" s="34"/>
    </row>
    <row r="859" spans="3:55" ht="12.95" customHeight="1">
      <c r="C859" s="2"/>
      <c r="J859" s="45" t="s">
        <v>618</v>
      </c>
      <c r="K859" s="5"/>
      <c r="L859" s="5"/>
      <c r="M859" s="5"/>
      <c r="N859" s="5"/>
      <c r="O859" s="5"/>
      <c r="P859" s="5"/>
      <c r="Q859" s="5"/>
      <c r="R859" s="5"/>
      <c r="S859" s="5"/>
      <c r="T859" s="5"/>
      <c r="U859" s="5"/>
      <c r="V859" s="46"/>
      <c r="W859" s="1636">
        <v>114400</v>
      </c>
      <c r="X859" s="1637"/>
      <c r="Y859" s="1637"/>
      <c r="Z859" s="1637"/>
      <c r="AA859" s="1637"/>
      <c r="AB859" s="1637"/>
      <c r="AC859" s="1638"/>
      <c r="AD859" s="534"/>
      <c r="AZ859" s="34"/>
      <c r="BA859" s="34"/>
      <c r="BB859" s="34"/>
      <c r="BC859" s="34"/>
    </row>
    <row r="860" spans="3:55" ht="12.95" customHeight="1">
      <c r="C860" s="2"/>
      <c r="J860" s="121" t="s">
        <v>1655</v>
      </c>
      <c r="K860" s="5"/>
      <c r="L860" s="5"/>
      <c r="M860" s="5"/>
      <c r="N860" s="5"/>
      <c r="O860" s="5"/>
      <c r="P860" s="5"/>
      <c r="Q860" s="5"/>
      <c r="R860" s="5"/>
      <c r="S860" s="5"/>
      <c r="T860" s="1718">
        <v>2</v>
      </c>
      <c r="U860" s="1719"/>
      <c r="V860" s="1720"/>
      <c r="W860" s="875"/>
      <c r="X860" s="876"/>
      <c r="Y860" s="876"/>
      <c r="Z860" s="876"/>
      <c r="AA860" s="876"/>
      <c r="AB860" s="876"/>
      <c r="AC860" s="877"/>
      <c r="AD860" s="534"/>
      <c r="AZ860" s="34"/>
      <c r="BA860" s="34"/>
      <c r="BB860" s="34"/>
      <c r="BC860" s="34"/>
    </row>
    <row r="861" spans="3:55" ht="12.95" customHeight="1">
      <c r="J861" s="45" t="s">
        <v>169</v>
      </c>
      <c r="K861" s="5"/>
      <c r="L861" s="5"/>
      <c r="M861" s="1577" t="s">
        <v>2749</v>
      </c>
      <c r="N861" s="1578"/>
      <c r="O861" s="1578"/>
      <c r="P861" s="1578"/>
      <c r="Q861" s="1578"/>
      <c r="R861" s="1578"/>
      <c r="S861" s="1578"/>
      <c r="T861" s="1578"/>
      <c r="U861" s="1578"/>
      <c r="V861" s="1579"/>
      <c r="W861" s="1636">
        <v>89856</v>
      </c>
      <c r="X861" s="1637"/>
      <c r="Y861" s="1637"/>
      <c r="Z861" s="1637"/>
      <c r="AA861" s="1637"/>
      <c r="AB861" s="1637"/>
      <c r="AC861" s="1638"/>
      <c r="AD861" s="529"/>
      <c r="AU861" s="14"/>
      <c r="AZ861" s="34"/>
      <c r="BA861" s="34"/>
      <c r="BB861" s="34"/>
      <c r="BC861" s="34"/>
    </row>
    <row r="862" spans="3:55" ht="12.95" customHeight="1">
      <c r="J862" s="45"/>
      <c r="K862" s="5"/>
      <c r="L862" s="5"/>
      <c r="M862" s="5"/>
      <c r="N862" s="5"/>
      <c r="O862" s="5"/>
      <c r="P862" s="5"/>
      <c r="Q862" s="5"/>
      <c r="R862" s="5"/>
      <c r="S862" s="5"/>
      <c r="T862" s="5"/>
      <c r="U862" s="5"/>
      <c r="V862" s="54" t="s">
        <v>272</v>
      </c>
      <c r="W862" s="1721">
        <f>SUM(W857:AC861)</f>
        <v>360256</v>
      </c>
      <c r="X862" s="1722"/>
      <c r="Y862" s="1722"/>
      <c r="Z862" s="1722"/>
      <c r="AA862" s="1722"/>
      <c r="AB862" s="1722"/>
      <c r="AC862" s="1723"/>
      <c r="AD862" s="534"/>
      <c r="AU862" s="14"/>
      <c r="AZ862" s="34"/>
      <c r="BA862" s="34"/>
      <c r="BB862" s="34"/>
      <c r="BC862" s="34"/>
    </row>
    <row r="863" spans="3:55" ht="12.95" customHeight="1">
      <c r="J863" s="45"/>
      <c r="K863" s="5"/>
      <c r="L863" s="5"/>
      <c r="M863" s="5"/>
      <c r="N863" s="5"/>
      <c r="O863" s="5"/>
      <c r="P863" s="5"/>
      <c r="Q863" s="5"/>
      <c r="R863" s="5"/>
      <c r="S863" s="5"/>
      <c r="T863" s="5"/>
      <c r="U863" s="5"/>
      <c r="V863" s="54" t="s">
        <v>273</v>
      </c>
      <c r="W863" s="1636">
        <v>160600</v>
      </c>
      <c r="X863" s="1637"/>
      <c r="Y863" s="1637"/>
      <c r="Z863" s="1637"/>
      <c r="AA863" s="1637"/>
      <c r="AB863" s="1637"/>
      <c r="AC863" s="1638"/>
      <c r="AU863" s="14"/>
      <c r="AZ863" s="34"/>
      <c r="BA863" s="34"/>
      <c r="BB863" s="34"/>
      <c r="BC863" s="34"/>
    </row>
    <row r="864" spans="3:55" ht="12.95" customHeight="1">
      <c r="J864" s="513"/>
      <c r="AU864" s="14"/>
      <c r="AZ864" s="34"/>
      <c r="BA864" s="34"/>
      <c r="BB864" s="34"/>
      <c r="BC864" s="34"/>
    </row>
    <row r="865" spans="3:55" ht="12.95" customHeight="1">
      <c r="C865" s="2" t="s">
        <v>389</v>
      </c>
      <c r="J865" s="45" t="s">
        <v>617</v>
      </c>
      <c r="K865" s="5"/>
      <c r="L865" s="5"/>
      <c r="M865" s="5"/>
      <c r="N865" s="5"/>
      <c r="O865" s="5"/>
      <c r="P865" s="5"/>
      <c r="Q865" s="5"/>
      <c r="R865" s="5"/>
      <c r="S865" s="5"/>
      <c r="T865" s="5"/>
      <c r="U865" s="5"/>
      <c r="V865" s="46"/>
      <c r="W865" s="1501">
        <v>0</v>
      </c>
      <c r="X865" s="1501"/>
      <c r="Y865" s="1501"/>
      <c r="Z865" s="1501"/>
      <c r="AA865" s="1501"/>
      <c r="AB865" s="1501"/>
      <c r="AC865" s="1501"/>
      <c r="AU865" s="14"/>
      <c r="AZ865" s="34"/>
      <c r="BA865" s="34"/>
      <c r="BB865" s="34"/>
      <c r="BC865" s="34"/>
    </row>
    <row r="866" spans="3:55" ht="12.95" customHeight="1">
      <c r="J866" s="45" t="s">
        <v>522</v>
      </c>
      <c r="K866" s="5"/>
      <c r="L866" s="5"/>
      <c r="M866" s="5"/>
      <c r="N866" s="5"/>
      <c r="O866" s="5"/>
      <c r="P866" s="5"/>
      <c r="Q866" s="5"/>
      <c r="R866" s="5"/>
      <c r="S866" s="5"/>
      <c r="T866" s="5"/>
      <c r="U866" s="5"/>
      <c r="V866" s="46"/>
      <c r="W866" s="1501">
        <f>87300</f>
        <v>87300</v>
      </c>
      <c r="X866" s="1501"/>
      <c r="Y866" s="1501"/>
      <c r="Z866" s="1501"/>
      <c r="AA866" s="1501"/>
      <c r="AB866" s="1501"/>
      <c r="AC866" s="1501"/>
      <c r="AU866" s="4"/>
      <c r="AZ866" s="34"/>
      <c r="BA866" s="34"/>
      <c r="BB866" s="34"/>
      <c r="BC866" s="34"/>
    </row>
    <row r="867" spans="3:55" ht="12.95" customHeight="1">
      <c r="J867" s="45" t="s">
        <v>521</v>
      </c>
      <c r="K867" s="5"/>
      <c r="L867" s="5"/>
      <c r="M867" s="5"/>
      <c r="N867" s="5"/>
      <c r="O867" s="5"/>
      <c r="P867" s="5"/>
      <c r="Q867" s="5"/>
      <c r="R867" s="5"/>
      <c r="S867" s="5"/>
      <c r="T867" s="5"/>
      <c r="U867" s="5"/>
      <c r="V867" s="46"/>
      <c r="W867" s="1501">
        <v>49601</v>
      </c>
      <c r="X867" s="1501"/>
      <c r="Y867" s="1501"/>
      <c r="Z867" s="1501"/>
      <c r="AA867" s="1501"/>
      <c r="AB867" s="1501"/>
      <c r="AC867" s="1501"/>
      <c r="AU867" s="4"/>
      <c r="AZ867" s="34"/>
      <c r="BA867" s="34"/>
      <c r="BB867" s="34"/>
      <c r="BC867" s="34"/>
    </row>
    <row r="868" spans="3:55" ht="12.95" customHeight="1">
      <c r="J868" s="45" t="s">
        <v>520</v>
      </c>
      <c r="K868" s="5"/>
      <c r="L868" s="5"/>
      <c r="M868" s="5"/>
      <c r="N868" s="5"/>
      <c r="O868" s="5"/>
      <c r="P868" s="5"/>
      <c r="Q868" s="5"/>
      <c r="R868" s="5"/>
      <c r="S868" s="5"/>
      <c r="T868" s="5"/>
      <c r="U868" s="5"/>
      <c r="V868" s="46"/>
      <c r="W868" s="1501">
        <v>10000</v>
      </c>
      <c r="X868" s="1501"/>
      <c r="Y868" s="1501"/>
      <c r="Z868" s="1501"/>
      <c r="AA868" s="1501"/>
      <c r="AB868" s="1501"/>
      <c r="AC868" s="1501"/>
      <c r="AU868" s="4"/>
      <c r="AZ868" s="34"/>
      <c r="BA868" s="34"/>
      <c r="BB868" s="34"/>
      <c r="BC868" s="34"/>
    </row>
    <row r="869" spans="3:55" ht="12.95" customHeight="1">
      <c r="J869" s="45" t="s">
        <v>519</v>
      </c>
      <c r="K869" s="5"/>
      <c r="L869" s="5"/>
      <c r="M869" s="5"/>
      <c r="N869" s="5"/>
      <c r="O869" s="5"/>
      <c r="P869" s="5"/>
      <c r="Q869" s="5"/>
      <c r="R869" s="5"/>
      <c r="S869" s="5"/>
      <c r="T869" s="5"/>
      <c r="U869" s="5"/>
      <c r="V869" s="46"/>
      <c r="W869" s="1501">
        <v>25000</v>
      </c>
      <c r="X869" s="1501"/>
      <c r="Y869" s="1501"/>
      <c r="Z869" s="1501"/>
      <c r="AA869" s="1501"/>
      <c r="AB869" s="1501"/>
      <c r="AC869" s="1501"/>
      <c r="AU869" s="4"/>
      <c r="AZ869" s="34"/>
      <c r="BA869" s="34"/>
      <c r="BB869" s="34"/>
      <c r="BC869" s="34"/>
    </row>
    <row r="870" spans="3:55" ht="12.95" customHeight="1">
      <c r="J870" s="45" t="s">
        <v>518</v>
      </c>
      <c r="K870" s="5"/>
      <c r="L870" s="5"/>
      <c r="M870" s="5"/>
      <c r="N870" s="5"/>
      <c r="O870" s="5"/>
      <c r="P870" s="5"/>
      <c r="Q870" s="5"/>
      <c r="R870" s="5"/>
      <c r="S870" s="5"/>
      <c r="T870" s="5"/>
      <c r="U870" s="5"/>
      <c r="V870" s="46"/>
      <c r="W870" s="1501">
        <v>20000</v>
      </c>
      <c r="X870" s="1501"/>
      <c r="Y870" s="1501"/>
      <c r="Z870" s="1501"/>
      <c r="AA870" s="1501"/>
      <c r="AB870" s="1501"/>
      <c r="AC870" s="1501"/>
      <c r="AU870" s="4"/>
      <c r="AZ870" s="34"/>
      <c r="BA870" s="34"/>
      <c r="BB870" s="34"/>
      <c r="BC870" s="34"/>
    </row>
    <row r="871" spans="3:55" ht="12.95" customHeight="1">
      <c r="J871" s="45" t="s">
        <v>169</v>
      </c>
      <c r="K871" s="5"/>
      <c r="L871" s="5"/>
      <c r="M871" s="1577" t="s">
        <v>2687</v>
      </c>
      <c r="N871" s="1578"/>
      <c r="O871" s="1578"/>
      <c r="P871" s="1578"/>
      <c r="Q871" s="1578"/>
      <c r="R871" s="1578"/>
      <c r="S871" s="1578"/>
      <c r="T871" s="1578"/>
      <c r="U871" s="1578"/>
      <c r="V871" s="1579"/>
      <c r="W871" s="1501">
        <v>14600</v>
      </c>
      <c r="X871" s="1501"/>
      <c r="Y871" s="1501"/>
      <c r="Z871" s="1501"/>
      <c r="AA871" s="1501"/>
      <c r="AB871" s="1501"/>
      <c r="AC871" s="1501"/>
      <c r="AD871" s="534"/>
      <c r="AU871" s="4"/>
      <c r="AV871" s="14"/>
      <c r="AW871" s="14"/>
      <c r="AX871" s="14"/>
      <c r="AY871" s="14"/>
      <c r="AZ871" s="34"/>
      <c r="BA871" s="34"/>
      <c r="BB871" s="34"/>
      <c r="BC871" s="34"/>
    </row>
    <row r="872" spans="3:55" ht="12.95" customHeight="1">
      <c r="J872" s="45"/>
      <c r="K872" s="5"/>
      <c r="L872" s="5"/>
      <c r="M872" s="5"/>
      <c r="N872" s="5"/>
      <c r="O872" s="5"/>
      <c r="P872" s="5"/>
      <c r="Q872" s="5"/>
      <c r="R872" s="5"/>
      <c r="S872" s="5"/>
      <c r="T872" s="5"/>
      <c r="U872" s="5"/>
      <c r="V872" s="54" t="s">
        <v>274</v>
      </c>
      <c r="W872" s="1651">
        <f>SUM(W865:AC871)</f>
        <v>206501</v>
      </c>
      <c r="X872" s="1651"/>
      <c r="Y872" s="1651"/>
      <c r="Z872" s="1651"/>
      <c r="AA872" s="1651"/>
      <c r="AB872" s="1651"/>
      <c r="AC872" s="1651"/>
      <c r="AU872" s="4"/>
      <c r="AV872" s="14"/>
      <c r="AW872" s="14"/>
      <c r="AX872" s="14"/>
      <c r="AY872" s="14"/>
      <c r="AZ872" s="34"/>
      <c r="BA872" s="34"/>
      <c r="BB872" s="34"/>
      <c r="BC872" s="34"/>
    </row>
    <row r="873" spans="3:55" ht="12.95" customHeight="1">
      <c r="AU873" s="4"/>
      <c r="AV873" s="14"/>
      <c r="AW873" s="14"/>
      <c r="AX873" s="14"/>
      <c r="AY873" s="14"/>
      <c r="AZ873" s="34"/>
      <c r="BA873" s="34"/>
      <c r="BB873" s="34"/>
      <c r="BC873" s="34"/>
    </row>
    <row r="874" spans="3:55" ht="12.95" customHeight="1">
      <c r="C874" s="2" t="s">
        <v>1242</v>
      </c>
      <c r="J874" s="45" t="s">
        <v>169</v>
      </c>
      <c r="K874" s="5"/>
      <c r="L874" s="5"/>
      <c r="M874" s="1577" t="s">
        <v>2688</v>
      </c>
      <c r="N874" s="1578"/>
      <c r="O874" s="1578"/>
      <c r="P874" s="1578"/>
      <c r="Q874" s="1578"/>
      <c r="R874" s="1578"/>
      <c r="S874" s="1578"/>
      <c r="T874" s="1578"/>
      <c r="U874" s="1578"/>
      <c r="V874" s="1579"/>
      <c r="W874" s="1455">
        <v>94640</v>
      </c>
      <c r="X874" s="1456"/>
      <c r="Y874" s="1456"/>
      <c r="Z874" s="1456"/>
      <c r="AA874" s="1456"/>
      <c r="AB874" s="1456"/>
      <c r="AC874" s="1457"/>
      <c r="AD874" s="534"/>
      <c r="AV874" s="14"/>
      <c r="AW874" s="14"/>
      <c r="AX874" s="14"/>
      <c r="AY874" s="14"/>
      <c r="AZ874" s="34"/>
      <c r="BA874" s="34"/>
      <c r="BB874" s="34"/>
      <c r="BC874" s="34"/>
    </row>
    <row r="875" spans="3:55" ht="12.95" customHeight="1">
      <c r="C875" s="2" t="s">
        <v>1243</v>
      </c>
      <c r="J875" s="45" t="s">
        <v>169</v>
      </c>
      <c r="K875" s="5"/>
      <c r="L875" s="5"/>
      <c r="M875" s="1577" t="s">
        <v>2690</v>
      </c>
      <c r="N875" s="1578"/>
      <c r="O875" s="1578"/>
      <c r="P875" s="1578"/>
      <c r="Q875" s="1578"/>
      <c r="R875" s="1578"/>
      <c r="S875" s="1578"/>
      <c r="T875" s="1578"/>
      <c r="U875" s="1578"/>
      <c r="V875" s="1579"/>
      <c r="W875" s="1455">
        <v>9600</v>
      </c>
      <c r="X875" s="1456"/>
      <c r="Y875" s="1456"/>
      <c r="Z875" s="1456"/>
      <c r="AA875" s="1456"/>
      <c r="AB875" s="1456"/>
      <c r="AC875" s="1457"/>
      <c r="AD875" s="534"/>
      <c r="AV875" s="14"/>
      <c r="AW875" s="14"/>
      <c r="AX875" s="14"/>
      <c r="AY875" s="14"/>
      <c r="AZ875" s="34"/>
      <c r="BA875" s="34"/>
      <c r="BB875" s="34"/>
      <c r="BC875" s="34"/>
    </row>
    <row r="876" spans="3:55" ht="12.95" customHeight="1">
      <c r="J876" s="45" t="s">
        <v>169</v>
      </c>
      <c r="K876" s="5"/>
      <c r="L876" s="5"/>
      <c r="M876" s="1577" t="s">
        <v>333</v>
      </c>
      <c r="N876" s="1578"/>
      <c r="O876" s="1578"/>
      <c r="P876" s="1578"/>
      <c r="Q876" s="1578"/>
      <c r="R876" s="1578"/>
      <c r="S876" s="1578"/>
      <c r="T876" s="1578"/>
      <c r="U876" s="1578"/>
      <c r="V876" s="1579"/>
      <c r="W876" s="1455">
        <v>0</v>
      </c>
      <c r="X876" s="1456"/>
      <c r="Y876" s="1456"/>
      <c r="Z876" s="1456"/>
      <c r="AA876" s="1456"/>
      <c r="AB876" s="1456"/>
      <c r="AC876" s="1457"/>
      <c r="AL876" s="14"/>
      <c r="AM876" s="14"/>
      <c r="AN876" s="14"/>
      <c r="AO876" s="14"/>
      <c r="AP876" s="14"/>
      <c r="AQ876" s="14"/>
      <c r="AR876" s="14"/>
      <c r="AS876" s="14"/>
      <c r="AT876" s="14"/>
      <c r="AV876" s="4"/>
      <c r="AW876" s="4"/>
      <c r="AX876" s="4"/>
      <c r="AY876" s="4"/>
      <c r="AZ876" s="34"/>
      <c r="BA876" s="34"/>
      <c r="BB876" s="34"/>
      <c r="BC876" s="34"/>
    </row>
    <row r="877" spans="3:55" ht="12.95" customHeight="1">
      <c r="J877" s="45" t="s">
        <v>169</v>
      </c>
      <c r="K877" s="5"/>
      <c r="L877" s="5"/>
      <c r="M877" s="1577" t="s">
        <v>333</v>
      </c>
      <c r="N877" s="1578"/>
      <c r="O877" s="1578"/>
      <c r="P877" s="1578"/>
      <c r="Q877" s="1578"/>
      <c r="R877" s="1578"/>
      <c r="S877" s="1578"/>
      <c r="T877" s="1578"/>
      <c r="U877" s="1578"/>
      <c r="V877" s="1579"/>
      <c r="W877" s="1455"/>
      <c r="X877" s="1456"/>
      <c r="Y877" s="1456"/>
      <c r="Z877" s="1456"/>
      <c r="AA877" s="1456"/>
      <c r="AB877" s="1456"/>
      <c r="AC877" s="1457"/>
      <c r="AL877" s="14"/>
      <c r="AM877" s="14"/>
      <c r="AN877" s="14"/>
      <c r="AO877" s="14"/>
      <c r="AP877" s="14"/>
      <c r="AQ877" s="14"/>
      <c r="AR877" s="14"/>
      <c r="AS877" s="14"/>
      <c r="AT877" s="14"/>
      <c r="AV877" s="4"/>
      <c r="AW877" s="4"/>
      <c r="AX877" s="4"/>
      <c r="AY877" s="4"/>
      <c r="AZ877" s="34"/>
      <c r="BA877" s="34"/>
      <c r="BB877" s="34"/>
      <c r="BC877" s="34"/>
    </row>
    <row r="878" spans="3:55" ht="12.95" customHeight="1">
      <c r="J878" s="45" t="s">
        <v>169</v>
      </c>
      <c r="K878" s="5"/>
      <c r="L878" s="5"/>
      <c r="M878" s="1577" t="s">
        <v>333</v>
      </c>
      <c r="N878" s="1578"/>
      <c r="O878" s="1578"/>
      <c r="P878" s="1578"/>
      <c r="Q878" s="1578"/>
      <c r="R878" s="1578"/>
      <c r="S878" s="1578"/>
      <c r="T878" s="1578"/>
      <c r="U878" s="1578"/>
      <c r="V878" s="1579"/>
      <c r="W878" s="1455"/>
      <c r="X878" s="1456"/>
      <c r="Y878" s="1456"/>
      <c r="Z878" s="1456"/>
      <c r="AA878" s="1456"/>
      <c r="AB878" s="1456"/>
      <c r="AC878" s="1457"/>
      <c r="AL878" s="14"/>
      <c r="AM878" s="14"/>
      <c r="AN878" s="14"/>
      <c r="AO878" s="14"/>
      <c r="AP878" s="14"/>
      <c r="AQ878" s="14"/>
      <c r="AR878" s="14"/>
      <c r="AS878" s="14"/>
      <c r="AT878" s="14"/>
      <c r="AV878" s="4"/>
      <c r="AW878" s="4"/>
      <c r="AX878" s="4"/>
      <c r="AY878" s="4"/>
      <c r="AZ878" s="34"/>
      <c r="BA878" s="34"/>
      <c r="BB878" s="34"/>
      <c r="BC878" s="34"/>
    </row>
    <row r="879" spans="3:55" ht="12.95" customHeight="1">
      <c r="J879" s="45"/>
      <c r="K879" s="5"/>
      <c r="L879" s="5"/>
      <c r="M879" s="5"/>
      <c r="N879" s="5"/>
      <c r="O879" s="5"/>
      <c r="P879" s="5"/>
      <c r="Q879" s="5"/>
      <c r="R879" s="5"/>
      <c r="S879" s="5"/>
      <c r="T879" s="5"/>
      <c r="U879" s="5"/>
      <c r="V879" s="54" t="s">
        <v>275</v>
      </c>
      <c r="W879" s="1629">
        <f>SUM(W874:AC878)</f>
        <v>104240</v>
      </c>
      <c r="X879" s="1630"/>
      <c r="Y879" s="1630"/>
      <c r="Z879" s="1630"/>
      <c r="AA879" s="1630"/>
      <c r="AB879" s="1630"/>
      <c r="AC879" s="1631"/>
      <c r="AL879" s="14"/>
      <c r="AM879" s="14"/>
      <c r="AN879" s="14"/>
      <c r="AO879" s="14"/>
      <c r="AP879" s="14"/>
      <c r="AQ879" s="14"/>
      <c r="AR879" s="14"/>
      <c r="AS879" s="14"/>
      <c r="AT879" s="14"/>
      <c r="AV879" s="4"/>
      <c r="AW879" s="4"/>
      <c r="AX879" s="4"/>
      <c r="AY879" s="4"/>
      <c r="AZ879" s="34"/>
      <c r="BA879" s="34"/>
      <c r="BB879" s="34"/>
      <c r="BC879" s="34"/>
    </row>
    <row r="880" spans="3:55" ht="12.95" customHeight="1">
      <c r="E880" s="513"/>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row>
    <row r="881" spans="3:55" ht="12.95" customHeight="1">
      <c r="C881" s="2" t="s">
        <v>177</v>
      </c>
      <c r="I881" s="534"/>
      <c r="J881" s="534"/>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row>
    <row r="882" spans="3:55" ht="12.95" customHeight="1">
      <c r="E882" s="513"/>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row>
    <row r="883" spans="3:55" ht="12.95"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894" t="s">
        <v>276</v>
      </c>
      <c r="AC883" s="1630">
        <f>W847+W855+W862+W863+W872+W879+W849</f>
        <v>1242896</v>
      </c>
      <c r="AD883" s="1630"/>
      <c r="AE883" s="1630"/>
      <c r="AF883" s="1630"/>
      <c r="AG883" s="1630"/>
      <c r="AH883" s="1631"/>
      <c r="AL883" s="4"/>
      <c r="AM883" s="4"/>
      <c r="AN883" s="4"/>
      <c r="AO883" s="4"/>
      <c r="AP883" s="4"/>
      <c r="AQ883" s="4"/>
      <c r="AR883" s="4"/>
      <c r="AS883" s="4"/>
      <c r="AT883" s="4"/>
      <c r="AV883" s="4"/>
      <c r="AW883" s="4"/>
      <c r="AX883" s="4"/>
      <c r="AY883" s="4"/>
      <c r="AZ883" s="34"/>
      <c r="BA883" s="34"/>
      <c r="BB883" s="34"/>
      <c r="BC883" s="34"/>
    </row>
    <row r="884" spans="3:55" ht="12.95"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894" t="s">
        <v>511</v>
      </c>
      <c r="AC884" s="1724">
        <f>O797+O777+G753</f>
        <v>232</v>
      </c>
      <c r="AD884" s="1724"/>
      <c r="AE884" s="1724"/>
      <c r="AF884" s="1724"/>
      <c r="AG884" s="1724"/>
      <c r="AH884" s="1725"/>
      <c r="AL884" s="4"/>
      <c r="AM884" s="4"/>
      <c r="AN884" s="4"/>
      <c r="AO884" s="4"/>
      <c r="AP884" s="4"/>
      <c r="AQ884" s="4"/>
      <c r="AR884" s="4"/>
      <c r="AS884" s="4"/>
      <c r="AT884" s="4"/>
      <c r="AZ884" s="34"/>
      <c r="BA884" s="34"/>
      <c r="BB884" s="34"/>
      <c r="BC884" s="34"/>
    </row>
    <row r="885" spans="3:55" ht="12.95" customHeight="1">
      <c r="C885" s="41"/>
      <c r="D885" s="42"/>
      <c r="E885" s="1645" t="s">
        <v>32</v>
      </c>
      <c r="F885" s="1645"/>
      <c r="G885" s="1645"/>
      <c r="H885" s="1645"/>
      <c r="I885" s="1645"/>
      <c r="J885" s="1645"/>
      <c r="K885" s="1645"/>
      <c r="L885" s="1645"/>
      <c r="M885" s="1645"/>
      <c r="N885" s="1645"/>
      <c r="O885" s="1645"/>
      <c r="P885" s="1645"/>
      <c r="Q885" s="1645"/>
      <c r="R885" s="1645"/>
      <c r="S885" s="1645"/>
      <c r="T885" s="1645"/>
      <c r="U885" s="1645"/>
      <c r="V885" s="1645"/>
      <c r="W885" s="1645"/>
      <c r="X885" s="1645"/>
      <c r="Y885" s="1645"/>
      <c r="Z885" s="1645"/>
      <c r="AA885" s="1645"/>
      <c r="AB885" s="1646"/>
      <c r="AC885" s="1651">
        <f>IF(ISERROR((ROUNDDOWN(AC883/AC884,0))),0,(ROUNDDOWN(AC883/AC884,0)))</f>
        <v>5357</v>
      </c>
      <c r="AD885" s="1651"/>
      <c r="AE885" s="1651"/>
      <c r="AF885" s="1651"/>
      <c r="AG885" s="1651"/>
      <c r="AH885" s="1651"/>
      <c r="AL885" s="4"/>
      <c r="AM885" s="4"/>
      <c r="AN885" s="4"/>
      <c r="AO885" s="4"/>
      <c r="AP885" s="4"/>
      <c r="AQ885" s="4"/>
      <c r="AR885" s="4"/>
      <c r="AS885" s="4"/>
      <c r="AT885" s="4"/>
      <c r="AZ885" s="34"/>
      <c r="BA885" s="34"/>
      <c r="BB885" s="34"/>
      <c r="BC885" s="34"/>
    </row>
    <row r="886" spans="3:55" ht="12.95"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761</v>
      </c>
      <c r="AC886" s="1712">
        <v>1042396</v>
      </c>
      <c r="AD886" s="1713"/>
      <c r="AE886" s="1713"/>
      <c r="AF886" s="1713"/>
      <c r="AG886" s="1713"/>
      <c r="AH886" s="1713"/>
      <c r="AL886" s="4"/>
      <c r="AM886" s="4"/>
      <c r="AN886" s="4"/>
      <c r="AO886" s="4"/>
      <c r="AP886" s="4"/>
      <c r="AQ886" s="4"/>
      <c r="AR886" s="4"/>
      <c r="AS886" s="4"/>
      <c r="AT886" s="4"/>
      <c r="AZ886" s="34"/>
      <c r="BA886" s="34"/>
      <c r="BB886" s="34"/>
      <c r="BC886" s="34"/>
    </row>
    <row r="887" spans="3:55" ht="12.95"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1159</v>
      </c>
      <c r="AC887" s="1457">
        <v>0</v>
      </c>
      <c r="AD887" s="1501"/>
      <c r="AE887" s="1501"/>
      <c r="AF887" s="1501"/>
      <c r="AG887" s="1501"/>
      <c r="AH887" s="1501"/>
      <c r="AL887" s="4"/>
      <c r="AM887" s="4"/>
      <c r="AN887" s="4"/>
      <c r="AO887" s="4"/>
      <c r="AP887" s="4"/>
      <c r="AQ887" s="4"/>
      <c r="AR887" s="4"/>
      <c r="AS887" s="4"/>
      <c r="AT887" s="4"/>
      <c r="AZ887" s="34"/>
      <c r="BA887" s="34"/>
      <c r="BB887" s="34"/>
      <c r="BC887" s="34"/>
    </row>
    <row r="888" spans="3:55" ht="12.95"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510</v>
      </c>
      <c r="AC888" s="1456">
        <v>16948</v>
      </c>
      <c r="AD888" s="1456"/>
      <c r="AE888" s="1456"/>
      <c r="AF888" s="1456"/>
      <c r="AG888" s="1456"/>
      <c r="AH888" s="1457"/>
      <c r="AL888" s="4"/>
      <c r="AM888" s="4"/>
      <c r="AN888" s="4"/>
      <c r="AO888" s="4"/>
      <c r="AP888" s="4"/>
      <c r="AQ888" s="4"/>
      <c r="AR888" s="4"/>
      <c r="AS888" s="4"/>
      <c r="AT888" s="4"/>
      <c r="AZ888" s="34"/>
      <c r="BA888" s="34"/>
      <c r="BB888" s="34"/>
      <c r="BC888" s="34"/>
    </row>
    <row r="889" spans="3:55" ht="12.95"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456">
        <v>69600</v>
      </c>
      <c r="AD889" s="1456"/>
      <c r="AE889" s="1456"/>
      <c r="AF889" s="1456"/>
      <c r="AG889" s="1456"/>
      <c r="AH889" s="1457"/>
      <c r="AZ889" s="34"/>
      <c r="BA889" s="34"/>
      <c r="BB889" s="34"/>
      <c r="BC889" s="34"/>
    </row>
    <row r="890" spans="3:55" ht="12.95"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1677</v>
      </c>
      <c r="AC890" s="1460">
        <v>11523</v>
      </c>
      <c r="AD890" s="1461"/>
      <c r="AE890" s="1461"/>
      <c r="AF890" s="1461"/>
      <c r="AG890" s="1461"/>
      <c r="AH890" s="1462"/>
      <c r="AZ890" s="34"/>
      <c r="BA890" s="34"/>
      <c r="BB890" s="34"/>
      <c r="BC890" s="34"/>
    </row>
    <row r="891" spans="3:55" ht="12.95"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456">
        <v>0</v>
      </c>
      <c r="AD891" s="1456"/>
      <c r="AE891" s="1456"/>
      <c r="AF891" s="1456"/>
      <c r="AG891" s="1456"/>
      <c r="AH891" s="1457"/>
      <c r="AZ891" s="34"/>
      <c r="BA891" s="34"/>
      <c r="BB891" s="34"/>
      <c r="BC891" s="34"/>
    </row>
    <row r="892" spans="3:55" ht="12.95" hidden="1" customHeight="1">
      <c r="C892" s="1467" t="s">
        <v>2235</v>
      </c>
      <c r="D892" s="1468"/>
      <c r="E892" s="1468"/>
      <c r="F892" s="1468"/>
      <c r="G892" s="1468"/>
      <c r="H892" s="1468"/>
      <c r="I892" s="1468"/>
      <c r="J892" s="1468"/>
      <c r="K892" s="1468"/>
      <c r="L892" s="1468"/>
      <c r="M892" s="1468"/>
      <c r="N892" s="1468"/>
      <c r="O892" s="1468"/>
      <c r="P892" s="1468"/>
      <c r="Q892" s="1468"/>
      <c r="R892" s="1468"/>
      <c r="S892" s="1468"/>
      <c r="T892" s="1468"/>
      <c r="U892" s="1468"/>
      <c r="V892" s="1468"/>
      <c r="W892" s="1468"/>
      <c r="X892" s="1468"/>
      <c r="Y892" s="1468"/>
      <c r="Z892" s="1468"/>
      <c r="AA892" s="1468"/>
      <c r="AB892" s="1469"/>
      <c r="AC892" s="1456"/>
      <c r="AD892" s="1456"/>
      <c r="AE892" s="1456"/>
      <c r="AF892" s="1456"/>
      <c r="AG892" s="1456"/>
      <c r="AH892" s="1457"/>
      <c r="AZ892" s="34"/>
      <c r="BA892" s="34"/>
      <c r="BB892" s="34"/>
      <c r="BC892" s="34"/>
    </row>
    <row r="893" spans="3:55" ht="12.95" customHeight="1">
      <c r="C893" s="45"/>
      <c r="D893" s="5"/>
      <c r="E893" s="5"/>
      <c r="F893" s="5"/>
      <c r="G893" s="5"/>
      <c r="H893" s="5"/>
      <c r="I893" s="5"/>
      <c r="J893" s="5"/>
      <c r="K893" s="5"/>
      <c r="L893" s="5"/>
      <c r="M893" s="5"/>
      <c r="N893" s="5"/>
      <c r="O893" s="5"/>
      <c r="P893" s="5"/>
      <c r="Q893" s="5"/>
      <c r="R893" s="5"/>
      <c r="S893" s="5"/>
      <c r="T893" s="5"/>
      <c r="U893" s="5"/>
      <c r="V893" s="5"/>
      <c r="W893" s="5"/>
      <c r="X893" s="5"/>
      <c r="Y893" s="5"/>
      <c r="Z893" s="5"/>
      <c r="AA893" s="5"/>
      <c r="AB893" s="54" t="s">
        <v>1656</v>
      </c>
      <c r="AC893" s="1456">
        <v>921</v>
      </c>
      <c r="AD893" s="1456"/>
      <c r="AE893" s="1456"/>
      <c r="AF893" s="1456"/>
      <c r="AG893" s="1456"/>
      <c r="AH893" s="1457"/>
      <c r="AZ893" s="34"/>
      <c r="BA893" s="34"/>
      <c r="BB893" s="34"/>
      <c r="BC893" s="34"/>
    </row>
    <row r="894" spans="3:55" ht="12.95" customHeight="1">
      <c r="C894" s="1639" t="s">
        <v>956</v>
      </c>
      <c r="D894" s="1640"/>
      <c r="E894" s="1640"/>
      <c r="F894" s="1640"/>
      <c r="G894" s="1640"/>
      <c r="H894" s="1640"/>
      <c r="I894" s="1640"/>
      <c r="J894" s="1640"/>
      <c r="K894" s="1640"/>
      <c r="L894" s="1640"/>
      <c r="M894" s="1640"/>
      <c r="N894" s="1640"/>
      <c r="O894" s="1640"/>
      <c r="P894" s="1640"/>
      <c r="Q894" s="1640"/>
      <c r="R894" s="1640"/>
      <c r="S894" s="1640"/>
      <c r="T894" s="1640"/>
      <c r="U894" s="1640"/>
      <c r="V894" s="1640"/>
      <c r="W894" s="1640"/>
      <c r="X894" s="1640"/>
      <c r="Y894" s="1640"/>
      <c r="Z894" s="1640"/>
      <c r="AA894" s="1640"/>
      <c r="AB894" s="1641"/>
      <c r="AC894" s="1501"/>
      <c r="AD894" s="1501"/>
      <c r="AE894" s="1501"/>
      <c r="AF894" s="1501"/>
      <c r="AG894" s="1501"/>
      <c r="AH894" s="1501"/>
      <c r="AZ894" s="34"/>
      <c r="BA894" s="34"/>
      <c r="BB894" s="34"/>
      <c r="BC894" s="34"/>
    </row>
    <row r="895" spans="3:55" ht="12.95" customHeight="1">
      <c r="C895" s="1639" t="s">
        <v>956</v>
      </c>
      <c r="D895" s="1640"/>
      <c r="E895" s="1640"/>
      <c r="F895" s="1640"/>
      <c r="G895" s="1640"/>
      <c r="H895" s="1640"/>
      <c r="I895" s="1640"/>
      <c r="J895" s="1640"/>
      <c r="K895" s="1640"/>
      <c r="L895" s="1640"/>
      <c r="M895" s="1640"/>
      <c r="N895" s="1640"/>
      <c r="O895" s="1640"/>
      <c r="P895" s="1640"/>
      <c r="Q895" s="1640"/>
      <c r="R895" s="1640"/>
      <c r="S895" s="1640"/>
      <c r="T895" s="1640"/>
      <c r="U895" s="1640"/>
      <c r="V895" s="1640"/>
      <c r="W895" s="1640"/>
      <c r="X895" s="1640"/>
      <c r="Y895" s="1640"/>
      <c r="Z895" s="1640"/>
      <c r="AA895" s="1640"/>
      <c r="AB895" s="1641"/>
      <c r="AC895" s="1501"/>
      <c r="AD895" s="1501"/>
      <c r="AE895" s="1501"/>
      <c r="AF895" s="1501"/>
      <c r="AG895" s="1501"/>
      <c r="AH895" s="1501"/>
      <c r="AU895" s="95"/>
      <c r="AZ895" s="34"/>
      <c r="BA895" s="34"/>
      <c r="BB895" s="34"/>
      <c r="BC895" s="34"/>
    </row>
    <row r="896" spans="3:55" ht="12.95" customHeight="1">
      <c r="E896" s="513"/>
      <c r="AB896" s="56"/>
      <c r="AC896" s="123"/>
      <c r="AD896" s="123"/>
      <c r="AE896" s="123"/>
      <c r="AF896" s="123"/>
      <c r="AG896" s="123"/>
      <c r="AH896" s="123"/>
      <c r="AU896" s="95"/>
      <c r="AZ896" s="34"/>
      <c r="BA896" s="34"/>
      <c r="BB896" s="34"/>
      <c r="BC896" s="34"/>
    </row>
    <row r="897" spans="1:58" ht="12.95" customHeight="1">
      <c r="A897" s="2" t="s">
        <v>613</v>
      </c>
      <c r="C897" s="2" t="s">
        <v>236</v>
      </c>
      <c r="X897" s="12"/>
      <c r="Y897" s="12"/>
      <c r="Z897" s="12"/>
      <c r="AA897" s="12"/>
      <c r="AB897" s="12"/>
      <c r="AC897" s="12"/>
      <c r="AD897" s="12"/>
      <c r="AU897" s="95"/>
      <c r="AZ897" s="34"/>
      <c r="BB897" s="30"/>
      <c r="BC897" s="30"/>
    </row>
    <row r="898" spans="1:58" ht="12.95" customHeight="1">
      <c r="X898" s="12"/>
      <c r="Y898" s="12"/>
      <c r="Z898" s="12"/>
      <c r="AA898" s="12"/>
      <c r="AB898" s="12"/>
      <c r="AC898" s="12"/>
      <c r="AD898" s="12"/>
      <c r="AF898" s="534"/>
      <c r="AG898" s="180"/>
      <c r="AH898" s="180"/>
      <c r="AI898" s="180"/>
      <c r="AU898" s="95"/>
      <c r="AZ898" s="34"/>
      <c r="BB898" s="30"/>
      <c r="BC898" s="30"/>
      <c r="BD898" s="14"/>
      <c r="BE898" s="14"/>
      <c r="BF898" s="14"/>
    </row>
    <row r="899" spans="1:58" ht="12.95" customHeight="1">
      <c r="B899" s="2"/>
      <c r="H899" s="121" t="s">
        <v>237</v>
      </c>
      <c r="I899" s="5"/>
      <c r="J899" s="5"/>
      <c r="K899" s="5"/>
      <c r="L899" s="5"/>
      <c r="M899" s="5"/>
      <c r="N899" s="5"/>
      <c r="O899" s="5"/>
      <c r="P899" s="5"/>
      <c r="Q899" s="5"/>
      <c r="R899" s="5"/>
      <c r="S899" s="5"/>
      <c r="T899" s="5"/>
      <c r="U899" s="5"/>
      <c r="V899" s="5"/>
      <c r="W899" s="5"/>
      <c r="X899" s="5"/>
      <c r="Y899" s="46"/>
      <c r="Z899" s="1455">
        <v>0</v>
      </c>
      <c r="AA899" s="1456"/>
      <c r="AB899" s="1456"/>
      <c r="AC899" s="1456"/>
      <c r="AD899" s="1456"/>
      <c r="AE899" s="1457"/>
      <c r="AF899" s="534"/>
      <c r="AZ899" s="34"/>
      <c r="BB899" s="30"/>
      <c r="BC899" s="817"/>
      <c r="BD899" s="1635"/>
      <c r="BE899" s="1635"/>
      <c r="BF899" s="14"/>
    </row>
    <row r="900" spans="1:58" ht="12.95" customHeight="1">
      <c r="H900" s="121" t="s">
        <v>238</v>
      </c>
      <c r="I900" s="5"/>
      <c r="J900" s="5"/>
      <c r="K900" s="5"/>
      <c r="L900" s="5"/>
      <c r="M900" s="5"/>
      <c r="N900" s="5"/>
      <c r="O900" s="5"/>
      <c r="P900" s="5"/>
      <c r="Q900" s="5"/>
      <c r="R900" s="5"/>
      <c r="S900" s="5"/>
      <c r="T900" s="5"/>
      <c r="U900" s="5"/>
      <c r="V900" s="5"/>
      <c r="W900" s="5"/>
      <c r="X900" s="5"/>
      <c r="Y900" s="5"/>
      <c r="Z900" s="1455">
        <v>0</v>
      </c>
      <c r="AA900" s="1456"/>
      <c r="AB900" s="1456"/>
      <c r="AC900" s="1456"/>
      <c r="AD900" s="1456"/>
      <c r="AE900" s="1457"/>
      <c r="AZ900" s="34"/>
      <c r="BB900" s="30"/>
      <c r="BC900" s="817"/>
      <c r="BD900" s="1635"/>
      <c r="BE900" s="1635"/>
      <c r="BF900" s="14"/>
    </row>
    <row r="901" spans="1:58" ht="12.95" customHeight="1">
      <c r="H901" s="121" t="s">
        <v>239</v>
      </c>
      <c r="I901" s="5"/>
      <c r="J901" s="5"/>
      <c r="K901" s="5"/>
      <c r="L901" s="5"/>
      <c r="M901" s="5"/>
      <c r="N901" s="5"/>
      <c r="O901" s="5"/>
      <c r="P901" s="5"/>
      <c r="Q901" s="5"/>
      <c r="R901" s="5"/>
      <c r="S901" s="5"/>
      <c r="T901" s="5"/>
      <c r="U901" s="5"/>
      <c r="V901" s="5"/>
      <c r="W901" s="5"/>
      <c r="X901" s="5"/>
      <c r="Y901" s="5"/>
      <c r="Z901" s="1455">
        <v>0</v>
      </c>
      <c r="AA901" s="1456"/>
      <c r="AB901" s="1456"/>
      <c r="AC901" s="1456"/>
      <c r="AD901" s="1456"/>
      <c r="AE901" s="1457"/>
      <c r="AZ901" s="34"/>
      <c r="BB901" s="30"/>
      <c r="BC901" s="817"/>
      <c r="BD901" s="1634"/>
      <c r="BE901" s="1634"/>
      <c r="BF901" s="14"/>
    </row>
    <row r="902" spans="1:58" ht="12.95" customHeight="1">
      <c r="H902" s="45"/>
      <c r="I902" s="5"/>
      <c r="J902" s="5"/>
      <c r="K902" s="5"/>
      <c r="L902" s="5"/>
      <c r="M902" s="5"/>
      <c r="N902" s="5"/>
      <c r="O902" s="5"/>
      <c r="P902" s="5"/>
      <c r="Q902" s="5"/>
      <c r="R902" s="5"/>
      <c r="S902" s="5"/>
      <c r="T902" s="5"/>
      <c r="U902" s="5"/>
      <c r="V902" s="5"/>
      <c r="W902" s="5"/>
      <c r="X902" s="5"/>
      <c r="Y902" s="181" t="s">
        <v>240</v>
      </c>
      <c r="Z902" s="1629">
        <f>Z899-(Z900+Z901)</f>
        <v>0</v>
      </c>
      <c r="AA902" s="1630"/>
      <c r="AB902" s="1630"/>
      <c r="AC902" s="1630"/>
      <c r="AD902" s="1630"/>
      <c r="AE902" s="1631"/>
      <c r="AZ902" s="34"/>
      <c r="BB902" s="30"/>
      <c r="BC902" s="817"/>
      <c r="BD902" s="1634"/>
      <c r="BE902" s="1634"/>
      <c r="BF902" s="14"/>
    </row>
    <row r="903" spans="1:58" ht="12.95" customHeight="1">
      <c r="C903" s="513"/>
      <c r="D903" s="6"/>
      <c r="E903" s="180"/>
      <c r="F903" s="180"/>
      <c r="G903" s="180"/>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0"/>
      <c r="AZ903" s="34"/>
      <c r="BB903" s="30"/>
      <c r="BC903" s="817"/>
      <c r="BD903" s="1634"/>
      <c r="BE903" s="1634"/>
      <c r="BF903" s="14"/>
    </row>
    <row r="904" spans="1:58" ht="12.95" customHeight="1">
      <c r="C904" t="s">
        <v>244</v>
      </c>
      <c r="D904" s="164"/>
      <c r="E904" s="180"/>
      <c r="F904" s="180"/>
      <c r="G904" s="180"/>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0"/>
      <c r="AZ904" s="34"/>
      <c r="BB904" s="30"/>
      <c r="BC904" s="817"/>
      <c r="BD904" s="1635"/>
      <c r="BE904" s="1634"/>
      <c r="BF904" s="14"/>
    </row>
    <row r="905" spans="1:58" ht="12.95" customHeight="1">
      <c r="C905" s="182" t="s">
        <v>245</v>
      </c>
      <c r="D905" s="164"/>
      <c r="E905" s="180"/>
      <c r="F905" s="180"/>
      <c r="G905" s="180"/>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0"/>
      <c r="AV905" s="95"/>
      <c r="AW905" s="95"/>
      <c r="AX905" s="95"/>
      <c r="AY905" s="95"/>
      <c r="AZ905" s="34"/>
      <c r="BB905" s="30"/>
      <c r="BC905" s="817"/>
      <c r="BD905" s="1711"/>
      <c r="BE905" s="1711"/>
      <c r="BF905" s="1711"/>
    </row>
    <row r="906" spans="1:58" ht="12.95" customHeight="1">
      <c r="C906" s="182" t="s">
        <v>246</v>
      </c>
      <c r="D906" s="164"/>
      <c r="E906" s="180"/>
      <c r="F906" s="180"/>
      <c r="G906" s="180"/>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0"/>
      <c r="AV906" s="95"/>
      <c r="AW906" s="95"/>
      <c r="AX906" s="95"/>
      <c r="AY906" s="95"/>
      <c r="AZ906" s="34"/>
      <c r="BB906" s="30"/>
      <c r="BC906" s="817"/>
      <c r="BD906" s="1666"/>
      <c r="BE906" s="1666"/>
      <c r="BF906" s="1666"/>
    </row>
    <row r="907" spans="1:58" ht="12.95" customHeight="1">
      <c r="C907" s="341" t="s">
        <v>1012</v>
      </c>
      <c r="D907" s="164"/>
      <c r="E907" s="180"/>
      <c r="F907" s="180"/>
      <c r="G907" s="180"/>
      <c r="H907" s="4"/>
      <c r="I907" s="4"/>
      <c r="J907" s="4"/>
      <c r="K907" s="4"/>
      <c r="L907" s="4"/>
      <c r="M907" s="4"/>
      <c r="N907" s="4"/>
      <c r="O907" s="4"/>
      <c r="P907" s="4"/>
      <c r="Q907" s="4"/>
      <c r="R907" s="4"/>
      <c r="S907" s="4"/>
      <c r="T907" s="4"/>
      <c r="U907" s="4"/>
      <c r="V907" s="4"/>
      <c r="W907" s="4"/>
      <c r="X907" s="4"/>
      <c r="Y907" s="4"/>
      <c r="Z907" s="4"/>
      <c r="AA907" s="4"/>
      <c r="AB907" s="4"/>
      <c r="AC907" s="4"/>
      <c r="AD907" s="4"/>
      <c r="AE907" s="4"/>
      <c r="AF907" s="180"/>
      <c r="AV907" s="95"/>
      <c r="AW907" s="95"/>
      <c r="AX907" s="95"/>
      <c r="AY907" s="95"/>
      <c r="AZ907" s="34"/>
      <c r="BB907" s="30"/>
      <c r="BC907" s="817"/>
      <c r="BD907" s="1634"/>
      <c r="BE907" s="1634"/>
      <c r="BF907" s="14"/>
    </row>
    <row r="908" spans="1:58" ht="12.95" customHeight="1">
      <c r="D908" s="164"/>
      <c r="E908" s="40"/>
      <c r="F908" s="40"/>
      <c r="G908" s="40"/>
      <c r="H908" s="40"/>
      <c r="I908" s="40"/>
      <c r="J908" s="40"/>
      <c r="K908" s="40"/>
      <c r="L908" s="40"/>
      <c r="M908" s="40"/>
      <c r="N908" s="40"/>
      <c r="O908" s="40"/>
      <c r="P908" s="40"/>
      <c r="Q908" s="40"/>
      <c r="R908" s="40"/>
      <c r="S908" s="40"/>
      <c r="T908" s="40"/>
      <c r="U908" s="40"/>
      <c r="V908" s="40"/>
      <c r="W908" s="40"/>
      <c r="X908" s="40"/>
      <c r="Y908" s="40"/>
      <c r="Z908" s="40"/>
      <c r="AA908" s="40"/>
      <c r="AB908" s="40"/>
      <c r="AC908" s="40"/>
      <c r="AD908" s="40"/>
      <c r="AE908" s="40"/>
      <c r="AF908" s="40"/>
      <c r="AG908" s="40"/>
      <c r="AH908" s="40"/>
      <c r="AI908" s="40"/>
      <c r="AV908" s="95"/>
      <c r="AW908" s="95"/>
      <c r="AX908" s="95"/>
      <c r="AY908" s="95"/>
      <c r="AZ908" s="34"/>
      <c r="BB908" s="30"/>
      <c r="BC908" s="817"/>
      <c r="BD908" s="1635"/>
      <c r="BE908" s="1634"/>
      <c r="BF908" s="14"/>
    </row>
    <row r="909" spans="1:58" ht="12.95" customHeight="1">
      <c r="AZ909" s="34"/>
      <c r="BB909" s="30"/>
      <c r="BC909" s="817"/>
    </row>
    <row r="910" spans="1:58" ht="12.95" customHeight="1">
      <c r="A910" s="1423" t="s">
        <v>96</v>
      </c>
      <c r="B910" s="1423"/>
      <c r="C910" s="1423"/>
      <c r="D910" s="1423"/>
      <c r="E910" s="1423"/>
      <c r="F910" s="1423"/>
      <c r="G910" s="1423"/>
      <c r="H910" s="1423"/>
      <c r="I910" s="1423"/>
      <c r="J910" s="1423"/>
      <c r="K910" s="1423"/>
      <c r="L910" s="1423"/>
      <c r="M910" s="1423"/>
      <c r="N910" s="1423"/>
      <c r="O910" s="1423"/>
      <c r="P910" s="1423"/>
      <c r="Q910" s="1423"/>
      <c r="R910" s="1423"/>
      <c r="S910" s="1423"/>
      <c r="T910" s="1423"/>
      <c r="U910" s="1423"/>
      <c r="V910" s="1423"/>
      <c r="W910" s="1423"/>
      <c r="X910" s="1423"/>
      <c r="Y910" s="1423"/>
      <c r="Z910" s="1423"/>
      <c r="AA910" s="1423"/>
      <c r="AB910" s="1423"/>
      <c r="AC910" s="1423"/>
      <c r="AD910" s="1423"/>
      <c r="AE910" s="1423"/>
      <c r="AF910" s="1423"/>
      <c r="AG910" s="1423"/>
      <c r="AH910" s="1423"/>
      <c r="AI910" s="1423"/>
      <c r="AJ910" s="1423"/>
      <c r="AK910" s="1423"/>
      <c r="AL910" s="1423"/>
      <c r="AM910" s="1423"/>
      <c r="AN910" s="1423"/>
      <c r="AO910" s="1423"/>
      <c r="AP910" s="1423"/>
      <c r="AQ910" s="1423"/>
      <c r="AR910" s="1423"/>
      <c r="AS910" s="1423"/>
      <c r="AT910" s="1423"/>
      <c r="AZ910" s="34"/>
      <c r="BA910" s="34"/>
      <c r="BB910" s="30"/>
      <c r="BC910" s="30"/>
      <c r="BD910" s="1635"/>
      <c r="BE910" s="1634"/>
      <c r="BF910" s="912"/>
    </row>
    <row r="911" spans="1:58" ht="12.95" customHeight="1">
      <c r="A911" s="1423"/>
      <c r="B911" s="1423"/>
      <c r="C911" s="1423"/>
      <c r="D911" s="1423"/>
      <c r="E911" s="1423"/>
      <c r="F911" s="1423"/>
      <c r="G911" s="1423"/>
      <c r="H911" s="1423"/>
      <c r="I911" s="1423"/>
      <c r="J911" s="1423"/>
      <c r="K911" s="1423"/>
      <c r="L911" s="1423"/>
      <c r="M911" s="1423"/>
      <c r="N911" s="1423"/>
      <c r="O911" s="1423"/>
      <c r="P911" s="1423"/>
      <c r="Q911" s="1423"/>
      <c r="R911" s="1423"/>
      <c r="S911" s="1423"/>
      <c r="T911" s="1423"/>
      <c r="U911" s="1423"/>
      <c r="V911" s="1423"/>
      <c r="W911" s="1423"/>
      <c r="X911" s="1423"/>
      <c r="Y911" s="1423"/>
      <c r="Z911" s="1423"/>
      <c r="AA911" s="1423"/>
      <c r="AB911" s="1423"/>
      <c r="AC911" s="1423"/>
      <c r="AD911" s="1423"/>
      <c r="AE911" s="1423"/>
      <c r="AF911" s="1423"/>
      <c r="AG911" s="1423"/>
      <c r="AH911" s="1423"/>
      <c r="AI911" s="1423"/>
      <c r="AJ911" s="1423"/>
      <c r="AK911" s="1423"/>
      <c r="AL911" s="1423"/>
      <c r="AM911" s="1423"/>
      <c r="AN911" s="1423"/>
      <c r="AO911" s="1423"/>
      <c r="AP911" s="1423"/>
      <c r="AQ911" s="1423"/>
      <c r="AR911" s="1423"/>
      <c r="AS911" s="1423"/>
      <c r="AT911" s="1423"/>
      <c r="AZ911" s="34"/>
      <c r="BA911" s="34"/>
      <c r="BB911" s="34"/>
      <c r="BC911" s="34"/>
      <c r="BD911" s="34"/>
      <c r="BE911" s="34"/>
      <c r="BF911" s="34"/>
    </row>
    <row r="912" spans="1:58" ht="12.95" customHeight="1">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A912" s="34"/>
      <c r="BB912" s="34"/>
      <c r="BC912" s="34"/>
      <c r="BD912" s="34"/>
      <c r="BE912" s="34"/>
      <c r="BF912" s="34"/>
    </row>
    <row r="913" spans="1:58" ht="12.95" customHeight="1">
      <c r="A913" s="2" t="s">
        <v>318</v>
      </c>
      <c r="C913" s="2" t="s">
        <v>263</v>
      </c>
      <c r="D913" s="95"/>
      <c r="E913" s="95"/>
      <c r="F913" s="95"/>
      <c r="G913" s="95"/>
      <c r="H913" s="95"/>
      <c r="I913" s="95"/>
      <c r="J913" s="95"/>
      <c r="K913" s="95"/>
      <c r="L913" s="95"/>
      <c r="M913" s="95"/>
      <c r="N913" s="95"/>
      <c r="O913" s="95"/>
      <c r="P913" s="95"/>
      <c r="Q913" s="95"/>
      <c r="R913" s="95"/>
      <c r="S913" s="95"/>
      <c r="T913" s="95"/>
      <c r="U913" s="95"/>
      <c r="V913" s="95"/>
      <c r="W913" s="95"/>
      <c r="X913" s="95"/>
      <c r="Y913" s="95"/>
      <c r="Z913" s="95"/>
      <c r="AA913" s="95"/>
      <c r="AB913" s="95"/>
      <c r="AC913" s="95"/>
      <c r="AD913" s="95"/>
      <c r="AE913" s="95"/>
      <c r="AF913" s="95"/>
      <c r="AG913" s="95"/>
      <c r="AH913" s="95"/>
      <c r="AI913" s="95"/>
      <c r="AJ913" s="95"/>
      <c r="AK913" s="95"/>
      <c r="AL913" s="95"/>
      <c r="AM913" s="95"/>
      <c r="AN913" s="95"/>
      <c r="AO913" s="95"/>
      <c r="AP913" s="95"/>
      <c r="AQ913" s="95"/>
      <c r="AR913" s="95"/>
      <c r="AS913" s="95"/>
      <c r="AT913" s="95"/>
      <c r="AZ913" s="34"/>
      <c r="BB913" s="34"/>
      <c r="BC913" s="34"/>
      <c r="BD913" s="34"/>
      <c r="BE913" s="34"/>
      <c r="BF913" s="34"/>
    </row>
    <row r="914" spans="1:58" ht="12.95" customHeight="1">
      <c r="AZ914" s="34"/>
      <c r="BA914" s="34"/>
      <c r="BB914" s="34"/>
      <c r="BC914" s="34"/>
    </row>
    <row r="915" spans="1:58" ht="12.95" customHeight="1">
      <c r="F915" s="1648" t="s">
        <v>792</v>
      </c>
      <c r="G915" s="1649"/>
      <c r="H915" s="1649"/>
      <c r="I915" s="1649"/>
      <c r="J915" s="1649"/>
      <c r="K915" s="1649"/>
      <c r="L915" s="1649"/>
      <c r="M915" s="1649"/>
      <c r="N915" s="1649"/>
      <c r="O915" s="1649"/>
      <c r="P915" s="1649"/>
      <c r="Q915" s="1649"/>
      <c r="R915" s="1649"/>
      <c r="S915" s="1649"/>
      <c r="T915" s="1650"/>
      <c r="U915" s="1652" t="s">
        <v>31</v>
      </c>
      <c r="V915" s="1653"/>
      <c r="W915" s="1653"/>
      <c r="X915" s="1653"/>
      <c r="Y915" s="1653"/>
      <c r="Z915" s="1653"/>
      <c r="AA915" s="43"/>
      <c r="AB915" s="105"/>
      <c r="AC915" s="105"/>
      <c r="AD915" s="105"/>
      <c r="AE915" s="105"/>
      <c r="AF915" s="106"/>
      <c r="AZ915" s="34"/>
      <c r="BA915" s="34"/>
      <c r="BB915" s="34"/>
      <c r="BC915" s="34"/>
    </row>
    <row r="916" spans="1:58" ht="12.95" customHeight="1">
      <c r="B916" s="2"/>
      <c r="F916" s="1583" t="s">
        <v>818</v>
      </c>
      <c r="G916" s="1584"/>
      <c r="H916" s="1584"/>
      <c r="I916" s="1584"/>
      <c r="J916" s="1584"/>
      <c r="K916" s="1584"/>
      <c r="L916" s="1584"/>
      <c r="M916" s="1584"/>
      <c r="N916" s="1584"/>
      <c r="O916" s="1584"/>
      <c r="P916" s="1584"/>
      <c r="Q916" s="1584"/>
      <c r="R916" s="1584"/>
      <c r="S916" s="1584"/>
      <c r="T916" s="1585"/>
      <c r="U916" s="1583"/>
      <c r="V916" s="1584"/>
      <c r="W916" s="1584"/>
      <c r="X916" s="1584"/>
      <c r="Y916" s="1584"/>
      <c r="Z916" s="1584"/>
      <c r="AA916" s="44"/>
      <c r="AB916" s="4"/>
      <c r="AC916" s="4"/>
      <c r="AD916" s="4"/>
      <c r="AE916" s="4"/>
      <c r="AF916" s="107"/>
      <c r="AZ916" s="34"/>
      <c r="BA916" s="34"/>
      <c r="BB916" s="34"/>
      <c r="BC916" s="34"/>
    </row>
    <row r="917" spans="1:58" ht="12.95" customHeight="1">
      <c r="B917" s="2"/>
      <c r="F917" s="1586"/>
      <c r="G917" s="1587"/>
      <c r="H917" s="1587"/>
      <c r="I917" s="1587"/>
      <c r="J917" s="1587"/>
      <c r="K917" s="1587"/>
      <c r="L917" s="1587"/>
      <c r="M917" s="1587"/>
      <c r="N917" s="1587"/>
      <c r="O917" s="1587"/>
      <c r="P917" s="1587"/>
      <c r="Q917" s="1587"/>
      <c r="R917" s="1587"/>
      <c r="S917" s="1587"/>
      <c r="T917" s="1588"/>
      <c r="U917" s="1586"/>
      <c r="V917" s="1587"/>
      <c r="W917" s="1587"/>
      <c r="X917" s="1587"/>
      <c r="Y917" s="1587"/>
      <c r="Z917" s="1587"/>
      <c r="AA917" s="108"/>
      <c r="AB917" s="1643" t="s">
        <v>390</v>
      </c>
      <c r="AC917" s="1643"/>
      <c r="AD917" s="1643"/>
      <c r="AE917" s="1643"/>
      <c r="AF917" s="109"/>
      <c r="AZ917" s="34"/>
      <c r="BA917" s="34"/>
      <c r="BB917" s="34"/>
      <c r="BC917" s="34"/>
    </row>
    <row r="918" spans="1:58" ht="12.95" customHeight="1">
      <c r="B918" s="2"/>
      <c r="F918" s="45" t="s">
        <v>758</v>
      </c>
      <c r="G918" s="48"/>
      <c r="H918" s="48"/>
      <c r="I918" s="48"/>
      <c r="J918" s="48"/>
      <c r="K918" s="48"/>
      <c r="L918" s="48"/>
      <c r="M918" s="48"/>
      <c r="N918" s="48"/>
      <c r="O918" s="48"/>
      <c r="P918" s="48"/>
      <c r="Q918" s="48"/>
      <c r="R918" s="48"/>
      <c r="S918" s="48"/>
      <c r="T918" s="49"/>
      <c r="U918" s="1367" t="s">
        <v>591</v>
      </c>
      <c r="V918" s="1368"/>
      <c r="W918" s="1368"/>
      <c r="X918" s="1368"/>
      <c r="Y918" s="1368"/>
      <c r="Z918" s="1369"/>
      <c r="AA918" s="1376">
        <f>AM554+AM555</f>
        <v>48895259.039999999</v>
      </c>
      <c r="AB918" s="1377"/>
      <c r="AC918" s="1377"/>
      <c r="AD918" s="1377"/>
      <c r="AE918" s="1377"/>
      <c r="AF918" s="1378"/>
      <c r="AZ918" s="34"/>
      <c r="BA918" s="34"/>
      <c r="BB918" s="34"/>
      <c r="BC918" s="34"/>
    </row>
    <row r="919" spans="1:58" ht="12.95" customHeight="1">
      <c r="B919" s="2"/>
      <c r="F919" s="66" t="s">
        <v>675</v>
      </c>
      <c r="G919" s="48"/>
      <c r="H919" s="48"/>
      <c r="I919" s="48"/>
      <c r="J919" s="48"/>
      <c r="K919" s="48"/>
      <c r="L919" s="48"/>
      <c r="M919" s="48"/>
      <c r="N919" s="48"/>
      <c r="O919" s="48"/>
      <c r="P919" s="48"/>
      <c r="Q919" s="48"/>
      <c r="R919" s="48"/>
      <c r="S919" s="48"/>
      <c r="T919" s="49"/>
      <c r="U919" s="1367" t="s">
        <v>591</v>
      </c>
      <c r="V919" s="1368"/>
      <c r="W919" s="1368"/>
      <c r="X919" s="1368"/>
      <c r="Y919" s="1368"/>
      <c r="Z919" s="1369"/>
      <c r="AA919" s="1376"/>
      <c r="AB919" s="1377"/>
      <c r="AC919" s="1377"/>
      <c r="AD919" s="1377"/>
      <c r="AE919" s="1377"/>
      <c r="AF919" s="1378"/>
      <c r="AZ919" s="34"/>
      <c r="BA919" s="34"/>
      <c r="BB919" s="34"/>
      <c r="BC919" s="34"/>
    </row>
    <row r="920" spans="1:58" ht="12.95" customHeight="1">
      <c r="F920" s="45" t="s">
        <v>801</v>
      </c>
      <c r="G920" s="5"/>
      <c r="H920" s="5"/>
      <c r="I920" s="5"/>
      <c r="J920" s="5"/>
      <c r="K920" s="5"/>
      <c r="L920" s="5"/>
      <c r="M920" s="5"/>
      <c r="N920" s="5"/>
      <c r="O920" s="5"/>
      <c r="P920" s="5"/>
      <c r="Q920" s="5"/>
      <c r="R920" s="5"/>
      <c r="S920" s="5"/>
      <c r="T920" s="46"/>
      <c r="U920" s="1367" t="s">
        <v>591</v>
      </c>
      <c r="V920" s="1368"/>
      <c r="W920" s="1368"/>
      <c r="X920" s="1368"/>
      <c r="Y920" s="1368"/>
      <c r="Z920" s="1369"/>
      <c r="AA920" s="1376"/>
      <c r="AB920" s="1377"/>
      <c r="AC920" s="1377"/>
      <c r="AD920" s="1377"/>
      <c r="AE920" s="1377"/>
      <c r="AF920" s="1378"/>
      <c r="AZ920" s="34"/>
      <c r="BA920" s="34"/>
      <c r="BB920" s="34"/>
      <c r="BC920" s="34"/>
    </row>
    <row r="921" spans="1:58" ht="12.95" customHeight="1">
      <c r="F921" s="45" t="s">
        <v>678</v>
      </c>
      <c r="G921" s="5"/>
      <c r="H921" s="5"/>
      <c r="I921" s="5"/>
      <c r="J921" s="5"/>
      <c r="K921" s="5"/>
      <c r="L921" s="5"/>
      <c r="M921" s="5"/>
      <c r="N921" s="5"/>
      <c r="O921" s="5"/>
      <c r="P921" s="5"/>
      <c r="Q921" s="5"/>
      <c r="R921" s="5"/>
      <c r="S921" s="5"/>
      <c r="T921" s="46"/>
      <c r="U921" s="1367" t="s">
        <v>591</v>
      </c>
      <c r="V921" s="1368"/>
      <c r="W921" s="1368"/>
      <c r="X921" s="1368"/>
      <c r="Y921" s="1368"/>
      <c r="Z921" s="1369"/>
      <c r="AA921" s="1376"/>
      <c r="AB921" s="1377"/>
      <c r="AC921" s="1377"/>
      <c r="AD921" s="1377"/>
      <c r="AE921" s="1377"/>
      <c r="AF921" s="1378"/>
      <c r="AZ921" s="34"/>
      <c r="BA921" s="34"/>
      <c r="BB921" s="34"/>
      <c r="BC921" s="34"/>
    </row>
    <row r="922" spans="1:58" ht="12.95" customHeight="1">
      <c r="F922" s="66" t="s">
        <v>786</v>
      </c>
      <c r="G922" s="5"/>
      <c r="H922" s="5"/>
      <c r="I922" s="5"/>
      <c r="J922" s="5"/>
      <c r="K922" s="5"/>
      <c r="L922" s="5"/>
      <c r="M922" s="5"/>
      <c r="N922" s="5"/>
      <c r="O922" s="5"/>
      <c r="P922" s="5"/>
      <c r="Q922" s="5"/>
      <c r="R922" s="5"/>
      <c r="S922" s="5"/>
      <c r="T922" s="46"/>
      <c r="U922" s="1367" t="s">
        <v>591</v>
      </c>
      <c r="V922" s="1368"/>
      <c r="W922" s="1368"/>
      <c r="X922" s="1368"/>
      <c r="Y922" s="1368"/>
      <c r="Z922" s="1369"/>
      <c r="AA922" s="1376"/>
      <c r="AB922" s="1377"/>
      <c r="AC922" s="1377"/>
      <c r="AD922" s="1377"/>
      <c r="AE922" s="1377"/>
      <c r="AF922" s="1378"/>
      <c r="AZ922" s="34"/>
      <c r="BA922" s="34"/>
      <c r="BB922" s="34"/>
      <c r="BC922" s="34"/>
    </row>
    <row r="923" spans="1:58" ht="12.95" customHeight="1">
      <c r="F923" s="66" t="s">
        <v>787</v>
      </c>
      <c r="G923" s="5"/>
      <c r="H923" s="5"/>
      <c r="I923" s="5"/>
      <c r="J923" s="5"/>
      <c r="K923" s="5"/>
      <c r="L923" s="5"/>
      <c r="M923" s="5"/>
      <c r="N923" s="5"/>
      <c r="O923" s="5"/>
      <c r="P923" s="5"/>
      <c r="Q923" s="5"/>
      <c r="R923" s="5"/>
      <c r="S923" s="5"/>
      <c r="T923" s="46"/>
      <c r="U923" s="1367" t="s">
        <v>591</v>
      </c>
      <c r="V923" s="1368"/>
      <c r="W923" s="1368"/>
      <c r="X923" s="1368"/>
      <c r="Y923" s="1368"/>
      <c r="Z923" s="1369"/>
      <c r="AA923" s="1376"/>
      <c r="AB923" s="1377"/>
      <c r="AC923" s="1377"/>
      <c r="AD923" s="1377"/>
      <c r="AE923" s="1377"/>
      <c r="AF923" s="1378"/>
      <c r="AZ923" s="34"/>
      <c r="BA923" s="34"/>
      <c r="BB923" s="34"/>
      <c r="BC923" s="34"/>
    </row>
    <row r="924" spans="1:58" ht="12.95" customHeight="1">
      <c r="F924" s="66" t="s">
        <v>788</v>
      </c>
      <c r="G924" s="5"/>
      <c r="H924" s="5"/>
      <c r="I924" s="5"/>
      <c r="J924" s="5"/>
      <c r="K924" s="5"/>
      <c r="L924" s="5"/>
      <c r="M924" s="5"/>
      <c r="N924" s="5"/>
      <c r="O924" s="5"/>
      <c r="P924" s="5"/>
      <c r="Q924" s="5"/>
      <c r="R924" s="5"/>
      <c r="S924" s="5"/>
      <c r="T924" s="46"/>
      <c r="U924" s="1367" t="s">
        <v>591</v>
      </c>
      <c r="V924" s="1368"/>
      <c r="W924" s="1368"/>
      <c r="X924" s="1368"/>
      <c r="Y924" s="1368"/>
      <c r="Z924" s="1369"/>
      <c r="AA924" s="1376"/>
      <c r="AB924" s="1377"/>
      <c r="AC924" s="1377"/>
      <c r="AD924" s="1377"/>
      <c r="AE924" s="1377"/>
      <c r="AF924" s="1378"/>
      <c r="AZ924" s="34"/>
      <c r="BA924" s="34"/>
      <c r="BB924" s="34"/>
      <c r="BC924" s="34"/>
    </row>
    <row r="925" spans="1:58" ht="12.95" customHeight="1">
      <c r="F925" s="45" t="s">
        <v>677</v>
      </c>
      <c r="G925" s="5"/>
      <c r="H925" s="5"/>
      <c r="I925" s="5"/>
      <c r="J925" s="5"/>
      <c r="K925" s="5"/>
      <c r="L925" s="5"/>
      <c r="M925" s="5"/>
      <c r="N925" s="5"/>
      <c r="O925" s="5"/>
      <c r="P925" s="5"/>
      <c r="Q925" s="5"/>
      <c r="R925" s="5"/>
      <c r="S925" s="5"/>
      <c r="T925" s="46"/>
      <c r="U925" s="1367" t="s">
        <v>591</v>
      </c>
      <c r="V925" s="1368"/>
      <c r="W925" s="1368"/>
      <c r="X925" s="1368"/>
      <c r="Y925" s="1368"/>
      <c r="Z925" s="1369"/>
      <c r="AA925" s="1376"/>
      <c r="AB925" s="1377"/>
      <c r="AC925" s="1377"/>
      <c r="AD925" s="1377"/>
      <c r="AE925" s="1377"/>
      <c r="AF925" s="1378"/>
      <c r="AZ925" s="34"/>
      <c r="BA925" s="34"/>
      <c r="BB925" s="34"/>
      <c r="BC925" s="34"/>
    </row>
    <row r="926" spans="1:58" ht="12.95" customHeight="1">
      <c r="F926" s="1589" t="s">
        <v>2193</v>
      </c>
      <c r="G926" s="1590"/>
      <c r="H926" s="1590"/>
      <c r="I926" s="1590"/>
      <c r="J926" s="1590"/>
      <c r="K926" s="1590"/>
      <c r="L926" s="1590"/>
      <c r="M926" s="1590"/>
      <c r="N926" s="1590"/>
      <c r="O926" s="1590"/>
      <c r="P926" s="1590"/>
      <c r="Q926" s="1590"/>
      <c r="R926" s="1590"/>
      <c r="S926" s="1590"/>
      <c r="T926" s="1591"/>
      <c r="U926" s="1367" t="s">
        <v>591</v>
      </c>
      <c r="V926" s="1368"/>
      <c r="W926" s="1368"/>
      <c r="X926" s="1368"/>
      <c r="Y926" s="1368"/>
      <c r="Z926" s="1369"/>
      <c r="AA926" s="1376"/>
      <c r="AB926" s="1377"/>
      <c r="AC926" s="1377"/>
      <c r="AD926" s="1377"/>
      <c r="AE926" s="1377"/>
      <c r="AF926" s="1378"/>
      <c r="AZ926" s="34"/>
      <c r="BA926" s="34"/>
      <c r="BB926" s="34"/>
      <c r="BC926" s="34"/>
    </row>
    <row r="927" spans="1:58" ht="12.95" customHeight="1">
      <c r="F927" s="1589" t="s">
        <v>679</v>
      </c>
      <c r="G927" s="1590"/>
      <c r="H927" s="1590"/>
      <c r="I927" s="1590"/>
      <c r="J927" s="1590"/>
      <c r="K927" s="1590"/>
      <c r="L927" s="1590"/>
      <c r="M927" s="1590"/>
      <c r="N927" s="1590"/>
      <c r="O927" s="1590"/>
      <c r="P927" s="1590"/>
      <c r="Q927" s="1590"/>
      <c r="R927" s="1590"/>
      <c r="S927" s="1590"/>
      <c r="T927" s="1591"/>
      <c r="U927" s="1367" t="s">
        <v>591</v>
      </c>
      <c r="V927" s="1368"/>
      <c r="W927" s="1368"/>
      <c r="X927" s="1368"/>
      <c r="Y927" s="1368"/>
      <c r="Z927" s="1369"/>
      <c r="AA927" s="1376"/>
      <c r="AB927" s="1377"/>
      <c r="AC927" s="1377"/>
      <c r="AD927" s="1377"/>
      <c r="AE927" s="1377"/>
      <c r="AF927" s="1378"/>
      <c r="AU927" s="2"/>
      <c r="AZ927" s="34"/>
      <c r="BA927" s="34"/>
      <c r="BB927" s="34"/>
      <c r="BC927" s="34"/>
    </row>
    <row r="928" spans="1:58" ht="12.95" customHeight="1">
      <c r="F928" s="1589" t="s">
        <v>2194</v>
      </c>
      <c r="G928" s="1590"/>
      <c r="H928" s="1590"/>
      <c r="I928" s="1590"/>
      <c r="J928" s="1590"/>
      <c r="K928" s="1590"/>
      <c r="L928" s="1590"/>
      <c r="M928" s="1590"/>
      <c r="N928" s="1590"/>
      <c r="O928" s="1590"/>
      <c r="P928" s="1590"/>
      <c r="Q928" s="1590"/>
      <c r="R928" s="1590"/>
      <c r="S928" s="1590"/>
      <c r="T928" s="1591"/>
      <c r="U928" s="1367" t="s">
        <v>591</v>
      </c>
      <c r="V928" s="1368"/>
      <c r="W928" s="1368"/>
      <c r="X928" s="1368"/>
      <c r="Y928" s="1368"/>
      <c r="Z928" s="1369"/>
      <c r="AA928" s="1376"/>
      <c r="AB928" s="1377"/>
      <c r="AC928" s="1377"/>
      <c r="AD928" s="1377"/>
      <c r="AE928" s="1377"/>
      <c r="AF928" s="1378"/>
      <c r="AU928" s="2"/>
      <c r="AZ928" s="34"/>
      <c r="BA928" s="34"/>
      <c r="BB928" s="34"/>
      <c r="BC928" s="34"/>
    </row>
    <row r="929" spans="6:55" ht="12.95" customHeight="1">
      <c r="F929" s="1589" t="s">
        <v>2195</v>
      </c>
      <c r="G929" s="1590"/>
      <c r="H929" s="1590"/>
      <c r="I929" s="1590"/>
      <c r="J929" s="1590"/>
      <c r="K929" s="1590"/>
      <c r="L929" s="1590"/>
      <c r="M929" s="1590"/>
      <c r="N929" s="1590"/>
      <c r="O929" s="1590"/>
      <c r="P929" s="1590"/>
      <c r="Q929" s="1590"/>
      <c r="R929" s="1590"/>
      <c r="S929" s="1590"/>
      <c r="T929" s="1591"/>
      <c r="U929" s="1367" t="s">
        <v>591</v>
      </c>
      <c r="V929" s="1368"/>
      <c r="W929" s="1368"/>
      <c r="X929" s="1368"/>
      <c r="Y929" s="1368"/>
      <c r="Z929" s="1369"/>
      <c r="AA929" s="1376"/>
      <c r="AB929" s="1377"/>
      <c r="AC929" s="1377"/>
      <c r="AD929" s="1377"/>
      <c r="AE929" s="1377"/>
      <c r="AF929" s="1378"/>
      <c r="AU929" s="2"/>
      <c r="AZ929" s="34"/>
      <c r="BA929" s="34"/>
      <c r="BB929" s="34"/>
      <c r="BC929" s="34"/>
    </row>
    <row r="930" spans="6:55" ht="12.95" customHeight="1">
      <c r="F930" s="1589" t="s">
        <v>2196</v>
      </c>
      <c r="G930" s="1590"/>
      <c r="H930" s="1590"/>
      <c r="I930" s="1590"/>
      <c r="J930" s="1590"/>
      <c r="K930" s="1590"/>
      <c r="L930" s="1590"/>
      <c r="M930" s="1590"/>
      <c r="N930" s="1590"/>
      <c r="O930" s="1590"/>
      <c r="P930" s="1590"/>
      <c r="Q930" s="1590"/>
      <c r="R930" s="1590"/>
      <c r="S930" s="1590"/>
      <c r="T930" s="1591"/>
      <c r="U930" s="1367" t="s">
        <v>591</v>
      </c>
      <c r="V930" s="1368"/>
      <c r="W930" s="1368"/>
      <c r="X930" s="1368"/>
      <c r="Y930" s="1368"/>
      <c r="Z930" s="1369"/>
      <c r="AA930" s="1376"/>
      <c r="AB930" s="1377"/>
      <c r="AC930" s="1377"/>
      <c r="AD930" s="1377"/>
      <c r="AE930" s="1377"/>
      <c r="AF930" s="1378"/>
      <c r="AU930" s="2"/>
      <c r="AZ930" s="34"/>
      <c r="BA930" s="34"/>
      <c r="BB930" s="34"/>
      <c r="BC930" s="34"/>
    </row>
    <row r="931" spans="6:55" ht="12.95" customHeight="1">
      <c r="F931" s="1589" t="s">
        <v>2197</v>
      </c>
      <c r="G931" s="1590"/>
      <c r="H931" s="1590"/>
      <c r="I931" s="1590"/>
      <c r="J931" s="1590"/>
      <c r="K931" s="1590"/>
      <c r="L931" s="1590"/>
      <c r="M931" s="1590"/>
      <c r="N931" s="1590"/>
      <c r="O931" s="1590"/>
      <c r="P931" s="1590"/>
      <c r="Q931" s="1590"/>
      <c r="R931" s="1590"/>
      <c r="S931" s="1590"/>
      <c r="T931" s="1591"/>
      <c r="U931" s="1367" t="s">
        <v>591</v>
      </c>
      <c r="V931" s="1368"/>
      <c r="W931" s="1368"/>
      <c r="X931" s="1368"/>
      <c r="Y931" s="1368"/>
      <c r="Z931" s="1369"/>
      <c r="AA931" s="1376"/>
      <c r="AB931" s="1377"/>
      <c r="AC931" s="1377"/>
      <c r="AD931" s="1377"/>
      <c r="AE931" s="1377"/>
      <c r="AF931" s="1378"/>
      <c r="AU931" s="2"/>
      <c r="AZ931" s="34"/>
      <c r="BA931" s="34"/>
      <c r="BB931" s="34"/>
      <c r="BC931" s="34"/>
    </row>
    <row r="932" spans="6:55" ht="12.95" customHeight="1">
      <c r="F932" s="1589" t="s">
        <v>2198</v>
      </c>
      <c r="G932" s="1590"/>
      <c r="H932" s="1590"/>
      <c r="I932" s="1590"/>
      <c r="J932" s="1590"/>
      <c r="K932" s="1590"/>
      <c r="L932" s="1590"/>
      <c r="M932" s="1590"/>
      <c r="N932" s="1590"/>
      <c r="O932" s="1590"/>
      <c r="P932" s="1590"/>
      <c r="Q932" s="1590"/>
      <c r="R932" s="1590"/>
      <c r="S932" s="1590"/>
      <c r="T932" s="1591"/>
      <c r="U932" s="1367" t="s">
        <v>591</v>
      </c>
      <c r="V932" s="1368"/>
      <c r="W932" s="1368"/>
      <c r="X932" s="1368"/>
      <c r="Y932" s="1368"/>
      <c r="Z932" s="1369"/>
      <c r="AA932" s="1376"/>
      <c r="AB932" s="1377"/>
      <c r="AC932" s="1377"/>
      <c r="AD932" s="1377"/>
      <c r="AE932" s="1377"/>
      <c r="AF932" s="1378"/>
      <c r="AZ932" s="30"/>
      <c r="BA932" s="30"/>
    </row>
    <row r="933" spans="6:55" ht="12.95" customHeight="1">
      <c r="F933" s="178" t="s">
        <v>676</v>
      </c>
      <c r="G933" s="5"/>
      <c r="H933" s="5"/>
      <c r="I933" s="5"/>
      <c r="J933" s="5"/>
      <c r="K933" s="5"/>
      <c r="L933" s="5"/>
      <c r="M933" s="5"/>
      <c r="N933" s="5"/>
      <c r="O933" s="5"/>
      <c r="P933" s="5"/>
      <c r="Q933" s="5"/>
      <c r="R933" s="5"/>
      <c r="S933" s="5"/>
      <c r="T933" s="46"/>
      <c r="U933" s="1367" t="s">
        <v>591</v>
      </c>
      <c r="V933" s="1368"/>
      <c r="W933" s="1368"/>
      <c r="X933" s="1368"/>
      <c r="Y933" s="1368"/>
      <c r="Z933" s="1369"/>
      <c r="AA933" s="1376"/>
      <c r="AB933" s="1377"/>
      <c r="AC933" s="1377"/>
      <c r="AD933" s="1377"/>
      <c r="AE933" s="1377"/>
      <c r="AF933" s="1378"/>
    </row>
    <row r="934" spans="6:55" ht="12.95" customHeight="1">
      <c r="F934" s="121" t="s">
        <v>1276</v>
      </c>
      <c r="G934" s="5"/>
      <c r="H934" s="5"/>
      <c r="I934" s="5"/>
      <c r="J934" s="5"/>
      <c r="K934" s="5"/>
      <c r="L934" s="5"/>
      <c r="M934" s="5"/>
      <c r="N934" s="5"/>
      <c r="O934" s="5"/>
      <c r="P934" s="5"/>
      <c r="Q934" s="5"/>
      <c r="R934" s="5"/>
      <c r="S934" s="5"/>
      <c r="T934" s="46"/>
      <c r="U934" s="1367" t="s">
        <v>591</v>
      </c>
      <c r="V934" s="1368"/>
      <c r="W934" s="1368"/>
      <c r="X934" s="1368"/>
      <c r="Y934" s="1368"/>
      <c r="Z934" s="1369"/>
      <c r="AA934" s="1376"/>
      <c r="AB934" s="1377"/>
      <c r="AC934" s="1377"/>
      <c r="AD934" s="1377"/>
      <c r="AE934" s="1377"/>
      <c r="AF934" s="1378"/>
      <c r="AZ934" s="30"/>
      <c r="BA934" s="14"/>
    </row>
    <row r="935" spans="6:55" ht="12.95" customHeight="1">
      <c r="F935" s="66" t="s">
        <v>802</v>
      </c>
      <c r="G935" s="5"/>
      <c r="H935" s="5"/>
      <c r="I935" s="5"/>
      <c r="J935" s="5"/>
      <c r="K935" s="5"/>
      <c r="L935" s="5"/>
      <c r="M935" s="5"/>
      <c r="N935" s="5"/>
      <c r="O935" s="5"/>
      <c r="P935" s="5"/>
      <c r="Q935" s="5"/>
      <c r="R935" s="5"/>
      <c r="S935" s="5"/>
      <c r="T935" s="46"/>
      <c r="U935" s="1367" t="s">
        <v>591</v>
      </c>
      <c r="V935" s="1368"/>
      <c r="W935" s="1368"/>
      <c r="X935" s="1368"/>
      <c r="Y935" s="1368"/>
      <c r="Z935" s="1369"/>
      <c r="AA935" s="1376"/>
      <c r="AB935" s="1377"/>
      <c r="AC935" s="1377"/>
      <c r="AD935" s="1377"/>
      <c r="AE935" s="1377"/>
      <c r="AF935" s="1378"/>
      <c r="AZ935" s="30"/>
      <c r="BA935" s="14"/>
    </row>
    <row r="936" spans="6:55" ht="12.95" customHeight="1">
      <c r="F936" s="1654" t="s">
        <v>2202</v>
      </c>
      <c r="G936" s="1655"/>
      <c r="H936" s="1655"/>
      <c r="I936" s="1655"/>
      <c r="J936" s="1655"/>
      <c r="K936" s="1655"/>
      <c r="L936" s="1655"/>
      <c r="M936" s="1655"/>
      <c r="N936" s="1655"/>
      <c r="O936" s="1655"/>
      <c r="P936" s="1655"/>
      <c r="Q936" s="1655"/>
      <c r="R936" s="1655"/>
      <c r="S936" s="1655"/>
      <c r="T936" s="1656"/>
      <c r="U936" s="1367" t="s">
        <v>591</v>
      </c>
      <c r="V936" s="1368"/>
      <c r="W936" s="1368"/>
      <c r="X936" s="1368"/>
      <c r="Y936" s="1368"/>
      <c r="Z936" s="1369"/>
      <c r="AA936" s="1376"/>
      <c r="AB936" s="1377"/>
      <c r="AC936" s="1377"/>
      <c r="AD936" s="1377"/>
      <c r="AE936" s="1377"/>
      <c r="AF936" s="1378"/>
      <c r="AZ936" s="30"/>
      <c r="BA936" s="14"/>
    </row>
    <row r="937" spans="6:55" ht="12.95" customHeight="1">
      <c r="F937" s="1654" t="s">
        <v>2203</v>
      </c>
      <c r="G937" s="1655"/>
      <c r="H937" s="1655"/>
      <c r="I937" s="1655"/>
      <c r="J937" s="1655"/>
      <c r="K937" s="1655"/>
      <c r="L937" s="1655"/>
      <c r="M937" s="1655"/>
      <c r="N937" s="1655"/>
      <c r="O937" s="1655"/>
      <c r="P937" s="1655"/>
      <c r="Q937" s="1655"/>
      <c r="R937" s="1655"/>
      <c r="S937" s="1655"/>
      <c r="T937" s="1656"/>
      <c r="U937" s="1367" t="s">
        <v>591</v>
      </c>
      <c r="V937" s="1368"/>
      <c r="W937" s="1368"/>
      <c r="X937" s="1368"/>
      <c r="Y937" s="1368"/>
      <c r="Z937" s="1369"/>
      <c r="AA937" s="1376"/>
      <c r="AB937" s="1377"/>
      <c r="AC937" s="1377"/>
      <c r="AD937" s="1377"/>
      <c r="AE937" s="1377"/>
      <c r="AF937" s="1378"/>
      <c r="AZ937" s="30"/>
      <c r="BA937" s="30"/>
    </row>
    <row r="938" spans="6:55" ht="12.95" customHeight="1">
      <c r="F938" s="1589" t="s">
        <v>2199</v>
      </c>
      <c r="G938" s="1590"/>
      <c r="H938" s="1590"/>
      <c r="I938" s="1590"/>
      <c r="J938" s="1590"/>
      <c r="K938" s="1590"/>
      <c r="L938" s="1590"/>
      <c r="M938" s="1590"/>
      <c r="N938" s="1590"/>
      <c r="O938" s="1590"/>
      <c r="P938" s="1590"/>
      <c r="Q938" s="1590"/>
      <c r="R938" s="1590"/>
      <c r="S938" s="1590"/>
      <c r="T938" s="1591"/>
      <c r="U938" s="1367" t="s">
        <v>591</v>
      </c>
      <c r="V938" s="1368"/>
      <c r="W938" s="1368"/>
      <c r="X938" s="1368"/>
      <c r="Y938" s="1368"/>
      <c r="Z938" s="1369"/>
      <c r="AA938" s="1376"/>
      <c r="AB938" s="1377"/>
      <c r="AC938" s="1377"/>
      <c r="AD938" s="1377"/>
      <c r="AE938" s="1377"/>
      <c r="AF938" s="1378"/>
      <c r="AZ938" s="30"/>
      <c r="BA938" s="30"/>
    </row>
    <row r="939" spans="6:55" ht="12.95" customHeight="1">
      <c r="F939" s="1589" t="s">
        <v>2200</v>
      </c>
      <c r="G939" s="1590"/>
      <c r="H939" s="1590"/>
      <c r="I939" s="1590"/>
      <c r="J939" s="1590"/>
      <c r="K939" s="1590"/>
      <c r="L939" s="1590"/>
      <c r="M939" s="1590"/>
      <c r="N939" s="1590"/>
      <c r="O939" s="1590"/>
      <c r="P939" s="1590"/>
      <c r="Q939" s="1590"/>
      <c r="R939" s="1590"/>
      <c r="S939" s="1590"/>
      <c r="T939" s="1591"/>
      <c r="U939" s="1367" t="s">
        <v>591</v>
      </c>
      <c r="V939" s="1368"/>
      <c r="W939" s="1368"/>
      <c r="X939" s="1368"/>
      <c r="Y939" s="1368"/>
      <c r="Z939" s="1369"/>
      <c r="AA939" s="1376"/>
      <c r="AB939" s="1377"/>
      <c r="AC939" s="1377"/>
      <c r="AD939" s="1377"/>
      <c r="AE939" s="1377"/>
      <c r="AF939" s="1378"/>
      <c r="AZ939" s="30"/>
      <c r="BA939" s="30"/>
    </row>
    <row r="940" spans="6:55" ht="12.95" customHeight="1">
      <c r="F940" s="1589" t="s">
        <v>2201</v>
      </c>
      <c r="G940" s="1590"/>
      <c r="H940" s="1590"/>
      <c r="I940" s="1590"/>
      <c r="J940" s="1590"/>
      <c r="K940" s="1590"/>
      <c r="L940" s="1590"/>
      <c r="M940" s="1590"/>
      <c r="N940" s="1590"/>
      <c r="O940" s="1590"/>
      <c r="P940" s="1590"/>
      <c r="Q940" s="1590"/>
      <c r="R940" s="1590"/>
      <c r="S940" s="1590"/>
      <c r="T940" s="1591"/>
      <c r="U940" s="1367" t="s">
        <v>591</v>
      </c>
      <c r="V940" s="1368"/>
      <c r="W940" s="1368"/>
      <c r="X940" s="1368"/>
      <c r="Y940" s="1368"/>
      <c r="Z940" s="1369"/>
      <c r="AA940" s="1376"/>
      <c r="AB940" s="1377"/>
      <c r="AC940" s="1377"/>
      <c r="AD940" s="1377"/>
      <c r="AE940" s="1377"/>
      <c r="AF940" s="1378"/>
      <c r="AZ940" s="34"/>
      <c r="BA940" s="34"/>
      <c r="BB940" s="14"/>
      <c r="BC940" s="14"/>
    </row>
    <row r="941" spans="6:55" ht="12.95" customHeight="1">
      <c r="F941" s="121" t="s">
        <v>1260</v>
      </c>
      <c r="G941" s="5"/>
      <c r="H941" s="5"/>
      <c r="I941" s="5"/>
      <c r="J941" s="5"/>
      <c r="K941" s="5"/>
      <c r="L941" s="5"/>
      <c r="M941" s="5"/>
      <c r="N941" s="5"/>
      <c r="O941" s="5"/>
      <c r="P941" s="5"/>
      <c r="Q941" s="5"/>
      <c r="R941" s="5"/>
      <c r="S941" s="5"/>
      <c r="T941" s="46"/>
      <c r="U941" s="1367" t="s">
        <v>591</v>
      </c>
      <c r="V941" s="1368"/>
      <c r="W941" s="1368"/>
      <c r="X941" s="1368"/>
      <c r="Y941" s="1368"/>
      <c r="Z941" s="1369"/>
      <c r="AA941" s="1376"/>
      <c r="AB941" s="1377"/>
      <c r="AC941" s="1377"/>
      <c r="AD941" s="1377"/>
      <c r="AE941" s="1377"/>
      <c r="AF941" s="1378"/>
      <c r="AZ941" s="34"/>
      <c r="BA941" s="34"/>
      <c r="BB941" s="14"/>
      <c r="BC941" s="14"/>
    </row>
    <row r="942" spans="6:55" ht="12.95" customHeight="1">
      <c r="F942" s="1654" t="s">
        <v>2204</v>
      </c>
      <c r="G942" s="1655"/>
      <c r="H942" s="1655"/>
      <c r="I942" s="1655"/>
      <c r="J942" s="1655"/>
      <c r="K942" s="1655"/>
      <c r="L942" s="1655"/>
      <c r="M942" s="1655"/>
      <c r="N942" s="1655"/>
      <c r="O942" s="1655"/>
      <c r="P942" s="1655"/>
      <c r="Q942" s="1655"/>
      <c r="R942" s="1655"/>
      <c r="S942" s="1655"/>
      <c r="T942" s="1656"/>
      <c r="U942" s="1367" t="s">
        <v>591</v>
      </c>
      <c r="V942" s="1368"/>
      <c r="W942" s="1368"/>
      <c r="X942" s="1368"/>
      <c r="Y942" s="1368"/>
      <c r="Z942" s="1369"/>
      <c r="AA942" s="1376"/>
      <c r="AB942" s="1377"/>
      <c r="AC942" s="1377"/>
      <c r="AD942" s="1377"/>
      <c r="AE942" s="1377"/>
      <c r="AF942" s="1378"/>
      <c r="AZ942" s="34"/>
      <c r="BA942" s="34"/>
      <c r="BB942" s="34"/>
      <c r="BC942" s="34"/>
    </row>
    <row r="943" spans="6:55" ht="12.95" customHeight="1">
      <c r="F943" s="121" t="s">
        <v>1261</v>
      </c>
      <c r="G943" s="5"/>
      <c r="H943" s="5"/>
      <c r="I943" s="5"/>
      <c r="J943" s="5"/>
      <c r="K943" s="5"/>
      <c r="L943" s="5"/>
      <c r="M943" s="5"/>
      <c r="N943" s="5"/>
      <c r="O943" s="5"/>
      <c r="P943" s="5"/>
      <c r="Q943" s="5"/>
      <c r="R943" s="5"/>
      <c r="S943" s="5"/>
      <c r="T943" s="46"/>
      <c r="U943" s="1367" t="s">
        <v>591</v>
      </c>
      <c r="V943" s="1368"/>
      <c r="W943" s="1368"/>
      <c r="X943" s="1368"/>
      <c r="Y943" s="1368"/>
      <c r="Z943" s="1369"/>
      <c r="AA943" s="1376"/>
      <c r="AB943" s="1377"/>
      <c r="AC943" s="1377"/>
      <c r="AD943" s="1377"/>
      <c r="AE943" s="1377"/>
      <c r="AF943" s="1378"/>
      <c r="AZ943" s="34"/>
      <c r="BA943" s="34"/>
      <c r="BB943" s="34"/>
      <c r="BC943" s="34"/>
    </row>
    <row r="944" spans="6:55" ht="12.95" customHeight="1">
      <c r="F944" s="1654" t="s">
        <v>2205</v>
      </c>
      <c r="G944" s="1655"/>
      <c r="H944" s="1655"/>
      <c r="I944" s="1655"/>
      <c r="J944" s="1655"/>
      <c r="K944" s="1655"/>
      <c r="L944" s="1655"/>
      <c r="M944" s="1655"/>
      <c r="N944" s="1655"/>
      <c r="O944" s="1655"/>
      <c r="P944" s="1655"/>
      <c r="Q944" s="1655"/>
      <c r="R944" s="1655"/>
      <c r="S944" s="1655"/>
      <c r="T944" s="1656"/>
      <c r="U944" s="1367" t="s">
        <v>591</v>
      </c>
      <c r="V944" s="1368"/>
      <c r="W944" s="1368"/>
      <c r="X944" s="1368"/>
      <c r="Y944" s="1368"/>
      <c r="Z944" s="1369"/>
      <c r="AA944" s="1376"/>
      <c r="AB944" s="1377"/>
      <c r="AC944" s="1377"/>
      <c r="AD944" s="1377"/>
      <c r="AE944" s="1377"/>
      <c r="AF944" s="1378"/>
      <c r="AZ944" s="34"/>
      <c r="BA944" s="34"/>
      <c r="BB944" s="34"/>
      <c r="BC944" s="34"/>
    </row>
    <row r="945" spans="1:55" ht="12.95" customHeight="1">
      <c r="F945" s="45" t="s">
        <v>806</v>
      </c>
      <c r="G945" s="5"/>
      <c r="H945" s="5"/>
      <c r="I945" s="5"/>
      <c r="J945" s="5"/>
      <c r="K945" s="5"/>
      <c r="L945" s="5"/>
      <c r="M945" s="5"/>
      <c r="N945" s="5"/>
      <c r="O945" s="5"/>
      <c r="P945" s="1367" t="s">
        <v>669</v>
      </c>
      <c r="Q945" s="1368"/>
      <c r="R945" s="1368"/>
      <c r="S945" s="1368"/>
      <c r="T945" s="1369"/>
      <c r="U945" s="1367" t="s">
        <v>591</v>
      </c>
      <c r="V945" s="1368"/>
      <c r="W945" s="1368"/>
      <c r="X945" s="1368"/>
      <c r="Y945" s="1368"/>
      <c r="Z945" s="1369"/>
      <c r="AA945" s="1376"/>
      <c r="AB945" s="1377"/>
      <c r="AC945" s="1377"/>
      <c r="AD945" s="1377"/>
      <c r="AE945" s="1377"/>
      <c r="AF945" s="1378"/>
      <c r="AZ945" s="34"/>
      <c r="BA945" s="34"/>
      <c r="BB945" s="34"/>
      <c r="BC945" s="34"/>
    </row>
    <row r="946" spans="1:55" ht="12.95" customHeight="1">
      <c r="F946" s="1589" t="s">
        <v>2192</v>
      </c>
      <c r="G946" s="1590"/>
      <c r="H946" s="1591"/>
      <c r="I946" s="1577" t="s">
        <v>333</v>
      </c>
      <c r="J946" s="1578"/>
      <c r="K946" s="1578"/>
      <c r="L946" s="1578"/>
      <c r="M946" s="1578"/>
      <c r="N946" s="1578"/>
      <c r="O946" s="1578"/>
      <c r="P946" s="1578"/>
      <c r="Q946" s="1578"/>
      <c r="R946" s="1578"/>
      <c r="S946" s="1578"/>
      <c r="T946" s="1579"/>
      <c r="U946" s="1367" t="s">
        <v>591</v>
      </c>
      <c r="V946" s="1368"/>
      <c r="W946" s="1368"/>
      <c r="X946" s="1368"/>
      <c r="Y946" s="1368"/>
      <c r="Z946" s="1369"/>
      <c r="AA946" s="1376"/>
      <c r="AB946" s="1377"/>
      <c r="AC946" s="1377"/>
      <c r="AD946" s="1377"/>
      <c r="AE946" s="1377"/>
      <c r="AF946" s="1378"/>
      <c r="AZ946" s="34"/>
      <c r="BA946" s="34"/>
      <c r="BB946" s="34"/>
      <c r="BC946" s="34"/>
    </row>
    <row r="947" spans="1:55" ht="12.95" customHeight="1">
      <c r="F947" s="45" t="s">
        <v>86</v>
      </c>
      <c r="G947" s="48"/>
      <c r="H947" s="48"/>
      <c r="I947" s="1577" t="s">
        <v>333</v>
      </c>
      <c r="J947" s="1578"/>
      <c r="K947" s="1578"/>
      <c r="L947" s="1578"/>
      <c r="M947" s="1578"/>
      <c r="N947" s="1578"/>
      <c r="O947" s="1578"/>
      <c r="P947" s="1578"/>
      <c r="Q947" s="1578"/>
      <c r="R947" s="1578"/>
      <c r="S947" s="1578"/>
      <c r="T947" s="1579"/>
      <c r="U947" s="1367" t="s">
        <v>591</v>
      </c>
      <c r="V947" s="1368"/>
      <c r="W947" s="1368"/>
      <c r="X947" s="1368"/>
      <c r="Y947" s="1368"/>
      <c r="Z947" s="1369"/>
      <c r="AA947" s="1376"/>
      <c r="AB947" s="1377"/>
      <c r="AC947" s="1377"/>
      <c r="AD947" s="1377"/>
      <c r="AE947" s="1377"/>
      <c r="AF947" s="1378"/>
      <c r="AZ947" s="34"/>
      <c r="BA947" s="34"/>
      <c r="BB947" s="34"/>
      <c r="BC947" s="34"/>
    </row>
    <row r="948" spans="1:55" ht="12.95" customHeight="1">
      <c r="F948" s="45" t="s">
        <v>10</v>
      </c>
      <c r="G948" s="48"/>
      <c r="H948" s="48"/>
      <c r="I948" s="1547" t="s">
        <v>333</v>
      </c>
      <c r="J948" s="1548"/>
      <c r="K948" s="1548"/>
      <c r="L948" s="1548"/>
      <c r="M948" s="1548"/>
      <c r="N948" s="1548"/>
      <c r="O948" s="1548"/>
      <c r="P948" s="1548"/>
      <c r="Q948" s="1548"/>
      <c r="R948" s="1548"/>
      <c r="S948" s="1548"/>
      <c r="T948" s="1549"/>
      <c r="U948" s="1367" t="s">
        <v>591</v>
      </c>
      <c r="V948" s="1368"/>
      <c r="W948" s="1368"/>
      <c r="X948" s="1368"/>
      <c r="Y948" s="1368"/>
      <c r="Z948" s="1369"/>
      <c r="AA948" s="1376"/>
      <c r="AB948" s="1377"/>
      <c r="AC948" s="1377"/>
      <c r="AD948" s="1377"/>
      <c r="AE948" s="1377"/>
      <c r="AF948" s="1378"/>
      <c r="AV948" s="2"/>
      <c r="AW948" s="2"/>
      <c r="AX948" s="2"/>
      <c r="AY948" s="2"/>
      <c r="AZ948" s="34"/>
      <c r="BA948" s="34"/>
      <c r="BB948" s="34"/>
      <c r="BC948" s="34"/>
    </row>
    <row r="949" spans="1:55" ht="12.95" customHeight="1">
      <c r="F949" s="47" t="s">
        <v>169</v>
      </c>
      <c r="G949" s="48"/>
      <c r="H949" s="48"/>
      <c r="I949" s="1547" t="s">
        <v>333</v>
      </c>
      <c r="J949" s="1548"/>
      <c r="K949" s="1548"/>
      <c r="L949" s="1548"/>
      <c r="M949" s="1548"/>
      <c r="N949" s="1548"/>
      <c r="O949" s="1548"/>
      <c r="P949" s="1548"/>
      <c r="Q949" s="1548"/>
      <c r="R949" s="1548"/>
      <c r="S949" s="1548"/>
      <c r="T949" s="1549"/>
      <c r="U949" s="1367" t="s">
        <v>591</v>
      </c>
      <c r="V949" s="1368"/>
      <c r="W949" s="1368"/>
      <c r="X949" s="1368"/>
      <c r="Y949" s="1368"/>
      <c r="Z949" s="1369"/>
      <c r="AA949" s="1376"/>
      <c r="AB949" s="1377"/>
      <c r="AC949" s="1377"/>
      <c r="AD949" s="1377"/>
      <c r="AE949" s="1377"/>
      <c r="AF949" s="1378"/>
      <c r="AU949" s="2"/>
      <c r="AZ949" s="34"/>
      <c r="BA949" s="34"/>
      <c r="BB949" s="34"/>
      <c r="BC949" s="34"/>
    </row>
    <row r="950" spans="1:55" ht="12.95" customHeight="1">
      <c r="F950" s="47" t="s">
        <v>169</v>
      </c>
      <c r="G950" s="48"/>
      <c r="H950" s="48"/>
      <c r="I950" s="1547" t="s">
        <v>333</v>
      </c>
      <c r="J950" s="1548"/>
      <c r="K950" s="1548"/>
      <c r="L950" s="1548"/>
      <c r="M950" s="1548"/>
      <c r="N950" s="1548"/>
      <c r="O950" s="1548"/>
      <c r="P950" s="1548"/>
      <c r="Q950" s="1548"/>
      <c r="R950" s="1548"/>
      <c r="S950" s="1548"/>
      <c r="T950" s="1549"/>
      <c r="U950" s="1367" t="s">
        <v>591</v>
      </c>
      <c r="V950" s="1368"/>
      <c r="W950" s="1368"/>
      <c r="X950" s="1368"/>
      <c r="Y950" s="1368"/>
      <c r="Z950" s="1369"/>
      <c r="AA950" s="1376"/>
      <c r="AB950" s="1377"/>
      <c r="AC950" s="1377"/>
      <c r="AD950" s="1377"/>
      <c r="AE950" s="1377"/>
      <c r="AF950" s="1378"/>
      <c r="AU950" s="2"/>
      <c r="AZ950" s="34"/>
      <c r="BA950" s="34"/>
      <c r="BB950" s="34"/>
      <c r="BC950" s="34"/>
    </row>
    <row r="951" spans="1:55" ht="12.95" customHeight="1">
      <c r="AU951" s="2"/>
      <c r="AZ951" s="34"/>
      <c r="BA951" s="34"/>
      <c r="BB951" s="34"/>
      <c r="BC951" s="34"/>
    </row>
    <row r="952" spans="1:55" ht="12.95" customHeight="1">
      <c r="A952" s="2" t="s">
        <v>576</v>
      </c>
      <c r="C952" s="2" t="s">
        <v>751</v>
      </c>
      <c r="AZ952" s="34"/>
      <c r="BA952" s="34"/>
      <c r="BB952" s="34"/>
      <c r="BC952" s="34"/>
    </row>
    <row r="953" spans="1:55" ht="12.95" customHeight="1">
      <c r="B953" s="2"/>
      <c r="C953" s="22" t="s">
        <v>391</v>
      </c>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Z953" s="34"/>
      <c r="BA953" s="34"/>
      <c r="BB953" s="34"/>
      <c r="BC953" s="34"/>
    </row>
    <row r="954" spans="1:55" ht="12.95" customHeight="1">
      <c r="AZ954" s="34"/>
      <c r="BA954" s="34"/>
      <c r="BB954" s="34"/>
      <c r="BC954" s="34"/>
    </row>
    <row r="955" spans="1:55" ht="12.95" customHeight="1">
      <c r="C955" s="66" t="s">
        <v>11</v>
      </c>
      <c r="D955" s="5"/>
      <c r="E955" s="5"/>
      <c r="F955" s="5"/>
      <c r="G955" s="5"/>
      <c r="H955" s="5"/>
      <c r="I955" s="5"/>
      <c r="J955" s="5"/>
      <c r="K955" s="5"/>
      <c r="L955" s="46"/>
      <c r="M955" s="1544"/>
      <c r="N955" s="1545"/>
      <c r="O955" s="1545"/>
      <c r="P955" s="1545"/>
      <c r="Q955" s="1545"/>
      <c r="R955" s="1545"/>
      <c r="S955" s="1546"/>
      <c r="U955" s="66" t="s">
        <v>11</v>
      </c>
      <c r="V955" s="5"/>
      <c r="W955" s="5"/>
      <c r="X955" s="5"/>
      <c r="Y955" s="5"/>
      <c r="Z955" s="5"/>
      <c r="AA955" s="5"/>
      <c r="AB955" s="5"/>
      <c r="AC955" s="5"/>
      <c r="AD955" s="46"/>
      <c r="AE955" s="1544"/>
      <c r="AF955" s="1545"/>
      <c r="AG955" s="1545"/>
      <c r="AH955" s="1545"/>
      <c r="AI955" s="1545"/>
      <c r="AJ955" s="1545"/>
      <c r="AK955" s="1546"/>
      <c r="AZ955" s="34"/>
      <c r="BA955" s="34"/>
      <c r="BB955" s="34"/>
      <c r="BC955" s="34"/>
    </row>
    <row r="956" spans="1:55" ht="12.95" customHeight="1">
      <c r="C956" s="66" t="s">
        <v>12</v>
      </c>
      <c r="D956" s="5"/>
      <c r="E956" s="5"/>
      <c r="F956" s="5"/>
      <c r="G956" s="5"/>
      <c r="H956" s="5"/>
      <c r="I956" s="5"/>
      <c r="J956" s="5"/>
      <c r="K956" s="5"/>
      <c r="L956" s="46"/>
      <c r="M956" s="1556"/>
      <c r="N956" s="1557"/>
      <c r="O956" s="1557"/>
      <c r="P956" s="1557"/>
      <c r="Q956" s="1557"/>
      <c r="R956" s="1557"/>
      <c r="S956" s="1558"/>
      <c r="U956" s="66" t="s">
        <v>12</v>
      </c>
      <c r="V956" s="5"/>
      <c r="W956" s="5"/>
      <c r="X956" s="5"/>
      <c r="Y956" s="5"/>
      <c r="Z956" s="5"/>
      <c r="AA956" s="5"/>
      <c r="AB956" s="5"/>
      <c r="AC956" s="5"/>
      <c r="AD956" s="46"/>
      <c r="AE956" s="1556"/>
      <c r="AF956" s="1557"/>
      <c r="AG956" s="1557"/>
      <c r="AH956" s="1557"/>
      <c r="AI956" s="1557"/>
      <c r="AJ956" s="1557"/>
      <c r="AK956" s="1558"/>
      <c r="AZ956" s="34"/>
      <c r="BA956" s="34"/>
      <c r="BB956" s="34"/>
      <c r="BC956" s="34"/>
    </row>
    <row r="957" spans="1:55" ht="12.95" customHeight="1">
      <c r="C957" s="66" t="s">
        <v>880</v>
      </c>
      <c r="D957" s="5"/>
      <c r="E957" s="5"/>
      <c r="J957" s="1397" t="s">
        <v>306</v>
      </c>
      <c r="K957" s="1398"/>
      <c r="L957" s="1398"/>
      <c r="M957" s="1398"/>
      <c r="N957" s="1398"/>
      <c r="O957" s="1398"/>
      <c r="P957" s="1398"/>
      <c r="Q957" s="1398"/>
      <c r="R957" s="1398"/>
      <c r="S957" s="1399"/>
      <c r="U957" s="66" t="s">
        <v>880</v>
      </c>
      <c r="V957" s="5"/>
      <c r="W957" s="5"/>
      <c r="AB957" s="1397" t="s">
        <v>306</v>
      </c>
      <c r="AC957" s="1398"/>
      <c r="AD957" s="1398"/>
      <c r="AE957" s="1398"/>
      <c r="AF957" s="1398"/>
      <c r="AG957" s="1398"/>
      <c r="AH957" s="1398"/>
      <c r="AI957" s="1398"/>
      <c r="AJ957" s="1398"/>
      <c r="AK957" s="1399"/>
      <c r="AZ957" s="34"/>
      <c r="BA957" s="34"/>
      <c r="BB957" s="34"/>
      <c r="BC957" s="34"/>
    </row>
    <row r="958" spans="1:55" ht="12.95" customHeight="1">
      <c r="C958" s="66" t="s">
        <v>13</v>
      </c>
      <c r="D958" s="5"/>
      <c r="E958" s="5"/>
      <c r="F958" s="5"/>
      <c r="G958" s="5"/>
      <c r="H958" s="5"/>
      <c r="I958" s="5"/>
      <c r="J958" s="5"/>
      <c r="K958" s="5"/>
      <c r="L958" s="46"/>
      <c r="M958" s="1644"/>
      <c r="N958" s="1581"/>
      <c r="O958" s="1581"/>
      <c r="P958" s="1581"/>
      <c r="Q958" s="1581"/>
      <c r="R958" s="1581"/>
      <c r="S958" s="1582"/>
      <c r="U958" s="66" t="s">
        <v>13</v>
      </c>
      <c r="V958" s="5"/>
      <c r="W958" s="5"/>
      <c r="X958" s="5"/>
      <c r="Y958" s="5"/>
      <c r="Z958" s="5"/>
      <c r="AA958" s="5"/>
      <c r="AB958" s="5"/>
      <c r="AC958" s="5"/>
      <c r="AD958" s="46"/>
      <c r="AE958" s="1580"/>
      <c r="AF958" s="1581"/>
      <c r="AG958" s="1581"/>
      <c r="AH958" s="1581"/>
      <c r="AI958" s="1581"/>
      <c r="AJ958" s="1581"/>
      <c r="AK958" s="1582"/>
      <c r="AZ958" s="34"/>
      <c r="BA958" s="34"/>
      <c r="BB958" s="34"/>
      <c r="BC958" s="34"/>
    </row>
    <row r="959" spans="1:55" ht="12.95" customHeight="1">
      <c r="C959" s="66" t="s">
        <v>14</v>
      </c>
      <c r="D959" s="5"/>
      <c r="E959" s="5"/>
      <c r="F959" s="5"/>
      <c r="G959" s="5"/>
      <c r="H959" s="5"/>
      <c r="I959" s="5"/>
      <c r="J959" s="5"/>
      <c r="K959" s="5"/>
      <c r="L959" s="46"/>
      <c r="M959" s="1404"/>
      <c r="N959" s="1405"/>
      <c r="O959" s="1405"/>
      <c r="P959" s="1405"/>
      <c r="Q959" s="1405"/>
      <c r="R959" s="1405"/>
      <c r="S959" s="1406"/>
      <c r="U959" s="66" t="s">
        <v>14</v>
      </c>
      <c r="V959" s="5"/>
      <c r="W959" s="5"/>
      <c r="X959" s="5"/>
      <c r="Y959" s="5"/>
      <c r="Z959" s="5"/>
      <c r="AA959" s="5"/>
      <c r="AB959" s="5"/>
      <c r="AC959" s="5"/>
      <c r="AD959" s="46"/>
      <c r="AE959" s="1404"/>
      <c r="AF959" s="1405"/>
      <c r="AG959" s="1405"/>
      <c r="AH959" s="1405"/>
      <c r="AI959" s="1405"/>
      <c r="AJ959" s="1405"/>
      <c r="AK959" s="1406"/>
      <c r="AV959" s="2"/>
      <c r="AW959" s="2"/>
      <c r="AX959" s="2"/>
      <c r="AY959" s="2"/>
      <c r="AZ959" s="34"/>
      <c r="BA959" s="34"/>
      <c r="BB959" s="34"/>
      <c r="BC959" s="34"/>
    </row>
    <row r="960" spans="1:55" ht="12.95" customHeight="1">
      <c r="C960" s="66" t="s">
        <v>15</v>
      </c>
      <c r="D960" s="5"/>
      <c r="E960" s="5"/>
      <c r="F960" s="5"/>
      <c r="G960" s="5"/>
      <c r="H960" s="5"/>
      <c r="I960" s="5"/>
      <c r="J960" s="5"/>
      <c r="K960" s="5"/>
      <c r="L960" s="46"/>
      <c r="M960" s="1376"/>
      <c r="N960" s="1377"/>
      <c r="O960" s="1377"/>
      <c r="P960" s="1377"/>
      <c r="Q960" s="1377"/>
      <c r="R960" s="1377"/>
      <c r="S960" s="1378"/>
      <c r="U960" s="66" t="s">
        <v>15</v>
      </c>
      <c r="V960" s="5"/>
      <c r="W960" s="5"/>
      <c r="X960" s="5"/>
      <c r="Y960" s="5"/>
      <c r="Z960" s="5"/>
      <c r="AA960" s="5"/>
      <c r="AB960" s="5"/>
      <c r="AC960" s="5"/>
      <c r="AD960" s="46"/>
      <c r="AE960" s="1376"/>
      <c r="AF960" s="1377"/>
      <c r="AG960" s="1377"/>
      <c r="AH960" s="1377"/>
      <c r="AI960" s="1377"/>
      <c r="AJ960" s="1377"/>
      <c r="AK960" s="1378"/>
      <c r="AV960" s="2"/>
      <c r="AW960" s="2"/>
      <c r="AX960" s="2"/>
      <c r="AY960" s="2"/>
      <c r="AZ960" s="34"/>
      <c r="BA960" s="34"/>
      <c r="BB960" s="34"/>
      <c r="BC960" s="34"/>
    </row>
    <row r="961" spans="1:64" ht="12.95" customHeight="1">
      <c r="C961" s="66" t="s">
        <v>16</v>
      </c>
      <c r="D961" s="5"/>
      <c r="E961" s="5"/>
      <c r="F961" s="5"/>
      <c r="G961" s="5"/>
      <c r="H961" s="5"/>
      <c r="I961" s="5"/>
      <c r="J961" s="5"/>
      <c r="K961" s="5"/>
      <c r="L961" s="46"/>
      <c r="M961" s="1376"/>
      <c r="N961" s="1377"/>
      <c r="O961" s="1377"/>
      <c r="P961" s="1377"/>
      <c r="Q961" s="1377"/>
      <c r="R961" s="1377"/>
      <c r="S961" s="1378"/>
      <c r="U961" s="66" t="s">
        <v>16</v>
      </c>
      <c r="V961" s="5"/>
      <c r="W961" s="5"/>
      <c r="X961" s="5"/>
      <c r="Y961" s="5"/>
      <c r="Z961" s="5"/>
      <c r="AA961" s="5"/>
      <c r="AB961" s="5"/>
      <c r="AC961" s="5"/>
      <c r="AD961" s="46"/>
      <c r="AE961" s="1376"/>
      <c r="AF961" s="1377"/>
      <c r="AG961" s="1377"/>
      <c r="AH961" s="1377"/>
      <c r="AI961" s="1377"/>
      <c r="AJ961" s="1377"/>
      <c r="AK961" s="1378"/>
      <c r="AV961" s="2"/>
      <c r="AW961" s="2"/>
      <c r="AX961" s="2"/>
      <c r="AY961" s="2"/>
      <c r="AZ961" s="34"/>
      <c r="BB961" s="34"/>
      <c r="BC961" s="34"/>
    </row>
    <row r="962" spans="1:64" ht="12.95" customHeight="1">
      <c r="C962" s="121" t="s">
        <v>1660</v>
      </c>
      <c r="D962" s="5"/>
      <c r="E962" s="5"/>
      <c r="F962" s="5"/>
      <c r="G962" s="5"/>
      <c r="H962" s="5"/>
      <c r="I962" s="5"/>
      <c r="J962" s="5"/>
      <c r="K962" s="5"/>
      <c r="L962" s="46"/>
      <c r="M962" s="1373"/>
      <c r="N962" s="1374"/>
      <c r="O962" s="1374"/>
      <c r="P962" s="1374"/>
      <c r="Q962" s="1374"/>
      <c r="R962" s="1374"/>
      <c r="S962" s="1375"/>
      <c r="U962" s="121" t="s">
        <v>1660</v>
      </c>
      <c r="V962" s="5"/>
      <c r="W962" s="5"/>
      <c r="X962" s="5"/>
      <c r="Y962" s="5"/>
      <c r="Z962" s="5"/>
      <c r="AA962" s="5"/>
      <c r="AB962" s="5"/>
      <c r="AC962" s="5"/>
      <c r="AD962" s="46"/>
      <c r="AE962" s="1373"/>
      <c r="AF962" s="1374"/>
      <c r="AG962" s="1374"/>
      <c r="AH962" s="1374"/>
      <c r="AI962" s="1374"/>
      <c r="AJ962" s="1374"/>
      <c r="AK962" s="1375"/>
      <c r="AZ962" s="34"/>
      <c r="BB962" s="34"/>
      <c r="BC962" s="34"/>
      <c r="BD962" s="34"/>
      <c r="BE962" s="34"/>
      <c r="BF962" s="34"/>
      <c r="BG962" s="34"/>
      <c r="BH962" s="34"/>
      <c r="BI962" s="34"/>
      <c r="BJ962" s="34"/>
      <c r="BK962" s="34"/>
      <c r="BL962" s="34"/>
    </row>
    <row r="963" spans="1:64" ht="12.95" customHeight="1">
      <c r="AZ963" s="34"/>
      <c r="BB963" s="34"/>
      <c r="BC963" s="34"/>
      <c r="BD963" s="34"/>
      <c r="BE963" s="34"/>
      <c r="BF963" s="34"/>
      <c r="BG963" s="34"/>
      <c r="BH963" s="34"/>
      <c r="BI963" s="34"/>
      <c r="BJ963" s="34"/>
      <c r="BK963" s="34"/>
      <c r="BL963" s="34"/>
    </row>
    <row r="964" spans="1:64" ht="12.95" customHeight="1">
      <c r="A964" s="2" t="s">
        <v>586</v>
      </c>
      <c r="C964" s="2" t="s">
        <v>650</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Z964" s="34"/>
      <c r="BB964" s="34"/>
      <c r="BC964" s="34"/>
      <c r="BD964" s="34"/>
      <c r="BE964" s="34"/>
      <c r="BF964" s="34"/>
      <c r="BG964" s="34"/>
      <c r="BH964" s="34"/>
      <c r="BI964" s="34"/>
      <c r="BJ964" s="34"/>
      <c r="BK964" s="34"/>
      <c r="BL964" s="34"/>
    </row>
    <row r="965" spans="1:64" s="14" customFormat="1" ht="12.95" customHeight="1">
      <c r="A965"/>
      <c r="B965" s="2"/>
      <c r="C965" s="22" t="s">
        <v>179</v>
      </c>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95"/>
      <c r="AV965"/>
      <c r="AW965"/>
      <c r="AX965"/>
      <c r="AY965"/>
      <c r="AZ965" s="34"/>
      <c r="BA965"/>
      <c r="BB965" s="34"/>
      <c r="BC965" s="34"/>
      <c r="BD965" s="34"/>
      <c r="BE965" s="34"/>
      <c r="BF965" s="34"/>
      <c r="BG965" s="34"/>
      <c r="BH965" s="34"/>
      <c r="BI965" s="34"/>
      <c r="BJ965" s="34"/>
      <c r="BK965" s="34"/>
      <c r="BL965" s="34"/>
    </row>
    <row r="966" spans="1:64" s="14" customFormat="1" ht="12.95" customHeight="1">
      <c r="A966"/>
      <c r="B966" s="2"/>
      <c r="C966" s="2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68"/>
      <c r="AV966"/>
      <c r="AW966"/>
      <c r="AX966"/>
      <c r="AY966"/>
      <c r="AZ966" s="34"/>
      <c r="BA966"/>
      <c r="BB966" s="34"/>
      <c r="BC966" s="34"/>
      <c r="BD966" s="34"/>
      <c r="BE966" s="34"/>
      <c r="BF966" s="34"/>
      <c r="BG966" s="34"/>
      <c r="BH966" s="34"/>
      <c r="BI966" s="34"/>
      <c r="BJ966" s="34"/>
      <c r="BK966" s="34"/>
      <c r="BL966" s="34"/>
    </row>
    <row r="967" spans="1:64" s="14" customFormat="1" ht="12.95" customHeight="1">
      <c r="A967"/>
      <c r="B967"/>
      <c r="C967"/>
      <c r="D967"/>
      <c r="E967"/>
      <c r="F967" s="45" t="s">
        <v>571</v>
      </c>
      <c r="G967" s="5"/>
      <c r="H967" s="5"/>
      <c r="I967" s="5"/>
      <c r="J967" s="5"/>
      <c r="K967" s="5"/>
      <c r="L967" s="46"/>
      <c r="M967" s="1381"/>
      <c r="N967" s="1382"/>
      <c r="O967" s="1382"/>
      <c r="P967" s="1382"/>
      <c r="Q967" s="1382"/>
      <c r="R967" s="1382"/>
      <c r="S967" s="1383"/>
      <c r="T967" s="66" t="s">
        <v>790</v>
      </c>
      <c r="U967" s="5"/>
      <c r="V967" s="5"/>
      <c r="W967" s="5"/>
      <c r="X967" s="5"/>
      <c r="Y967" s="5"/>
      <c r="Z967" s="46"/>
      <c r="AA967" s="1381"/>
      <c r="AB967" s="1382"/>
      <c r="AC967" s="1382"/>
      <c r="AD967" s="1382"/>
      <c r="AE967" s="1382"/>
      <c r="AF967" s="1382"/>
      <c r="AG967" s="1383"/>
      <c r="AH967"/>
      <c r="AI967"/>
      <c r="AJ967"/>
      <c r="AK967"/>
      <c r="AL967"/>
      <c r="AM967"/>
      <c r="AN967"/>
      <c r="AO967"/>
      <c r="AP967"/>
      <c r="AQ967"/>
      <c r="AR967"/>
      <c r="AS967"/>
      <c r="AT967"/>
      <c r="AU967" s="68"/>
      <c r="AV967"/>
      <c r="AW967"/>
      <c r="AX967"/>
      <c r="AY967"/>
      <c r="AZ967" s="34"/>
      <c r="BA967"/>
      <c r="BB967" s="34"/>
      <c r="BC967" s="34"/>
      <c r="BD967" s="34"/>
      <c r="BE967" s="34"/>
      <c r="BF967" s="34"/>
      <c r="BG967" s="34"/>
      <c r="BH967" s="34"/>
      <c r="BI967" s="34"/>
      <c r="BJ967" s="34"/>
      <c r="BK967" s="34"/>
      <c r="BL967" s="34"/>
    </row>
    <row r="968" spans="1:64" s="14" customFormat="1" ht="12.95" customHeight="1">
      <c r="A968"/>
      <c r="B968"/>
      <c r="C968"/>
      <c r="D968"/>
      <c r="E968"/>
      <c r="F968" s="45" t="s">
        <v>572</v>
      </c>
      <c r="G968" s="5"/>
      <c r="H968" s="5"/>
      <c r="I968" s="5"/>
      <c r="J968" s="5"/>
      <c r="K968" s="5"/>
      <c r="L968" s="46"/>
      <c r="M968" s="1381"/>
      <c r="N968" s="1382"/>
      <c r="O968" s="1382"/>
      <c r="P968" s="1382"/>
      <c r="Q968" s="1382"/>
      <c r="R968" s="1382"/>
      <c r="S968" s="1383"/>
      <c r="T968" s="66" t="s">
        <v>789</v>
      </c>
      <c r="U968" s="5"/>
      <c r="V968" s="5"/>
      <c r="W968" s="5"/>
      <c r="X968" s="5"/>
      <c r="Y968" s="5"/>
      <c r="Z968" s="46"/>
      <c r="AA968" s="1381"/>
      <c r="AB968" s="1382"/>
      <c r="AC968" s="1382"/>
      <c r="AD968" s="1382"/>
      <c r="AE968" s="1382"/>
      <c r="AF968" s="1382"/>
      <c r="AG968" s="1383"/>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row>
    <row r="969" spans="1:64" s="14" customFormat="1" ht="12.95" customHeight="1">
      <c r="A969"/>
      <c r="B969"/>
      <c r="C969"/>
      <c r="D969"/>
      <c r="E969"/>
      <c r="F969" s="45" t="s">
        <v>901</v>
      </c>
      <c r="G969" s="5"/>
      <c r="H969" s="5"/>
      <c r="I969" s="5"/>
      <c r="J969" s="5"/>
      <c r="K969" s="5"/>
      <c r="L969" s="46"/>
      <c r="M969" s="1598" t="s">
        <v>591</v>
      </c>
      <c r="N969" s="1599"/>
      <c r="O969" s="1599"/>
      <c r="P969" s="1599"/>
      <c r="Q969" s="1599"/>
      <c r="R969" s="1599"/>
      <c r="S969" s="1600"/>
      <c r="T969" s="45" t="s">
        <v>336</v>
      </c>
      <c r="U969" s="5"/>
      <c r="V969" s="5"/>
      <c r="W969" s="5"/>
      <c r="X969" s="5"/>
      <c r="Y969" s="5"/>
      <c r="Z969" s="46"/>
      <c r="AA969" s="1381"/>
      <c r="AB969" s="1382"/>
      <c r="AC969" s="1382"/>
      <c r="AD969" s="1382"/>
      <c r="AE969" s="1382"/>
      <c r="AF969" s="1382"/>
      <c r="AG969" s="1383"/>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row>
    <row r="970" spans="1:64" s="14" customFormat="1" ht="12.95" customHeight="1">
      <c r="A970"/>
      <c r="B970"/>
      <c r="C970"/>
      <c r="D970"/>
      <c r="E970"/>
      <c r="F970" s="45" t="s">
        <v>573</v>
      </c>
      <c r="G970" s="5"/>
      <c r="H970" s="5"/>
      <c r="I970" s="5"/>
      <c r="J970" s="5"/>
      <c r="K970" s="5"/>
      <c r="L970" s="46"/>
      <c r="M970" s="1381"/>
      <c r="N970" s="1382"/>
      <c r="O970" s="1382"/>
      <c r="P970" s="1382"/>
      <c r="Q970" s="1382"/>
      <c r="R970" s="1382"/>
      <c r="S970" s="1383"/>
      <c r="T970" s="45" t="s">
        <v>337</v>
      </c>
      <c r="U970" s="5"/>
      <c r="V970" s="5"/>
      <c r="W970" s="5"/>
      <c r="X970" s="5"/>
      <c r="Y970" s="5"/>
      <c r="Z970" s="46"/>
      <c r="AA970" s="1381"/>
      <c r="AB970" s="1382"/>
      <c r="AC970" s="1382"/>
      <c r="AD970" s="1382"/>
      <c r="AE970" s="1382"/>
      <c r="AF970" s="1382"/>
      <c r="AG970" s="1383"/>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row>
    <row r="971" spans="1:64" s="14" customFormat="1" ht="12.95" customHeight="1">
      <c r="A971"/>
      <c r="B971"/>
      <c r="C971"/>
      <c r="D971"/>
      <c r="E971"/>
      <c r="F971" s="45" t="s">
        <v>464</v>
      </c>
      <c r="G971" s="5"/>
      <c r="H971" s="5"/>
      <c r="I971" s="5"/>
      <c r="J971" s="5"/>
      <c r="K971" s="5"/>
      <c r="L971" s="46"/>
      <c r="M971" s="1381"/>
      <c r="N971" s="1382"/>
      <c r="O971" s="1382"/>
      <c r="P971" s="1382"/>
      <c r="Q971" s="1382"/>
      <c r="R971" s="1382"/>
      <c r="S971" s="1383"/>
      <c r="T971" s="45" t="s">
        <v>375</v>
      </c>
      <c r="U971" s="5"/>
      <c r="V971" s="5"/>
      <c r="W971" s="5"/>
      <c r="X971" s="5"/>
      <c r="Y971" s="5"/>
      <c r="Z971" s="46"/>
      <c r="AA971" s="1381"/>
      <c r="AB971" s="1382"/>
      <c r="AC971" s="1382"/>
      <c r="AD971" s="1382"/>
      <c r="AE971" s="1382"/>
      <c r="AF971" s="1382"/>
      <c r="AG971" s="1383"/>
      <c r="AH971"/>
      <c r="AI971"/>
      <c r="AJ971"/>
      <c r="AK971"/>
      <c r="AL971"/>
      <c r="AM971"/>
      <c r="AN971"/>
      <c r="AO971"/>
      <c r="AP971"/>
      <c r="AQ971"/>
      <c r="AR971"/>
      <c r="AS971"/>
      <c r="AT971"/>
      <c r="AU971" s="68"/>
      <c r="AV971"/>
      <c r="AW971"/>
      <c r="AX971"/>
      <c r="AY971"/>
      <c r="AZ971" s="34"/>
      <c r="BA971"/>
      <c r="BB971" s="34"/>
      <c r="BC971" s="34"/>
      <c r="BD971" s="34"/>
      <c r="BE971" s="34"/>
      <c r="BF971"/>
      <c r="BG971"/>
      <c r="BH971"/>
      <c r="BI971"/>
      <c r="BJ971" s="34"/>
      <c r="BK971" s="34"/>
      <c r="BL971" s="34"/>
    </row>
    <row r="972" spans="1:64" s="14" customFormat="1" ht="12.95" customHeight="1">
      <c r="A972"/>
      <c r="B972"/>
      <c r="C972"/>
      <c r="D972"/>
      <c r="E972"/>
      <c r="F972" s="243" t="s">
        <v>880</v>
      </c>
      <c r="G972" s="42"/>
      <c r="H972" s="42"/>
      <c r="I972" s="42"/>
      <c r="J972" s="42"/>
      <c r="K972" s="42"/>
      <c r="L972" s="58"/>
      <c r="M972" s="1397" t="s">
        <v>306</v>
      </c>
      <c r="N972" s="1398"/>
      <c r="O972" s="1398"/>
      <c r="P972" s="1398"/>
      <c r="Q972" s="1398"/>
      <c r="R972" s="1398"/>
      <c r="S972" s="1399"/>
      <c r="T972" s="1401"/>
      <c r="U972" s="1402"/>
      <c r="V972" s="1402"/>
      <c r="W972" s="1402"/>
      <c r="X972" s="1402"/>
      <c r="Y972" s="1402"/>
      <c r="Z972" s="1403"/>
      <c r="AA972" s="1381"/>
      <c r="AB972" s="1382"/>
      <c r="AC972" s="1382"/>
      <c r="AD972" s="1382"/>
      <c r="AE972" s="1382"/>
      <c r="AF972" s="1382"/>
      <c r="AG972" s="1383"/>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row>
    <row r="973" spans="1:64" s="14" customFormat="1" ht="12.95" customHeight="1">
      <c r="A973"/>
      <c r="B973"/>
      <c r="C973"/>
      <c r="D973"/>
      <c r="E973"/>
      <c r="F973" s="41" t="s">
        <v>465</v>
      </c>
      <c r="G973" s="42"/>
      <c r="H973" s="42"/>
      <c r="I973" s="42"/>
      <c r="J973" s="42"/>
      <c r="K973" s="42"/>
      <c r="L973" s="58"/>
      <c r="M973" s="1381"/>
      <c r="N973" s="1382"/>
      <c r="O973" s="1382"/>
      <c r="P973" s="1382"/>
      <c r="Q973" s="1382"/>
      <c r="R973" s="1382"/>
      <c r="S973" s="1383"/>
      <c r="T973" s="1401"/>
      <c r="U973" s="1402"/>
      <c r="V973" s="1402"/>
      <c r="W973" s="1402"/>
      <c r="X973" s="1402"/>
      <c r="Y973" s="1402"/>
      <c r="Z973" s="1403"/>
      <c r="AA973" s="1381"/>
      <c r="AB973" s="1382"/>
      <c r="AC973" s="1382"/>
      <c r="AD973" s="1382"/>
      <c r="AE973" s="1382"/>
      <c r="AF973" s="1382"/>
      <c r="AG973" s="1383"/>
      <c r="AH973"/>
      <c r="AI973"/>
      <c r="AJ973"/>
      <c r="AK973"/>
      <c r="AL973"/>
      <c r="AM973"/>
      <c r="AN973"/>
      <c r="AO973"/>
      <c r="AP973"/>
      <c r="AQ973"/>
      <c r="AR973"/>
      <c r="AS973"/>
      <c r="AT973"/>
      <c r="AU973" s="68"/>
      <c r="AV973"/>
      <c r="AW973"/>
      <c r="AX973"/>
      <c r="AY973"/>
      <c r="AZ973" s="34"/>
      <c r="BA973" s="34"/>
      <c r="BB973" s="34"/>
      <c r="BC973" s="34"/>
      <c r="BD973" s="34"/>
      <c r="BE973" s="34"/>
      <c r="BF973" s="34"/>
      <c r="BG973" s="34"/>
      <c r="BH973" s="34"/>
      <c r="BI973" s="34"/>
      <c r="BJ973" s="34"/>
      <c r="BK973" s="34"/>
      <c r="BL973" s="34"/>
    </row>
    <row r="974" spans="1:64" ht="12.95" customHeight="1">
      <c r="F974" s="41" t="s">
        <v>335</v>
      </c>
      <c r="G974" s="42"/>
      <c r="H974" s="42"/>
      <c r="I974" s="42"/>
      <c r="J974" s="42"/>
      <c r="K974" s="42"/>
      <c r="L974" s="42"/>
      <c r="M974" s="42"/>
      <c r="N974" s="42"/>
      <c r="O974" s="1573" t="s">
        <v>669</v>
      </c>
      <c r="P974" s="1574"/>
      <c r="Q974" s="92"/>
      <c r="R974" s="92"/>
      <c r="S974" s="93"/>
      <c r="T974" s="41" t="s">
        <v>169</v>
      </c>
      <c r="U974" s="42"/>
      <c r="V974" s="42"/>
      <c r="W974" s="1407" t="s">
        <v>333</v>
      </c>
      <c r="X974" s="1408"/>
      <c r="Y974" s="1408"/>
      <c r="Z974" s="1408"/>
      <c r="AA974" s="1408"/>
      <c r="AB974" s="1408"/>
      <c r="AC974" s="1408"/>
      <c r="AD974" s="1408"/>
      <c r="AE974" s="1408"/>
      <c r="AF974" s="1408"/>
      <c r="AG974" s="1409"/>
      <c r="AU974" s="68"/>
      <c r="AV974" s="95"/>
      <c r="AW974" s="95"/>
      <c r="AX974" s="95"/>
      <c r="AY974" s="95"/>
      <c r="AZ974" s="34"/>
      <c r="BB974" s="34"/>
      <c r="BC974" s="34"/>
      <c r="BD974" s="34"/>
      <c r="BE974" s="34"/>
      <c r="BF974" s="34"/>
      <c r="BG974" s="34"/>
      <c r="BH974" s="34"/>
      <c r="BI974" s="34"/>
      <c r="BJ974" s="34"/>
      <c r="BK974" s="34"/>
      <c r="BL974" s="34"/>
    </row>
    <row r="975" spans="1:64" ht="12.95" customHeight="1">
      <c r="F975" s="1379" t="s">
        <v>33</v>
      </c>
      <c r="G975" s="1380"/>
      <c r="H975" s="1380"/>
      <c r="I975" s="1380"/>
      <c r="J975" s="1380"/>
      <c r="K975" s="1380"/>
      <c r="L975" s="1380"/>
      <c r="M975" s="1381"/>
      <c r="N975" s="1382"/>
      <c r="O975" s="1382"/>
      <c r="P975" s="1382"/>
      <c r="Q975" s="1382"/>
      <c r="R975" s="1382"/>
      <c r="S975" s="1383"/>
      <c r="T975" s="47"/>
      <c r="U975" s="48"/>
      <c r="V975" s="48"/>
      <c r="W975" s="48"/>
      <c r="X975" s="48"/>
      <c r="Y975" s="48"/>
      <c r="Z975" s="124" t="s">
        <v>134</v>
      </c>
      <c r="AA975" s="1601"/>
      <c r="AB975" s="1602"/>
      <c r="AC975" s="1602"/>
      <c r="AD975" s="1602"/>
      <c r="AE975" s="1602"/>
      <c r="AF975" s="1602"/>
      <c r="AG975" s="1603"/>
      <c r="AU975" s="68"/>
      <c r="AV975" s="95"/>
      <c r="AW975" s="95"/>
      <c r="AX975" s="95"/>
      <c r="AY975" s="95"/>
      <c r="AZ975" s="14"/>
      <c r="BA975" s="14"/>
      <c r="BB975" s="34"/>
      <c r="BC975" s="34"/>
      <c r="BD975" s="34"/>
      <c r="BE975" s="34"/>
      <c r="BF975" s="34"/>
      <c r="BG975" s="14"/>
      <c r="BH975" s="14"/>
      <c r="BI975" s="14"/>
      <c r="BJ975" s="14"/>
      <c r="BK975" s="14"/>
      <c r="BL975" s="14"/>
    </row>
    <row r="976" spans="1:64" ht="12.95" customHeight="1">
      <c r="AU976" s="68"/>
      <c r="AV976" s="68"/>
      <c r="AW976" s="68"/>
      <c r="AX976" s="68"/>
      <c r="AY976" s="68"/>
      <c r="AZ976" s="14"/>
      <c r="BA976" s="14"/>
      <c r="BB976" s="14"/>
      <c r="BC976" s="14"/>
      <c r="BD976" s="14"/>
      <c r="BE976" s="14"/>
      <c r="BF976" s="14"/>
      <c r="BG976" s="1634"/>
      <c r="BH976" s="1634"/>
      <c r="BI976" s="1634"/>
      <c r="BJ976" s="1634"/>
      <c r="BK976" s="1634"/>
      <c r="BL976" s="1634"/>
    </row>
    <row r="977" spans="1:64" ht="12.95" customHeight="1">
      <c r="AU977" s="68"/>
      <c r="AV977" s="68"/>
      <c r="AW977" s="68"/>
      <c r="AX977" s="68"/>
      <c r="AY977" s="68"/>
      <c r="AZ977" s="14"/>
      <c r="BA977" s="14"/>
      <c r="BB977" s="913"/>
      <c r="BC977" s="913"/>
      <c r="BD977" s="14"/>
      <c r="BE977" s="14"/>
      <c r="BF977" s="14"/>
      <c r="BG977" s="14"/>
      <c r="BH977" s="14"/>
      <c r="BI977" s="14"/>
      <c r="BJ977" s="14"/>
      <c r="BK977" s="14"/>
      <c r="BL977" s="14"/>
    </row>
    <row r="978" spans="1:64" ht="12.95" customHeight="1">
      <c r="AU978" s="68"/>
      <c r="AV978" s="68"/>
      <c r="AW978" s="68"/>
      <c r="AX978" s="68"/>
      <c r="AY978" s="68"/>
      <c r="AZ978" s="14"/>
      <c r="BA978" s="14"/>
      <c r="BB978" s="913"/>
      <c r="BC978" s="913"/>
    </row>
    <row r="979" spans="1:64" ht="12.95" customHeight="1">
      <c r="A979" s="1423" t="s">
        <v>548</v>
      </c>
      <c r="B979" s="1423"/>
      <c r="C979" s="1423"/>
      <c r="D979" s="1423"/>
      <c r="E979" s="1423"/>
      <c r="F979" s="1423"/>
      <c r="G979" s="1423"/>
      <c r="H979" s="1423"/>
      <c r="I979" s="1423"/>
      <c r="J979" s="1423"/>
      <c r="K979" s="1423"/>
      <c r="L979" s="1423"/>
      <c r="M979" s="1423"/>
      <c r="N979" s="1423"/>
      <c r="O979" s="1423"/>
      <c r="P979" s="1423"/>
      <c r="Q979" s="1423"/>
      <c r="R979" s="1423"/>
      <c r="S979" s="1423"/>
      <c r="T979" s="1423"/>
      <c r="U979" s="1423"/>
      <c r="V979" s="1423"/>
      <c r="W979" s="1423"/>
      <c r="X979" s="1423"/>
      <c r="Y979" s="1423"/>
      <c r="Z979" s="1423"/>
      <c r="AA979" s="1423"/>
      <c r="AB979" s="1423"/>
      <c r="AC979" s="1423"/>
      <c r="AD979" s="1423"/>
      <c r="AE979" s="1423"/>
      <c r="AF979" s="1423"/>
      <c r="AG979" s="1423"/>
      <c r="AH979" s="1423"/>
      <c r="AI979" s="1423"/>
      <c r="AJ979" s="1423"/>
      <c r="AK979" s="1423"/>
      <c r="AL979" s="1423"/>
      <c r="AM979" s="1423"/>
      <c r="AN979" s="1423"/>
      <c r="AO979" s="1423"/>
      <c r="AP979" s="1423"/>
      <c r="AQ979" s="1423"/>
      <c r="AR979" s="1423"/>
      <c r="AS979" s="1423"/>
      <c r="AT979" s="1423"/>
      <c r="AU979" s="68"/>
      <c r="AV979" s="68"/>
      <c r="AW979" s="68"/>
      <c r="AX979" s="68"/>
      <c r="AY979" s="68"/>
      <c r="AZ979" s="14"/>
      <c r="BA979" s="14"/>
      <c r="BB979" s="913"/>
      <c r="BC979" s="913"/>
    </row>
    <row r="980" spans="1:64" ht="12.95" customHeight="1">
      <c r="A980" s="1423"/>
      <c r="B980" s="1423"/>
      <c r="C980" s="1423"/>
      <c r="D980" s="1423"/>
      <c r="E980" s="1423"/>
      <c r="F980" s="1423"/>
      <c r="G980" s="1423"/>
      <c r="H980" s="1423"/>
      <c r="I980" s="1423"/>
      <c r="J980" s="1423"/>
      <c r="K980" s="1423"/>
      <c r="L980" s="1423"/>
      <c r="M980" s="1423"/>
      <c r="N980" s="1423"/>
      <c r="O980" s="1423"/>
      <c r="P980" s="1423"/>
      <c r="Q980" s="1423"/>
      <c r="R980" s="1423"/>
      <c r="S980" s="1423"/>
      <c r="T980" s="1423"/>
      <c r="U980" s="1423"/>
      <c r="V980" s="1423"/>
      <c r="W980" s="1423"/>
      <c r="X980" s="1423"/>
      <c r="Y980" s="1423"/>
      <c r="Z980" s="1423"/>
      <c r="AA980" s="1423"/>
      <c r="AB980" s="1423"/>
      <c r="AC980" s="1423"/>
      <c r="AD980" s="1423"/>
      <c r="AE980" s="1423"/>
      <c r="AF980" s="1423"/>
      <c r="AG980" s="1423"/>
      <c r="AH980" s="1423"/>
      <c r="AI980" s="1423"/>
      <c r="AJ980" s="1423"/>
      <c r="AK980" s="1423"/>
      <c r="AL980" s="1423"/>
      <c r="AM980" s="1423"/>
      <c r="AN980" s="1423"/>
      <c r="AO980" s="1423"/>
      <c r="AP980" s="1423"/>
      <c r="AQ980" s="1423"/>
      <c r="AR980" s="1423"/>
      <c r="AS980" s="1423"/>
      <c r="AT980" s="1423"/>
      <c r="AU980" s="68"/>
      <c r="AV980" s="68"/>
      <c r="AW980" s="68"/>
      <c r="AX980" s="68"/>
      <c r="AY980" s="68"/>
      <c r="AZ980" s="30"/>
      <c r="BA980" s="14"/>
      <c r="BB980" s="14"/>
      <c r="BC980" s="14"/>
    </row>
    <row r="981" spans="1:64" ht="12.95" customHeight="1">
      <c r="A981" s="1423"/>
      <c r="B981" s="1423"/>
      <c r="C981" s="1423"/>
      <c r="D981" s="1423"/>
      <c r="E981" s="1423"/>
      <c r="F981" s="1423"/>
      <c r="G981" s="1423"/>
      <c r="H981" s="1423"/>
      <c r="I981" s="1423"/>
      <c r="J981" s="1423"/>
      <c r="K981" s="1423"/>
      <c r="L981" s="1423"/>
      <c r="M981" s="1423"/>
      <c r="N981" s="1423"/>
      <c r="O981" s="1423"/>
      <c r="P981" s="1423"/>
      <c r="Q981" s="1423"/>
      <c r="R981" s="1423"/>
      <c r="S981" s="1423"/>
      <c r="T981" s="1423"/>
      <c r="U981" s="1423"/>
      <c r="V981" s="1423"/>
      <c r="W981" s="1423"/>
      <c r="X981" s="1423"/>
      <c r="Y981" s="1423"/>
      <c r="Z981" s="1423"/>
      <c r="AA981" s="1423"/>
      <c r="AB981" s="1423"/>
      <c r="AC981" s="1423"/>
      <c r="AD981" s="1423"/>
      <c r="AE981" s="1423"/>
      <c r="AF981" s="1423"/>
      <c r="AG981" s="1423"/>
      <c r="AH981" s="1423"/>
      <c r="AI981" s="1423"/>
      <c r="AJ981" s="1423"/>
      <c r="AK981" s="1423"/>
      <c r="AL981" s="1423"/>
      <c r="AM981" s="1423"/>
      <c r="AN981" s="1423"/>
      <c r="AO981" s="1423"/>
      <c r="AP981" s="1423"/>
      <c r="AQ981" s="1423"/>
      <c r="AR981" s="1423"/>
      <c r="AS981" s="1423"/>
      <c r="AT981" s="1423"/>
      <c r="AU981" s="68"/>
      <c r="AV981" s="68"/>
      <c r="AW981" s="68"/>
      <c r="AX981" s="68"/>
      <c r="AY981" s="68"/>
      <c r="AZ981" s="30"/>
      <c r="BA981" s="14"/>
      <c r="BB981" s="14"/>
      <c r="BC981" s="14"/>
    </row>
    <row r="982" spans="1:64" ht="12.95" customHeight="1">
      <c r="A982" s="14"/>
      <c r="B982" s="14"/>
      <c r="C982" s="14"/>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row>
    <row r="983" spans="1:64" ht="12.95" customHeight="1">
      <c r="A983" s="2" t="s">
        <v>318</v>
      </c>
      <c r="C983" s="2" t="s">
        <v>615</v>
      </c>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row>
    <row r="984" spans="1:64" ht="12.95" customHeight="1">
      <c r="A984" s="2"/>
      <c r="C984" s="2"/>
      <c r="I984" s="14"/>
      <c r="J984" s="14"/>
      <c r="K984" s="14"/>
      <c r="L984" s="14"/>
      <c r="M984" s="14"/>
      <c r="N984" s="14"/>
      <c r="O984" s="14"/>
      <c r="P984" s="14"/>
      <c r="Q984" s="14"/>
      <c r="R984" s="14"/>
      <c r="S984" s="14"/>
      <c r="T984" s="14"/>
      <c r="U984" s="14"/>
      <c r="V984" s="14"/>
      <c r="W984" s="14"/>
      <c r="X984" s="14"/>
      <c r="Y984" s="14"/>
      <c r="Z984" s="14"/>
      <c r="AA984" s="14"/>
      <c r="AB984" s="14"/>
      <c r="AC984" s="14"/>
      <c r="AD984" s="14"/>
      <c r="AE984" s="14"/>
      <c r="AF984" s="14"/>
      <c r="AG984" s="14"/>
      <c r="AH984" s="14"/>
      <c r="AI984" s="14"/>
      <c r="AJ984" s="14"/>
      <c r="AK984" s="14"/>
      <c r="AL984" s="68"/>
      <c r="AM984" s="68"/>
      <c r="AN984" s="68"/>
      <c r="AO984" s="68"/>
      <c r="AP984" s="68"/>
      <c r="AQ984" s="68"/>
      <c r="AR984" s="68"/>
      <c r="AS984" s="68"/>
      <c r="AT984" s="68"/>
      <c r="AU984" s="68"/>
      <c r="AV984" s="68"/>
      <c r="AW984" s="68"/>
      <c r="AX984" s="68"/>
      <c r="AY984" s="68"/>
      <c r="AZ984" s="14"/>
      <c r="BA984" s="14"/>
      <c r="BB984" s="14"/>
      <c r="BC984" s="14"/>
    </row>
    <row r="985" spans="1:64" ht="12.95" customHeight="1">
      <c r="A985" s="67"/>
      <c r="B985" s="79"/>
      <c r="C985" s="929"/>
      <c r="D985" s="1384" t="s">
        <v>638</v>
      </c>
      <c r="E985" s="1385"/>
      <c r="F985" s="1385"/>
      <c r="G985" s="1385"/>
      <c r="H985" s="1385"/>
      <c r="I985" s="1385"/>
      <c r="J985" s="1385"/>
      <c r="K985" s="1385"/>
      <c r="L985" s="1385"/>
      <c r="M985" s="1385"/>
      <c r="N985" s="1385"/>
      <c r="O985" s="1385"/>
      <c r="P985" s="1385"/>
      <c r="Q985" s="1386"/>
      <c r="R985" s="1384" t="s">
        <v>639</v>
      </c>
      <c r="S985" s="1385"/>
      <c r="T985" s="1385"/>
      <c r="U985" s="1385"/>
      <c r="V985" s="1385"/>
      <c r="W985" s="1385"/>
      <c r="X985" s="1385"/>
      <c r="Y985" s="1385"/>
      <c r="Z985" s="1385"/>
      <c r="AA985" s="1386"/>
      <c r="AB985" s="1384" t="s">
        <v>640</v>
      </c>
      <c r="AC985" s="1385"/>
      <c r="AD985" s="1385"/>
      <c r="AE985" s="1385"/>
      <c r="AF985" s="1385"/>
      <c r="AG985" s="1385"/>
      <c r="AH985" s="1385"/>
      <c r="AI985" s="1386"/>
      <c r="AJ985" s="1384" t="s">
        <v>641</v>
      </c>
      <c r="AK985" s="1385"/>
      <c r="AL985" s="1385"/>
      <c r="AM985" s="1385"/>
      <c r="AN985" s="1385"/>
      <c r="AO985" s="1385"/>
      <c r="AP985" s="1385"/>
      <c r="AQ985" s="1386"/>
      <c r="AR985" s="68"/>
      <c r="AS985" s="68"/>
      <c r="AT985" s="68"/>
      <c r="AU985" s="68"/>
      <c r="AV985" s="68"/>
      <c r="AW985" s="68"/>
      <c r="AX985" s="68"/>
      <c r="AY985" s="68"/>
      <c r="AZ985" s="30"/>
      <c r="BB985" s="14"/>
      <c r="BC985" s="14"/>
    </row>
    <row r="986" spans="1:64" ht="12.95" customHeight="1">
      <c r="A986" s="14"/>
      <c r="B986" s="73"/>
      <c r="C986" s="930"/>
      <c r="D986" s="1387" t="s">
        <v>633</v>
      </c>
      <c r="E986" s="1388"/>
      <c r="F986" s="1388"/>
      <c r="G986" s="1388"/>
      <c r="H986" s="1388"/>
      <c r="I986" s="1388"/>
      <c r="J986" s="1388"/>
      <c r="K986" s="1388"/>
      <c r="L986" s="1388"/>
      <c r="M986" s="1388"/>
      <c r="N986" s="1388"/>
      <c r="O986" s="1388"/>
      <c r="P986" s="1388"/>
      <c r="Q986" s="1389"/>
      <c r="R986" s="1393">
        <f>IF(ISNA(IF($CU$122="4%",(INDEX($CS$160:$CW$217,MATCH($DG$122,$CR$160:$CR$217,0),MATCH(D986,$CS$159:$CW$159,0))),(INDEX($CZ$160:$DD$217,MATCH($DG$122,$CY$160:$CY$217,0),MATCH(D986,$CZ$159:$DD$159,0))))),0,IF($CU$122="4%",(INDEX($CS$160:$CW$217,MATCH($DG$122,$CR$160:$CR$217,0),MATCH(D986,$CS$159:$CW$159,0))),(INDEX($CZ$160:$DD$217,MATCH($DG$122,$CY$160:$CY$217,0),MATCH(D986,$CZ$159:$DD$159,0)))))</f>
        <v>437727</v>
      </c>
      <c r="S986" s="1393"/>
      <c r="T986" s="1393"/>
      <c r="U986" s="1393"/>
      <c r="V986" s="1393"/>
      <c r="W986" s="1393"/>
      <c r="X986" s="1393"/>
      <c r="Y986" s="1393"/>
      <c r="Z986" s="1393"/>
      <c r="AA986" s="1393"/>
      <c r="AB986" s="1390">
        <f>CP802</f>
        <v>101</v>
      </c>
      <c r="AC986" s="1391"/>
      <c r="AD986" s="1391"/>
      <c r="AE986" s="1391"/>
      <c r="AF986" s="1391"/>
      <c r="AG986" s="1391"/>
      <c r="AH986" s="1391"/>
      <c r="AI986" s="1392"/>
      <c r="AJ986" s="1394">
        <f>IF(ISERROR((R986*AB986)),0,(R986*AB986))</f>
        <v>44210427</v>
      </c>
      <c r="AK986" s="1395"/>
      <c r="AL986" s="1395"/>
      <c r="AM986" s="1395"/>
      <c r="AN986" s="1395"/>
      <c r="AO986" s="1395"/>
      <c r="AP986" s="1395"/>
      <c r="AQ986" s="1396"/>
      <c r="AR986" s="68"/>
      <c r="AS986" s="68"/>
      <c r="AT986" s="68"/>
      <c r="AU986" s="68"/>
      <c r="AV986" s="68"/>
      <c r="AW986" s="68"/>
      <c r="AX986" s="68"/>
      <c r="AY986" s="68"/>
      <c r="AZ986" s="30"/>
      <c r="BB986" s="14"/>
      <c r="BC986" s="14"/>
    </row>
    <row r="987" spans="1:64" ht="12.95" customHeight="1">
      <c r="A987" s="14"/>
      <c r="B987" s="73"/>
      <c r="C987" s="83"/>
      <c r="D987" s="1387" t="s">
        <v>324</v>
      </c>
      <c r="E987" s="1388"/>
      <c r="F987" s="1388"/>
      <c r="G987" s="1388"/>
      <c r="H987" s="1388"/>
      <c r="I987" s="1388"/>
      <c r="J987" s="1388"/>
      <c r="K987" s="1388"/>
      <c r="L987" s="1388"/>
      <c r="M987" s="1388"/>
      <c r="N987" s="1388"/>
      <c r="O987" s="1388"/>
      <c r="P987" s="1388"/>
      <c r="Q987" s="1389"/>
      <c r="R987" s="1393">
        <f>IF(ISNA(IF($CU$122="4%",(INDEX($CS$160:$CW$217,MATCH($DG$122,$CR$160:$CR$217,0),MATCH(D987,$CS$159:$CW$159,0))),(INDEX($CZ$160:$DD$217,MATCH($DG$122,$CY$160:$CY$217,0),MATCH(D987,$CZ$159:$DD$159,0))))),0,IF($CU$122="4%",(INDEX($CS$160:$CW$217,MATCH($DG$122,$CR$160:$CR$217,0),MATCH(D987,$CS$159:$CW$159,0))),(INDEX($CZ$160:$DD$217,MATCH($DG$122,$CY$160:$CY$217,0),MATCH(D987,$CZ$159:$DD$159,0)))))</f>
        <v>504695</v>
      </c>
      <c r="S987" s="1393"/>
      <c r="T987" s="1393"/>
      <c r="U987" s="1393"/>
      <c r="V987" s="1393"/>
      <c r="W987" s="1393"/>
      <c r="X987" s="1393"/>
      <c r="Y987" s="1393"/>
      <c r="Z987" s="1393"/>
      <c r="AA987" s="1393"/>
      <c r="AB987" s="1390">
        <f>CU802</f>
        <v>36</v>
      </c>
      <c r="AC987" s="1391"/>
      <c r="AD987" s="1391"/>
      <c r="AE987" s="1391"/>
      <c r="AF987" s="1391"/>
      <c r="AG987" s="1391"/>
      <c r="AH987" s="1391"/>
      <c r="AI987" s="1392"/>
      <c r="AJ987" s="1394">
        <f>IF(ISERROR((R987*AB987)),0,(R987*AB987))</f>
        <v>18169020</v>
      </c>
      <c r="AK987" s="1395"/>
      <c r="AL987" s="1395"/>
      <c r="AM987" s="1395"/>
      <c r="AN987" s="1395"/>
      <c r="AO987" s="1395"/>
      <c r="AP987" s="1395"/>
      <c r="AQ987" s="1396"/>
      <c r="AR987" s="68"/>
      <c r="AS987" s="68"/>
      <c r="AT987" s="68"/>
      <c r="AU987" s="68"/>
      <c r="AV987" s="68"/>
      <c r="AW987" s="68"/>
      <c r="AX987" s="68"/>
      <c r="AY987" s="68"/>
      <c r="AZ987" s="30"/>
      <c r="BB987" s="14"/>
      <c r="BC987" s="14"/>
    </row>
    <row r="988" spans="1:64" ht="12.95" customHeight="1">
      <c r="A988" s="14"/>
      <c r="B988" s="73"/>
      <c r="C988" s="83"/>
      <c r="D988" s="1387" t="s">
        <v>163</v>
      </c>
      <c r="E988" s="1388"/>
      <c r="F988" s="1388"/>
      <c r="G988" s="1388"/>
      <c r="H988" s="1388"/>
      <c r="I988" s="1388"/>
      <c r="J988" s="1388"/>
      <c r="K988" s="1388"/>
      <c r="L988" s="1388"/>
      <c r="M988" s="1388"/>
      <c r="N988" s="1388"/>
      <c r="O988" s="1388"/>
      <c r="P988" s="1388"/>
      <c r="Q988" s="1389"/>
      <c r="R988" s="1393">
        <f>IF(ISNA(IF($CU$122="4%",(INDEX($CS$160:$CW$217,MATCH($DG$122,$CR$160:$CR$217,0),MATCH(D988,$CS$159:$CW$159,0))),(INDEX($CZ$160:$DD$217,MATCH($DG$122,$CY$160:$CY$217,0),MATCH(D988,$CZ$159:$DD$159,0))))),0,IF($CU$122="4%",(INDEX($CS$160:$CW$217,MATCH($DG$122,$CR$160:$CR$217,0),MATCH(D988,$CS$159:$CW$159,0))),(INDEX($CZ$160:$DD$217,MATCH($DG$122,$CY$160:$CY$217,0),MATCH(D988,$CZ$159:$DD$159,0)))))</f>
        <v>608800</v>
      </c>
      <c r="S988" s="1393"/>
      <c r="T988" s="1393"/>
      <c r="U988" s="1393"/>
      <c r="V988" s="1393"/>
      <c r="W988" s="1393"/>
      <c r="X988" s="1393"/>
      <c r="Y988" s="1393"/>
      <c r="Z988" s="1393"/>
      <c r="AA988" s="1393"/>
      <c r="AB988" s="1390">
        <f>CZ802</f>
        <v>95</v>
      </c>
      <c r="AC988" s="1391"/>
      <c r="AD988" s="1391"/>
      <c r="AE988" s="1391"/>
      <c r="AF988" s="1391"/>
      <c r="AG988" s="1391"/>
      <c r="AH988" s="1391"/>
      <c r="AI988" s="1392"/>
      <c r="AJ988" s="1394">
        <f>IF(ISERROR((R988*AB988)),0,(R988*AB988))</f>
        <v>57836000</v>
      </c>
      <c r="AK988" s="1395"/>
      <c r="AL988" s="1395"/>
      <c r="AM988" s="1395"/>
      <c r="AN988" s="1395"/>
      <c r="AO988" s="1395"/>
      <c r="AP988" s="1395"/>
      <c r="AQ988" s="1396"/>
      <c r="AR988" s="68"/>
      <c r="AS988" s="68"/>
      <c r="AT988" s="68"/>
      <c r="AU988" s="68"/>
      <c r="AV988" s="68"/>
      <c r="AW988" s="68"/>
      <c r="AX988" s="68"/>
      <c r="AY988" s="68"/>
      <c r="AZ988" s="30"/>
      <c r="BB988" s="14"/>
      <c r="BC988" s="14"/>
    </row>
    <row r="989" spans="1:64" ht="12.95" customHeight="1">
      <c r="A989" s="14"/>
      <c r="B989" s="73"/>
      <c r="C989" s="83"/>
      <c r="D989" s="1387" t="s">
        <v>164</v>
      </c>
      <c r="E989" s="1388"/>
      <c r="F989" s="1388"/>
      <c r="G989" s="1388"/>
      <c r="H989" s="1388"/>
      <c r="I989" s="1388"/>
      <c r="J989" s="1388"/>
      <c r="K989" s="1388"/>
      <c r="L989" s="1388"/>
      <c r="M989" s="1388"/>
      <c r="N989" s="1388"/>
      <c r="O989" s="1388"/>
      <c r="P989" s="1388"/>
      <c r="Q989" s="1389"/>
      <c r="R989" s="1393">
        <f>IF(ISNA(IF($CU$122="4%",(INDEX($CS$160:$CW$217,MATCH($DG$122,$CR$160:$CR$217,0),MATCH(D989,$CS$159:$CW$159,0))),(INDEX($CZ$160:$DD$217,MATCH($DG$122,$CY$160:$CY$217,0),MATCH(D989,$CZ$159:$DD$159,0))))),0,IF($CU$122="4%",(INDEX($CS$160:$CW$217,MATCH($DG$122,$CR$160:$CR$217,0),MATCH(D989,$CS$159:$CW$159,0))),(INDEX($CZ$160:$DD$217,MATCH($DG$122,$CY$160:$CY$217,0),MATCH(D989,$CZ$159:$DD$159,0)))))</f>
        <v>779264</v>
      </c>
      <c r="S989" s="1393"/>
      <c r="T989" s="1393"/>
      <c r="U989" s="1393"/>
      <c r="V989" s="1393"/>
      <c r="W989" s="1393"/>
      <c r="X989" s="1393"/>
      <c r="Y989" s="1393"/>
      <c r="Z989" s="1393"/>
      <c r="AA989" s="1393"/>
      <c r="AB989" s="1390">
        <f>DE802</f>
        <v>0</v>
      </c>
      <c r="AC989" s="1391"/>
      <c r="AD989" s="1391"/>
      <c r="AE989" s="1391"/>
      <c r="AF989" s="1391"/>
      <c r="AG989" s="1391"/>
      <c r="AH989" s="1391"/>
      <c r="AI989" s="1392"/>
      <c r="AJ989" s="1394">
        <f>IF(ISERROR((R989*AB989)),0,(R989*AB989))</f>
        <v>0</v>
      </c>
      <c r="AK989" s="1395"/>
      <c r="AL989" s="1395"/>
      <c r="AM989" s="1395"/>
      <c r="AN989" s="1395"/>
      <c r="AO989" s="1395"/>
      <c r="AP989" s="1395"/>
      <c r="AQ989" s="1396"/>
      <c r="AR989" s="68"/>
      <c r="AS989" s="68"/>
      <c r="AT989" s="68"/>
      <c r="AU989" s="68"/>
      <c r="AV989" s="68"/>
      <c r="AW989" s="68"/>
      <c r="AX989" s="68"/>
      <c r="AY989" s="68"/>
      <c r="AZ989" s="30"/>
      <c r="BA989" s="34"/>
      <c r="BB989" s="14"/>
      <c r="BC989" s="14"/>
    </row>
    <row r="990" spans="1:64" ht="12.95" customHeight="1">
      <c r="A990" s="14"/>
      <c r="B990" s="47"/>
      <c r="C990" s="78"/>
      <c r="D990" s="1387" t="s">
        <v>460</v>
      </c>
      <c r="E990" s="1388"/>
      <c r="F990" s="1388"/>
      <c r="G990" s="1388"/>
      <c r="H990" s="1388"/>
      <c r="I990" s="1388"/>
      <c r="J990" s="1388"/>
      <c r="K990" s="1388"/>
      <c r="L990" s="1388"/>
      <c r="M990" s="1388"/>
      <c r="N990" s="1388"/>
      <c r="O990" s="1388"/>
      <c r="P990" s="1388"/>
      <c r="Q990" s="1389"/>
      <c r="R990" s="1393">
        <f>IF(ISNA(IF($CU$122="4%",(INDEX($CS$160:$CW$217,MATCH($DG$122,$CR$160:$CR$217,0),MATCH(D990,$CS$159:$CW$159,0))),(INDEX($CZ$160:$DD$217,MATCH($DG$122,$CY$160:$CY$217,0),MATCH(D990,$CZ$159:$DD$159,0))))),0,IF($CU$122="4%",(INDEX($CS$160:$CW$217,MATCH($DG$122,$CR$160:$CR$217,0),MATCH(D990,$CS$159:$CW$159,0))),(INDEX($CZ$160:$DD$217,MATCH($DG$122,$CY$160:$CY$217,0),MATCH(D990,$CZ$159:$DD$159,0)))))</f>
        <v>868149</v>
      </c>
      <c r="S990" s="1393"/>
      <c r="T990" s="1393"/>
      <c r="U990" s="1393"/>
      <c r="V990" s="1393"/>
      <c r="W990" s="1393"/>
      <c r="X990" s="1393"/>
      <c r="Y990" s="1393"/>
      <c r="Z990" s="1393"/>
      <c r="AA990" s="1393"/>
      <c r="AB990" s="1390">
        <f>DO802+DJ802</f>
        <v>0</v>
      </c>
      <c r="AC990" s="1391"/>
      <c r="AD990" s="1391"/>
      <c r="AE990" s="1391"/>
      <c r="AF990" s="1391"/>
      <c r="AG990" s="1391"/>
      <c r="AH990" s="1391"/>
      <c r="AI990" s="1392"/>
      <c r="AJ990" s="1394">
        <f>IF(ISERROR((R990*AB990)),0,(R990*AB990))</f>
        <v>0</v>
      </c>
      <c r="AK990" s="1395"/>
      <c r="AL990" s="1395"/>
      <c r="AM990" s="1395"/>
      <c r="AN990" s="1395"/>
      <c r="AO990" s="1395"/>
      <c r="AP990" s="1395"/>
      <c r="AQ990" s="1396"/>
      <c r="AR990" s="68"/>
      <c r="AS990" s="68"/>
      <c r="AT990" s="68"/>
      <c r="AU990" s="68"/>
      <c r="AV990" s="68"/>
      <c r="AW990" s="68"/>
      <c r="AX990" s="68"/>
      <c r="AY990" s="68"/>
      <c r="AZ990" s="30"/>
      <c r="BB990" s="14"/>
      <c r="BC990" s="14"/>
    </row>
    <row r="991" spans="1:64" ht="12.95" customHeight="1">
      <c r="A991" s="14"/>
      <c r="B991" s="1592" t="s">
        <v>791</v>
      </c>
      <c r="C991" s="1593"/>
      <c r="D991" s="1593"/>
      <c r="E991" s="1593"/>
      <c r="F991" s="1593"/>
      <c r="G991" s="1593"/>
      <c r="H991" s="1593"/>
      <c r="I991" s="1593"/>
      <c r="J991" s="1593"/>
      <c r="K991" s="1593"/>
      <c r="L991" s="1593"/>
      <c r="M991" s="1593"/>
      <c r="N991" s="1593"/>
      <c r="O991" s="1593"/>
      <c r="P991" s="1593"/>
      <c r="Q991" s="1593"/>
      <c r="R991" s="1593"/>
      <c r="S991" s="1593"/>
      <c r="T991" s="1593"/>
      <c r="U991" s="1593"/>
      <c r="V991" s="1593"/>
      <c r="W991" s="1593"/>
      <c r="X991" s="1593"/>
      <c r="Y991" s="1593"/>
      <c r="Z991" s="1593"/>
      <c r="AA991" s="1594"/>
      <c r="AB991" s="1390">
        <f>SUM(AB986:AI990)</f>
        <v>232</v>
      </c>
      <c r="AC991" s="1391"/>
      <c r="AD991" s="1391"/>
      <c r="AE991" s="1391"/>
      <c r="AF991" s="1391"/>
      <c r="AG991" s="1391"/>
      <c r="AH991" s="1391"/>
      <c r="AI991" s="1392"/>
      <c r="AJ991" s="1394"/>
      <c r="AK991" s="1395"/>
      <c r="AL991" s="1395"/>
      <c r="AM991" s="1395"/>
      <c r="AN991" s="1395"/>
      <c r="AO991" s="1395"/>
      <c r="AP991" s="1395"/>
      <c r="AQ991" s="1396"/>
      <c r="AR991" s="68"/>
      <c r="AS991" s="68"/>
      <c r="AT991" s="68"/>
      <c r="AU991" s="68"/>
      <c r="AV991" s="68"/>
      <c r="AW991" s="68"/>
      <c r="AX991" s="68"/>
      <c r="AY991" s="68"/>
      <c r="AZ991" s="34"/>
      <c r="BA991" s="34"/>
      <c r="BB991" s="14"/>
      <c r="BC991" s="14"/>
    </row>
    <row r="992" spans="1:64" ht="12.95" customHeight="1">
      <c r="A992" s="14"/>
      <c r="B992" s="1567" t="s">
        <v>512</v>
      </c>
      <c r="C992" s="1568"/>
      <c r="D992" s="1568"/>
      <c r="E992" s="1568"/>
      <c r="F992" s="1568"/>
      <c r="G992" s="1568"/>
      <c r="H992" s="1568"/>
      <c r="I992" s="1568"/>
      <c r="J992" s="1568"/>
      <c r="K992" s="1568"/>
      <c r="L992" s="1568"/>
      <c r="M992" s="1568"/>
      <c r="N992" s="1568"/>
      <c r="O992" s="1568"/>
      <c r="P992" s="1568"/>
      <c r="Q992" s="1568"/>
      <c r="R992" s="1568"/>
      <c r="S992" s="1568"/>
      <c r="T992" s="1568"/>
      <c r="U992" s="1568"/>
      <c r="V992" s="1568"/>
      <c r="W992" s="1568"/>
      <c r="X992" s="1568"/>
      <c r="Y992" s="1568"/>
      <c r="Z992" s="1568"/>
      <c r="AA992" s="1568"/>
      <c r="AB992" s="1568"/>
      <c r="AC992" s="1568"/>
      <c r="AD992" s="1568"/>
      <c r="AE992" s="1568"/>
      <c r="AF992" s="1568"/>
      <c r="AG992" s="1568"/>
      <c r="AH992" s="1568"/>
      <c r="AI992" s="1569"/>
      <c r="AJ992" s="1394">
        <f>SUM(AJ986:AQ990)</f>
        <v>120215447</v>
      </c>
      <c r="AK992" s="1395"/>
      <c r="AL992" s="1395"/>
      <c r="AM992" s="1395"/>
      <c r="AN992" s="1395"/>
      <c r="AO992" s="1395"/>
      <c r="AP992" s="1395"/>
      <c r="AQ992" s="1396"/>
      <c r="AR992" s="68"/>
      <c r="AS992" s="68"/>
      <c r="AT992" s="68"/>
      <c r="AU992" s="68"/>
      <c r="AV992" s="68"/>
      <c r="AW992" s="68"/>
      <c r="AX992" s="68"/>
      <c r="AY992" s="68"/>
      <c r="AZ992" s="34"/>
      <c r="BB992" s="34"/>
      <c r="BC992" s="34"/>
    </row>
    <row r="993" spans="1:55" ht="12.95" customHeight="1">
      <c r="A993" s="14"/>
      <c r="B993" s="1505"/>
      <c r="C993" s="1506"/>
      <c r="D993" s="1506"/>
      <c r="E993" s="1506"/>
      <c r="F993" s="1506"/>
      <c r="G993" s="1506"/>
      <c r="H993" s="1506"/>
      <c r="I993" s="1506"/>
      <c r="J993" s="1506"/>
      <c r="K993" s="1506"/>
      <c r="L993" s="1506"/>
      <c r="M993" s="1506"/>
      <c r="N993" s="1506"/>
      <c r="O993" s="1506"/>
      <c r="P993" s="1506"/>
      <c r="Q993" s="1506"/>
      <c r="R993" s="1506"/>
      <c r="S993" s="1506"/>
      <c r="T993" s="1506"/>
      <c r="U993" s="1506"/>
      <c r="V993" s="1506"/>
      <c r="W993" s="1506"/>
      <c r="X993" s="1506"/>
      <c r="Y993" s="1506"/>
      <c r="Z993" s="1506"/>
      <c r="AA993" s="1506"/>
      <c r="AB993" s="1506"/>
      <c r="AC993" s="1506"/>
      <c r="AD993" s="1506"/>
      <c r="AE993" s="1507"/>
      <c r="AF993" s="1511" t="s">
        <v>666</v>
      </c>
      <c r="AG993" s="1512"/>
      <c r="AH993" s="1512"/>
      <c r="AI993" s="1513"/>
      <c r="AJ993" s="1505"/>
      <c r="AK993" s="1506"/>
      <c r="AL993" s="1506"/>
      <c r="AM993" s="1506"/>
      <c r="AN993" s="1506"/>
      <c r="AO993" s="1506"/>
      <c r="AP993" s="1506"/>
      <c r="AQ993" s="1507"/>
      <c r="AR993" s="68"/>
      <c r="AS993" s="68"/>
      <c r="AT993" s="68"/>
      <c r="AU993" s="68"/>
      <c r="AV993" s="68"/>
      <c r="AW993" s="68"/>
      <c r="AX993" s="68"/>
      <c r="AY993" s="68"/>
      <c r="AZ993" s="34"/>
      <c r="BA993" s="34"/>
      <c r="BB993" s="34"/>
      <c r="BC993" s="34"/>
    </row>
    <row r="994" spans="1:55" ht="12.95" customHeight="1">
      <c r="A994" s="14"/>
      <c r="B994" s="73"/>
      <c r="C994" s="928" t="s">
        <v>668</v>
      </c>
      <c r="D994" s="1518" t="s">
        <v>1219</v>
      </c>
      <c r="E994" s="1519"/>
      <c r="F994" s="1519"/>
      <c r="G994" s="1519"/>
      <c r="H994" s="1519"/>
      <c r="I994" s="1519"/>
      <c r="J994" s="1519"/>
      <c r="K994" s="1519"/>
      <c r="L994" s="1519"/>
      <c r="M994" s="1519"/>
      <c r="N994" s="1519"/>
      <c r="O994" s="1519"/>
      <c r="P994" s="1519"/>
      <c r="Q994" s="1519"/>
      <c r="R994" s="1519"/>
      <c r="S994" s="1519"/>
      <c r="T994" s="1519"/>
      <c r="U994" s="1519"/>
      <c r="V994" s="1519"/>
      <c r="W994" s="1519"/>
      <c r="X994" s="1519"/>
      <c r="Y994" s="1519"/>
      <c r="Z994" s="1519"/>
      <c r="AA994" s="1519"/>
      <c r="AB994" s="1519"/>
      <c r="AC994" s="1519"/>
      <c r="AD994" s="1519"/>
      <c r="AE994" s="1520"/>
      <c r="AF994" s="79"/>
      <c r="AG994" s="1514" t="s">
        <v>669</v>
      </c>
      <c r="AH994" s="1515"/>
      <c r="AI994" s="87"/>
      <c r="AJ994" s="1358">
        <f>ROUND(IF(AND(AG994="yes",D1000&gt;0),AJ992*0.2,0),0)</f>
        <v>0</v>
      </c>
      <c r="AK994" s="1359"/>
      <c r="AL994" s="1359"/>
      <c r="AM994" s="1359"/>
      <c r="AN994" s="1359"/>
      <c r="AO994" s="1359"/>
      <c r="AP994" s="1359"/>
      <c r="AQ994" s="1360"/>
      <c r="AR994" s="68"/>
      <c r="AS994" s="68"/>
      <c r="AT994" s="68"/>
      <c r="AU994" s="68"/>
      <c r="AV994" s="68"/>
      <c r="AW994" s="68"/>
      <c r="AX994" s="68"/>
      <c r="AY994" s="68"/>
      <c r="AZ994" s="34"/>
      <c r="BA994" s="34"/>
      <c r="BB994" s="34"/>
      <c r="BC994" s="34"/>
    </row>
    <row r="995" spans="1:55" ht="12.95" customHeight="1">
      <c r="A995" s="14"/>
      <c r="B995" s="258"/>
      <c r="C995" s="257"/>
      <c r="D995" s="1550" t="s">
        <v>2237</v>
      </c>
      <c r="E995" s="1551"/>
      <c r="F995" s="1551"/>
      <c r="G995" s="1551"/>
      <c r="H995" s="1551"/>
      <c r="I995" s="1551"/>
      <c r="J995" s="1551"/>
      <c r="K995" s="1551"/>
      <c r="L995" s="1551"/>
      <c r="M995" s="1551"/>
      <c r="N995" s="1551"/>
      <c r="O995" s="1551"/>
      <c r="P995" s="1551"/>
      <c r="Q995" s="1551"/>
      <c r="R995" s="1551"/>
      <c r="S995" s="1551"/>
      <c r="T995" s="1551"/>
      <c r="U995" s="1551"/>
      <c r="V995" s="1551"/>
      <c r="W995" s="1551"/>
      <c r="X995" s="1551"/>
      <c r="Y995" s="1551"/>
      <c r="Z995" s="1551"/>
      <c r="AA995" s="1551"/>
      <c r="AB995" s="1551"/>
      <c r="AC995" s="1551"/>
      <c r="AD995" s="1551"/>
      <c r="AE995" s="1552"/>
      <c r="AF995" s="73"/>
      <c r="AG995" s="14"/>
      <c r="AH995" s="14"/>
      <c r="AI995" s="83"/>
      <c r="AJ995" s="1361"/>
      <c r="AK995" s="1362"/>
      <c r="AL995" s="1362"/>
      <c r="AM995" s="1362"/>
      <c r="AN995" s="1362"/>
      <c r="AO995" s="1362"/>
      <c r="AP995" s="1362"/>
      <c r="AQ995" s="1363"/>
      <c r="AR995" s="68"/>
      <c r="AS995" s="68"/>
      <c r="AT995" s="68"/>
      <c r="AU995" s="68"/>
      <c r="AV995" s="68"/>
      <c r="AW995" s="68"/>
      <c r="AX995" s="68"/>
      <c r="AY995" s="68"/>
      <c r="AZ995" s="34"/>
      <c r="BA995" s="34"/>
      <c r="BB995" s="34"/>
      <c r="BC995" s="34"/>
    </row>
    <row r="996" spans="1:55" ht="12.95" customHeight="1">
      <c r="A996" s="14"/>
      <c r="B996" s="258"/>
      <c r="C996" s="257"/>
      <c r="D996" s="1550"/>
      <c r="E996" s="1551"/>
      <c r="F996" s="1551"/>
      <c r="G996" s="1551"/>
      <c r="H996" s="1551"/>
      <c r="I996" s="1551"/>
      <c r="J996" s="1551"/>
      <c r="K996" s="1551"/>
      <c r="L996" s="1551"/>
      <c r="M996" s="1551"/>
      <c r="N996" s="1551"/>
      <c r="O996" s="1551"/>
      <c r="P996" s="1551"/>
      <c r="Q996" s="1551"/>
      <c r="R996" s="1551"/>
      <c r="S996" s="1551"/>
      <c r="T996" s="1551"/>
      <c r="U996" s="1551"/>
      <c r="V996" s="1551"/>
      <c r="W996" s="1551"/>
      <c r="X996" s="1551"/>
      <c r="Y996" s="1551"/>
      <c r="Z996" s="1551"/>
      <c r="AA996" s="1551"/>
      <c r="AB996" s="1551"/>
      <c r="AC996" s="1551"/>
      <c r="AD996" s="1551"/>
      <c r="AE996" s="1552"/>
      <c r="AF996" s="73"/>
      <c r="AG996" s="14"/>
      <c r="AH996" s="14"/>
      <c r="AI996" s="83"/>
      <c r="AJ996" s="1361"/>
      <c r="AK996" s="1362"/>
      <c r="AL996" s="1362"/>
      <c r="AM996" s="1362"/>
      <c r="AN996" s="1362"/>
      <c r="AO996" s="1362"/>
      <c r="AP996" s="1362"/>
      <c r="AQ996" s="1363"/>
      <c r="AR996" s="68"/>
      <c r="AS996" s="68"/>
      <c r="AT996" s="68"/>
      <c r="AU996" s="68"/>
      <c r="AV996" s="68"/>
      <c r="AW996" s="68"/>
      <c r="AX996" s="68"/>
      <c r="AY996" s="68"/>
      <c r="AZ996" s="34"/>
      <c r="BA996" s="34"/>
      <c r="BB996" s="34"/>
      <c r="BC996" s="34"/>
    </row>
    <row r="997" spans="1:55" ht="12.95" customHeight="1">
      <c r="A997" s="14"/>
      <c r="B997" s="258"/>
      <c r="C997" s="257"/>
      <c r="D997" s="1550"/>
      <c r="E997" s="1551"/>
      <c r="F997" s="1551"/>
      <c r="G997" s="1551"/>
      <c r="H997" s="1551"/>
      <c r="I997" s="1551"/>
      <c r="J997" s="1551"/>
      <c r="K997" s="1551"/>
      <c r="L997" s="1551"/>
      <c r="M997" s="1551"/>
      <c r="N997" s="1551"/>
      <c r="O997" s="1551"/>
      <c r="P997" s="1551"/>
      <c r="Q997" s="1551"/>
      <c r="R997" s="1551"/>
      <c r="S997" s="1551"/>
      <c r="T997" s="1551"/>
      <c r="U997" s="1551"/>
      <c r="V997" s="1551"/>
      <c r="W997" s="1551"/>
      <c r="X997" s="1551"/>
      <c r="Y997" s="1551"/>
      <c r="Z997" s="1551"/>
      <c r="AA997" s="1551"/>
      <c r="AB997" s="1551"/>
      <c r="AC997" s="1551"/>
      <c r="AD997" s="1551"/>
      <c r="AE997" s="1552"/>
      <c r="AF997" s="73"/>
      <c r="AG997" s="14"/>
      <c r="AH997" s="14"/>
      <c r="AI997" s="83"/>
      <c r="AJ997" s="1361"/>
      <c r="AK997" s="1362"/>
      <c r="AL997" s="1362"/>
      <c r="AM997" s="1362"/>
      <c r="AN997" s="1362"/>
      <c r="AO997" s="1362"/>
      <c r="AP997" s="1362"/>
      <c r="AQ997" s="1363"/>
      <c r="AR997" s="68"/>
      <c r="AS997" s="68"/>
      <c r="AT997" s="68"/>
      <c r="AU997" s="68"/>
      <c r="AV997" s="68"/>
      <c r="AW997" s="68"/>
      <c r="AX997" s="68"/>
      <c r="AY997" s="68"/>
      <c r="AZ997" s="34"/>
      <c r="BA997" s="34"/>
      <c r="BB997" s="34"/>
      <c r="BC997" s="34"/>
    </row>
    <row r="998" spans="1:55" ht="12.95" customHeight="1">
      <c r="A998" s="14"/>
      <c r="B998" s="258"/>
      <c r="C998" s="257"/>
      <c r="D998" s="1550"/>
      <c r="E998" s="1551"/>
      <c r="F998" s="1551"/>
      <c r="G998" s="1551"/>
      <c r="H998" s="1551"/>
      <c r="I998" s="1551"/>
      <c r="J998" s="1551"/>
      <c r="K998" s="1551"/>
      <c r="L998" s="1551"/>
      <c r="M998" s="1551"/>
      <c r="N998" s="1551"/>
      <c r="O998" s="1551"/>
      <c r="P998" s="1551"/>
      <c r="Q998" s="1551"/>
      <c r="R998" s="1551"/>
      <c r="S998" s="1551"/>
      <c r="T998" s="1551"/>
      <c r="U998" s="1551"/>
      <c r="V998" s="1551"/>
      <c r="W998" s="1551"/>
      <c r="X998" s="1551"/>
      <c r="Y998" s="1551"/>
      <c r="Z998" s="1551"/>
      <c r="AA998" s="1551"/>
      <c r="AB998" s="1551"/>
      <c r="AC998" s="1551"/>
      <c r="AD998" s="1551"/>
      <c r="AE998" s="1552"/>
      <c r="AF998" s="73"/>
      <c r="AG998" s="14"/>
      <c r="AH998" s="14"/>
      <c r="AI998" s="83"/>
      <c r="AJ998" s="1361"/>
      <c r="AK998" s="1362"/>
      <c r="AL998" s="1362"/>
      <c r="AM998" s="1362"/>
      <c r="AN998" s="1362"/>
      <c r="AO998" s="1362"/>
      <c r="AP998" s="1362"/>
      <c r="AQ998" s="1363"/>
      <c r="AR998" s="68"/>
      <c r="AS998" s="68"/>
      <c r="AT998" s="68"/>
      <c r="AU998" s="68"/>
      <c r="AV998" s="68"/>
      <c r="AW998" s="68"/>
      <c r="AX998" s="68"/>
      <c r="AY998" s="68"/>
      <c r="AZ998" s="34"/>
      <c r="BA998" s="34"/>
      <c r="BB998" s="34"/>
      <c r="BC998" s="34"/>
    </row>
    <row r="999" spans="1:55" ht="12.95" customHeight="1">
      <c r="A999" s="14"/>
      <c r="B999" s="258"/>
      <c r="C999" s="257"/>
      <c r="D999" s="1553" t="s">
        <v>2206</v>
      </c>
      <c r="E999" s="1554"/>
      <c r="F999" s="1554"/>
      <c r="G999" s="1554"/>
      <c r="H999" s="1554"/>
      <c r="I999" s="1554"/>
      <c r="J999" s="1554"/>
      <c r="K999" s="1554"/>
      <c r="L999" s="1554"/>
      <c r="M999" s="1554"/>
      <c r="N999" s="1554"/>
      <c r="O999" s="1554"/>
      <c r="P999" s="1554"/>
      <c r="Q999" s="1554"/>
      <c r="R999" s="1554"/>
      <c r="S999" s="1554"/>
      <c r="T999" s="1554"/>
      <c r="U999" s="1554"/>
      <c r="V999" s="1554"/>
      <c r="W999" s="1554"/>
      <c r="X999" s="1554"/>
      <c r="Y999" s="1554"/>
      <c r="Z999" s="1554"/>
      <c r="AA999" s="1554"/>
      <c r="AB999" s="1554"/>
      <c r="AC999" s="1554"/>
      <c r="AD999" s="1554"/>
      <c r="AE999" s="1555"/>
      <c r="AF999" s="73"/>
      <c r="AG999" s="14"/>
      <c r="AH999" s="14"/>
      <c r="AI999" s="83"/>
      <c r="AJ999" s="1361"/>
      <c r="AK999" s="1362"/>
      <c r="AL999" s="1362"/>
      <c r="AM999" s="1362"/>
      <c r="AN999" s="1362"/>
      <c r="AO999" s="1362"/>
      <c r="AP999" s="1362"/>
      <c r="AQ999" s="1363"/>
      <c r="AR999" s="68"/>
      <c r="AS999" s="68"/>
      <c r="AT999" s="68"/>
      <c r="AU999" s="68"/>
      <c r="AV999" s="68"/>
      <c r="AW999" s="68"/>
      <c r="AX999" s="68"/>
      <c r="AY999" s="68"/>
      <c r="AZ999" s="34"/>
      <c r="BA999" s="34"/>
      <c r="BB999" s="34"/>
      <c r="BC999" s="34"/>
    </row>
    <row r="1000" spans="1:55" ht="12.95" customHeight="1">
      <c r="A1000" s="14"/>
      <c r="B1000" s="258"/>
      <c r="C1000" s="257"/>
      <c r="D1000" s="1595"/>
      <c r="E1000" s="1596"/>
      <c r="F1000" s="1596"/>
      <c r="G1000" s="1596"/>
      <c r="H1000" s="1596"/>
      <c r="I1000" s="1596"/>
      <c r="J1000" s="1596"/>
      <c r="K1000" s="1596"/>
      <c r="L1000" s="1596"/>
      <c r="M1000" s="1596"/>
      <c r="N1000" s="1596"/>
      <c r="O1000" s="1596"/>
      <c r="P1000" s="1596"/>
      <c r="Q1000" s="1596"/>
      <c r="R1000" s="1596"/>
      <c r="S1000" s="1596"/>
      <c r="T1000" s="1596"/>
      <c r="U1000" s="1596"/>
      <c r="V1000" s="1596"/>
      <c r="W1000" s="1596"/>
      <c r="X1000" s="1596"/>
      <c r="Y1000" s="1596"/>
      <c r="Z1000" s="1596"/>
      <c r="AA1000" s="1596"/>
      <c r="AB1000" s="1596"/>
      <c r="AC1000" s="1596"/>
      <c r="AD1000" s="1596"/>
      <c r="AE1000" s="1597"/>
      <c r="AF1000" s="77"/>
      <c r="AG1000" s="7"/>
      <c r="AH1000" s="7"/>
      <c r="AI1000" s="78"/>
      <c r="AJ1000" s="1364"/>
      <c r="AK1000" s="1365"/>
      <c r="AL1000" s="1365"/>
      <c r="AM1000" s="1365"/>
      <c r="AN1000" s="1365"/>
      <c r="AO1000" s="1365"/>
      <c r="AP1000" s="1365"/>
      <c r="AQ1000" s="1366"/>
      <c r="AR1000" s="68"/>
      <c r="AS1000" s="68"/>
      <c r="AT1000" s="68"/>
      <c r="AU1000" s="68"/>
      <c r="AV1000" s="68"/>
      <c r="AW1000" s="68"/>
      <c r="AX1000" s="68"/>
      <c r="AY1000" s="68"/>
      <c r="AZ1000" s="34"/>
      <c r="BA1000" s="34"/>
      <c r="BB1000" s="34"/>
      <c r="BC1000" s="34"/>
    </row>
    <row r="1001" spans="1:55" ht="12.95" customHeight="1">
      <c r="A1001" s="14"/>
      <c r="B1001" s="256"/>
      <c r="C1001" s="319"/>
      <c r="D1001" s="1508" t="s">
        <v>1285</v>
      </c>
      <c r="E1001" s="1509"/>
      <c r="F1001" s="1509"/>
      <c r="G1001" s="1509"/>
      <c r="H1001" s="1509"/>
      <c r="I1001" s="1509"/>
      <c r="J1001" s="1509"/>
      <c r="K1001" s="1509"/>
      <c r="L1001" s="1509"/>
      <c r="M1001" s="1509"/>
      <c r="N1001" s="1509"/>
      <c r="O1001" s="1509"/>
      <c r="P1001" s="1509"/>
      <c r="Q1001" s="1509"/>
      <c r="R1001" s="1509"/>
      <c r="S1001" s="1509"/>
      <c r="T1001" s="1509"/>
      <c r="U1001" s="1509"/>
      <c r="V1001" s="1509"/>
      <c r="W1001" s="1509"/>
      <c r="X1001" s="1509"/>
      <c r="Y1001" s="1509"/>
      <c r="Z1001" s="1509"/>
      <c r="AA1001" s="1509"/>
      <c r="AB1001" s="1509"/>
      <c r="AC1001" s="1509"/>
      <c r="AD1001" s="1509"/>
      <c r="AE1001" s="1510"/>
      <c r="AF1001" s="79"/>
      <c r="AG1001" s="1516" t="s">
        <v>669</v>
      </c>
      <c r="AH1001" s="1517"/>
      <c r="AI1001" s="87"/>
      <c r="AJ1001" s="1358">
        <f>ROUND(IF(AG1001="yes",AJ992*0.05,0),0)</f>
        <v>0</v>
      </c>
      <c r="AK1001" s="1359"/>
      <c r="AL1001" s="1359"/>
      <c r="AM1001" s="1359"/>
      <c r="AN1001" s="1359"/>
      <c r="AO1001" s="1359"/>
      <c r="AP1001" s="1359"/>
      <c r="AQ1001" s="1360"/>
      <c r="AR1001" s="68"/>
      <c r="AS1001" s="68"/>
      <c r="AT1001" s="68"/>
      <c r="AU1001" s="68"/>
      <c r="AV1001" s="68"/>
      <c r="AW1001" s="68"/>
      <c r="AX1001" s="68"/>
      <c r="AY1001" s="68"/>
      <c r="AZ1001" s="34"/>
      <c r="BA1001" s="34"/>
      <c r="BB1001" s="34"/>
      <c r="BC1001" s="34"/>
    </row>
    <row r="1002" spans="1:55" ht="12.95" customHeight="1">
      <c r="A1002" s="14"/>
      <c r="B1002" s="258"/>
      <c r="C1002" s="82"/>
      <c r="D1002" s="1550" t="s">
        <v>1283</v>
      </c>
      <c r="E1002" s="1551"/>
      <c r="F1002" s="1551"/>
      <c r="G1002" s="1551"/>
      <c r="H1002" s="1551"/>
      <c r="I1002" s="1551"/>
      <c r="J1002" s="1551"/>
      <c r="K1002" s="1551"/>
      <c r="L1002" s="1551"/>
      <c r="M1002" s="1551"/>
      <c r="N1002" s="1551"/>
      <c r="O1002" s="1551"/>
      <c r="P1002" s="1551"/>
      <c r="Q1002" s="1551"/>
      <c r="R1002" s="1551"/>
      <c r="S1002" s="1551"/>
      <c r="T1002" s="1551"/>
      <c r="U1002" s="1551"/>
      <c r="V1002" s="1551"/>
      <c r="W1002" s="1551"/>
      <c r="X1002" s="1551"/>
      <c r="Y1002" s="1551"/>
      <c r="Z1002" s="1551"/>
      <c r="AA1002" s="1551"/>
      <c r="AB1002" s="1551"/>
      <c r="AC1002" s="1551"/>
      <c r="AD1002" s="1551"/>
      <c r="AE1002" s="1552"/>
      <c r="AF1002" s="73"/>
      <c r="AG1002" s="14"/>
      <c r="AH1002" s="14"/>
      <c r="AI1002" s="83"/>
      <c r="AJ1002" s="1361"/>
      <c r="AK1002" s="1362"/>
      <c r="AL1002" s="1362"/>
      <c r="AM1002" s="1362"/>
      <c r="AN1002" s="1362"/>
      <c r="AO1002" s="1362"/>
      <c r="AP1002" s="1362"/>
      <c r="AQ1002" s="1363"/>
      <c r="AR1002" s="68"/>
      <c r="AS1002" s="68"/>
      <c r="AT1002" s="68"/>
      <c r="AU1002" s="68"/>
      <c r="AV1002" s="68"/>
      <c r="AW1002" s="68"/>
      <c r="AX1002" s="68"/>
      <c r="AY1002" s="34"/>
      <c r="AZ1002" s="34"/>
      <c r="BB1002" s="34"/>
    </row>
    <row r="1003" spans="1:55" ht="12.95" customHeight="1">
      <c r="A1003" s="14"/>
      <c r="B1003" s="258"/>
      <c r="C1003" s="82"/>
      <c r="D1003" s="1550"/>
      <c r="E1003" s="1551"/>
      <c r="F1003" s="1551"/>
      <c r="G1003" s="1551"/>
      <c r="H1003" s="1551"/>
      <c r="I1003" s="1551"/>
      <c r="J1003" s="1551"/>
      <c r="K1003" s="1551"/>
      <c r="L1003" s="1551"/>
      <c r="M1003" s="1551"/>
      <c r="N1003" s="1551"/>
      <c r="O1003" s="1551"/>
      <c r="P1003" s="1551"/>
      <c r="Q1003" s="1551"/>
      <c r="R1003" s="1551"/>
      <c r="S1003" s="1551"/>
      <c r="T1003" s="1551"/>
      <c r="U1003" s="1551"/>
      <c r="V1003" s="1551"/>
      <c r="W1003" s="1551"/>
      <c r="X1003" s="1551"/>
      <c r="Y1003" s="1551"/>
      <c r="Z1003" s="1551"/>
      <c r="AA1003" s="1551"/>
      <c r="AB1003" s="1551"/>
      <c r="AC1003" s="1551"/>
      <c r="AD1003" s="1551"/>
      <c r="AE1003" s="1552"/>
      <c r="AF1003" s="73"/>
      <c r="AG1003" s="14"/>
      <c r="AH1003" s="14"/>
      <c r="AI1003" s="83"/>
      <c r="AJ1003" s="1361"/>
      <c r="AK1003" s="1362"/>
      <c r="AL1003" s="1362"/>
      <c r="AM1003" s="1362"/>
      <c r="AN1003" s="1362"/>
      <c r="AO1003" s="1362"/>
      <c r="AP1003" s="1362"/>
      <c r="AQ1003" s="1363"/>
      <c r="AR1003" s="68"/>
      <c r="AS1003" s="68"/>
      <c r="AT1003" s="68"/>
      <c r="AU1003" s="68"/>
      <c r="AV1003" s="68"/>
      <c r="AW1003" s="68"/>
      <c r="AX1003" s="68"/>
      <c r="AY1003" s="915">
        <f>G753+O797</f>
        <v>230</v>
      </c>
      <c r="AZ1003" s="34"/>
      <c r="BB1003" s="34"/>
    </row>
    <row r="1004" spans="1:55" ht="12.95" customHeight="1">
      <c r="A1004" s="14"/>
      <c r="B1004" s="258"/>
      <c r="C1004" s="82"/>
      <c r="D1004" s="1550"/>
      <c r="E1004" s="1551"/>
      <c r="F1004" s="1551"/>
      <c r="G1004" s="1551"/>
      <c r="H1004" s="1551"/>
      <c r="I1004" s="1551"/>
      <c r="J1004" s="1551"/>
      <c r="K1004" s="1551"/>
      <c r="L1004" s="1551"/>
      <c r="M1004" s="1551"/>
      <c r="N1004" s="1551"/>
      <c r="O1004" s="1551"/>
      <c r="P1004" s="1551"/>
      <c r="Q1004" s="1551"/>
      <c r="R1004" s="1551"/>
      <c r="S1004" s="1551"/>
      <c r="T1004" s="1551"/>
      <c r="U1004" s="1551"/>
      <c r="V1004" s="1551"/>
      <c r="W1004" s="1551"/>
      <c r="X1004" s="1551"/>
      <c r="Y1004" s="1551"/>
      <c r="Z1004" s="1551"/>
      <c r="AA1004" s="1551"/>
      <c r="AB1004" s="1551"/>
      <c r="AC1004" s="1551"/>
      <c r="AD1004" s="1551"/>
      <c r="AE1004" s="1552"/>
      <c r="AF1004" s="73"/>
      <c r="AG1004" s="14"/>
      <c r="AH1004" s="14"/>
      <c r="AI1004" s="83"/>
      <c r="AJ1004" s="1361"/>
      <c r="AK1004" s="1362"/>
      <c r="AL1004" s="1362"/>
      <c r="AM1004" s="1362"/>
      <c r="AN1004" s="1362"/>
      <c r="AO1004" s="1362"/>
      <c r="AP1004" s="1362"/>
      <c r="AQ1004" s="1363"/>
      <c r="AR1004" s="68"/>
      <c r="AS1004" s="68"/>
      <c r="AT1004" s="68"/>
      <c r="AU1004" s="68"/>
      <c r="AV1004" s="68"/>
      <c r="AW1004" s="68"/>
      <c r="AX1004" s="68"/>
      <c r="AY1004" s="14"/>
      <c r="AZ1004" s="34"/>
      <c r="BB1004" s="34"/>
    </row>
    <row r="1005" spans="1:55" ht="12.95" customHeight="1">
      <c r="A1005" s="14"/>
      <c r="B1005" s="258"/>
      <c r="C1005" s="82"/>
      <c r="D1005" s="1550"/>
      <c r="E1005" s="1551"/>
      <c r="F1005" s="1551"/>
      <c r="G1005" s="1551"/>
      <c r="H1005" s="1551"/>
      <c r="I1005" s="1551"/>
      <c r="J1005" s="1551"/>
      <c r="K1005" s="1551"/>
      <c r="L1005" s="1551"/>
      <c r="M1005" s="1551"/>
      <c r="N1005" s="1551"/>
      <c r="O1005" s="1551"/>
      <c r="P1005" s="1551"/>
      <c r="Q1005" s="1551"/>
      <c r="R1005" s="1551"/>
      <c r="S1005" s="1551"/>
      <c r="T1005" s="1551"/>
      <c r="U1005" s="1551"/>
      <c r="V1005" s="1551"/>
      <c r="W1005" s="1551"/>
      <c r="X1005" s="1551"/>
      <c r="Y1005" s="1551"/>
      <c r="Z1005" s="1551"/>
      <c r="AA1005" s="1551"/>
      <c r="AB1005" s="1551"/>
      <c r="AC1005" s="1551"/>
      <c r="AD1005" s="1551"/>
      <c r="AE1005" s="1552"/>
      <c r="AF1005" s="73"/>
      <c r="AG1005" s="14"/>
      <c r="AH1005" s="14"/>
      <c r="AI1005" s="83"/>
      <c r="AJ1005" s="1361"/>
      <c r="AK1005" s="1362"/>
      <c r="AL1005" s="1362"/>
      <c r="AM1005" s="1362"/>
      <c r="AN1005" s="1362"/>
      <c r="AO1005" s="1362"/>
      <c r="AP1005" s="1362"/>
      <c r="AQ1005" s="1363"/>
      <c r="AR1005" s="68"/>
      <c r="AS1005" s="68"/>
      <c r="AT1005" s="68"/>
      <c r="AU1005" s="68"/>
      <c r="AV1005" s="68"/>
      <c r="AW1005" s="68"/>
      <c r="AX1005" s="68"/>
      <c r="AY1005" s="914">
        <f>ROUNDDOWN(X1048/I1048,2)</f>
        <v>0.1</v>
      </c>
      <c r="AZ1005" s="34"/>
      <c r="BB1005" s="34"/>
    </row>
    <row r="1006" spans="1:55" ht="12.95" customHeight="1">
      <c r="A1006" s="14"/>
      <c r="B1006" s="75"/>
      <c r="C1006" s="76"/>
      <c r="D1006" s="1553"/>
      <c r="E1006" s="1554"/>
      <c r="F1006" s="1554"/>
      <c r="G1006" s="1554"/>
      <c r="H1006" s="1554"/>
      <c r="I1006" s="1554"/>
      <c r="J1006" s="1554"/>
      <c r="K1006" s="1554"/>
      <c r="L1006" s="1554"/>
      <c r="M1006" s="1554"/>
      <c r="N1006" s="1554"/>
      <c r="O1006" s="1554"/>
      <c r="P1006" s="1554"/>
      <c r="Q1006" s="1554"/>
      <c r="R1006" s="1554"/>
      <c r="S1006" s="1554"/>
      <c r="T1006" s="1554"/>
      <c r="U1006" s="1554"/>
      <c r="V1006" s="1554"/>
      <c r="W1006" s="1554"/>
      <c r="X1006" s="1554"/>
      <c r="Y1006" s="1554"/>
      <c r="Z1006" s="1554"/>
      <c r="AA1006" s="1554"/>
      <c r="AB1006" s="1554"/>
      <c r="AC1006" s="1554"/>
      <c r="AD1006" s="1554"/>
      <c r="AE1006" s="1555"/>
      <c r="AF1006" s="77"/>
      <c r="AG1006" s="7"/>
      <c r="AH1006" s="7"/>
      <c r="AI1006" s="78"/>
      <c r="AJ1006" s="1364"/>
      <c r="AK1006" s="1365"/>
      <c r="AL1006" s="1365"/>
      <c r="AM1006" s="1365"/>
      <c r="AN1006" s="1365"/>
      <c r="AO1006" s="1365"/>
      <c r="AP1006" s="1365"/>
      <c r="AQ1006" s="1366"/>
      <c r="AR1006" s="68"/>
      <c r="AS1006" s="68"/>
      <c r="AT1006" s="68"/>
      <c r="AU1006" s="68"/>
      <c r="AV1006" s="68"/>
      <c r="AW1006" s="68"/>
      <c r="AX1006" s="68"/>
      <c r="AY1006" s="914">
        <f>ROUNDDOWN(X1052/I1052,2)</f>
        <v>0.1</v>
      </c>
      <c r="AZ1006" s="34"/>
      <c r="BB1006" s="34"/>
    </row>
    <row r="1007" spans="1:55" ht="12.95" customHeight="1">
      <c r="A1007" s="14"/>
      <c r="B1007" s="256"/>
      <c r="C1007" s="80" t="s">
        <v>672</v>
      </c>
      <c r="D1007" s="1508" t="s">
        <v>1682</v>
      </c>
      <c r="E1007" s="1509"/>
      <c r="F1007" s="1509"/>
      <c r="G1007" s="1509"/>
      <c r="H1007" s="1509"/>
      <c r="I1007" s="1509"/>
      <c r="J1007" s="1509"/>
      <c r="K1007" s="1509"/>
      <c r="L1007" s="1509"/>
      <c r="M1007" s="1509"/>
      <c r="N1007" s="1509"/>
      <c r="O1007" s="1509"/>
      <c r="P1007" s="1509"/>
      <c r="Q1007" s="1509"/>
      <c r="R1007" s="1509"/>
      <c r="S1007" s="1509"/>
      <c r="T1007" s="1509"/>
      <c r="U1007" s="1509"/>
      <c r="V1007" s="1509"/>
      <c r="W1007" s="1509"/>
      <c r="X1007" s="1509"/>
      <c r="Y1007" s="1509"/>
      <c r="Z1007" s="1509"/>
      <c r="AA1007" s="1509"/>
      <c r="AB1007" s="1509"/>
      <c r="AC1007" s="1509"/>
      <c r="AD1007" s="1509"/>
      <c r="AE1007" s="1510"/>
      <c r="AF1007" s="86"/>
      <c r="AG1007" s="1516" t="s">
        <v>669</v>
      </c>
      <c r="AH1007" s="1517"/>
      <c r="AI1007" s="87"/>
      <c r="AJ1007" s="1358">
        <f>ROUND(IF(AG1007="yes",AJ992*0.1,0),0)</f>
        <v>0</v>
      </c>
      <c r="AK1007" s="1359"/>
      <c r="AL1007" s="1359"/>
      <c r="AM1007" s="1359"/>
      <c r="AN1007" s="1359"/>
      <c r="AO1007" s="1359"/>
      <c r="AP1007" s="1359"/>
      <c r="AQ1007" s="1360"/>
      <c r="AR1007" s="68"/>
      <c r="AS1007" s="68"/>
      <c r="AT1007" s="68"/>
      <c r="AU1007" s="68"/>
      <c r="AV1007" s="68"/>
      <c r="AW1007" s="68"/>
      <c r="AX1007" s="68"/>
      <c r="BB1007" s="34"/>
    </row>
    <row r="1008" spans="1:55" ht="12.95" customHeight="1">
      <c r="A1008" s="14"/>
      <c r="B1008" s="73"/>
      <c r="C1008" s="74"/>
      <c r="D1008" s="1521" t="s">
        <v>1284</v>
      </c>
      <c r="E1008" s="1522"/>
      <c r="F1008" s="1522"/>
      <c r="G1008" s="1522"/>
      <c r="H1008" s="1522"/>
      <c r="I1008" s="1522"/>
      <c r="J1008" s="1522"/>
      <c r="K1008" s="1522"/>
      <c r="L1008" s="1522"/>
      <c r="M1008" s="1522"/>
      <c r="N1008" s="1522"/>
      <c r="O1008" s="1522"/>
      <c r="P1008" s="1522"/>
      <c r="Q1008" s="1522"/>
      <c r="R1008" s="1522"/>
      <c r="S1008" s="1522"/>
      <c r="T1008" s="1522"/>
      <c r="U1008" s="1522"/>
      <c r="V1008" s="1522"/>
      <c r="W1008" s="1522"/>
      <c r="X1008" s="1522"/>
      <c r="Y1008" s="1522"/>
      <c r="Z1008" s="1522"/>
      <c r="AA1008" s="1522"/>
      <c r="AB1008" s="1522"/>
      <c r="AC1008" s="1522"/>
      <c r="AD1008" s="1522"/>
      <c r="AE1008" s="1523"/>
      <c r="AF1008" s="73"/>
      <c r="AI1008" s="83"/>
      <c r="AJ1008" s="1361"/>
      <c r="AK1008" s="1362"/>
      <c r="AL1008" s="1362"/>
      <c r="AM1008" s="1362"/>
      <c r="AN1008" s="1362"/>
      <c r="AO1008" s="1362"/>
      <c r="AP1008" s="1362"/>
      <c r="AQ1008" s="1363"/>
      <c r="AR1008" s="68"/>
      <c r="AS1008" s="68"/>
      <c r="AT1008" s="68"/>
      <c r="AU1008" s="68"/>
      <c r="AV1008" s="68"/>
      <c r="AW1008" s="68"/>
      <c r="AX1008" s="68"/>
    </row>
    <row r="1009" spans="1:51" ht="12.95" customHeight="1">
      <c r="A1009" s="14"/>
      <c r="B1009" s="73"/>
      <c r="C1009" s="74"/>
      <c r="D1009" s="1521"/>
      <c r="E1009" s="1522"/>
      <c r="F1009" s="1522"/>
      <c r="G1009" s="1522"/>
      <c r="H1009" s="1522"/>
      <c r="I1009" s="1522"/>
      <c r="J1009" s="1522"/>
      <c r="K1009" s="1522"/>
      <c r="L1009" s="1522"/>
      <c r="M1009" s="1522"/>
      <c r="N1009" s="1522"/>
      <c r="O1009" s="1522"/>
      <c r="P1009" s="1522"/>
      <c r="Q1009" s="1522"/>
      <c r="R1009" s="1522"/>
      <c r="S1009" s="1522"/>
      <c r="T1009" s="1522"/>
      <c r="U1009" s="1522"/>
      <c r="V1009" s="1522"/>
      <c r="W1009" s="1522"/>
      <c r="X1009" s="1522"/>
      <c r="Y1009" s="1522"/>
      <c r="Z1009" s="1522"/>
      <c r="AA1009" s="1522"/>
      <c r="AB1009" s="1522"/>
      <c r="AC1009" s="1522"/>
      <c r="AD1009" s="1522"/>
      <c r="AE1009" s="1523"/>
      <c r="AF1009" s="73"/>
      <c r="AG1009" s="14"/>
      <c r="AH1009" s="14"/>
      <c r="AI1009" s="83"/>
      <c r="AJ1009" s="1361"/>
      <c r="AK1009" s="1362"/>
      <c r="AL1009" s="1362"/>
      <c r="AM1009" s="1362"/>
      <c r="AN1009" s="1362"/>
      <c r="AO1009" s="1362"/>
      <c r="AP1009" s="1362"/>
      <c r="AQ1009" s="1363"/>
      <c r="AR1009" s="68"/>
      <c r="AS1009" s="68"/>
      <c r="AT1009" s="68"/>
      <c r="AU1009" s="68"/>
      <c r="AV1009" s="68"/>
      <c r="AW1009" s="68"/>
      <c r="AX1009" s="68"/>
    </row>
    <row r="1010" spans="1:51" ht="12.95" customHeight="1">
      <c r="A1010" s="14"/>
      <c r="B1010" s="85"/>
      <c r="C1010" s="76"/>
      <c r="D1010" s="1524"/>
      <c r="E1010" s="1525"/>
      <c r="F1010" s="1525"/>
      <c r="G1010" s="1525"/>
      <c r="H1010" s="1525"/>
      <c r="I1010" s="1525"/>
      <c r="J1010" s="1525"/>
      <c r="K1010" s="1525"/>
      <c r="L1010" s="1525"/>
      <c r="M1010" s="1525"/>
      <c r="N1010" s="1525"/>
      <c r="O1010" s="1525"/>
      <c r="P1010" s="1525"/>
      <c r="Q1010" s="1525"/>
      <c r="R1010" s="1525"/>
      <c r="S1010" s="1525"/>
      <c r="T1010" s="1525"/>
      <c r="U1010" s="1525"/>
      <c r="V1010" s="1525"/>
      <c r="W1010" s="1525"/>
      <c r="X1010" s="1525"/>
      <c r="Y1010" s="1525"/>
      <c r="Z1010" s="1525"/>
      <c r="AA1010" s="1525"/>
      <c r="AB1010" s="1525"/>
      <c r="AC1010" s="1525"/>
      <c r="AD1010" s="1525"/>
      <c r="AE1010" s="1526"/>
      <c r="AF1010" s="77"/>
      <c r="AG1010" s="7"/>
      <c r="AH1010" s="7"/>
      <c r="AI1010" s="78"/>
      <c r="AJ1010" s="1364"/>
      <c r="AK1010" s="1365"/>
      <c r="AL1010" s="1365"/>
      <c r="AM1010" s="1365"/>
      <c r="AN1010" s="1365"/>
      <c r="AO1010" s="1365"/>
      <c r="AP1010" s="1365"/>
      <c r="AQ1010" s="1366"/>
      <c r="AR1010" s="68"/>
      <c r="AS1010" s="68"/>
      <c r="AT1010" s="68"/>
      <c r="AU1010" s="68"/>
      <c r="AV1010" s="68"/>
      <c r="AW1010" s="68"/>
      <c r="AX1010" s="68"/>
    </row>
    <row r="1011" spans="1:51" ht="12.95" customHeight="1">
      <c r="A1011" s="14"/>
      <c r="B1011" s="79"/>
      <c r="C1011" s="80" t="s">
        <v>211</v>
      </c>
      <c r="D1011" s="1508" t="s">
        <v>1286</v>
      </c>
      <c r="E1011" s="1509"/>
      <c r="F1011" s="1509"/>
      <c r="G1011" s="1509"/>
      <c r="H1011" s="1509"/>
      <c r="I1011" s="1509"/>
      <c r="J1011" s="1509"/>
      <c r="K1011" s="1509"/>
      <c r="L1011" s="1509"/>
      <c r="M1011" s="1509"/>
      <c r="N1011" s="1509"/>
      <c r="O1011" s="1509"/>
      <c r="P1011" s="1509"/>
      <c r="Q1011" s="1509"/>
      <c r="R1011" s="1509"/>
      <c r="S1011" s="1509"/>
      <c r="T1011" s="1509"/>
      <c r="U1011" s="1509"/>
      <c r="V1011" s="1509"/>
      <c r="W1011" s="1509"/>
      <c r="X1011" s="1509"/>
      <c r="Y1011" s="1509"/>
      <c r="Z1011" s="1509"/>
      <c r="AA1011" s="1509"/>
      <c r="AB1011" s="1509"/>
      <c r="AC1011" s="1509"/>
      <c r="AD1011" s="1509"/>
      <c r="AE1011" s="1510"/>
      <c r="AF1011" s="79"/>
      <c r="AG1011" s="1516" t="s">
        <v>669</v>
      </c>
      <c r="AH1011" s="1517"/>
      <c r="AI1011" s="87"/>
      <c r="AJ1011" s="1358">
        <f>ROUND(IF(AG1011="yes",AJ992*0.02,0),0)</f>
        <v>0</v>
      </c>
      <c r="AK1011" s="1359"/>
      <c r="AL1011" s="1359"/>
      <c r="AM1011" s="1359"/>
      <c r="AN1011" s="1359"/>
      <c r="AO1011" s="1359"/>
      <c r="AP1011" s="1359"/>
      <c r="AQ1011" s="1360"/>
      <c r="AR1011" s="68"/>
      <c r="AS1011" s="68"/>
      <c r="AT1011" s="68"/>
      <c r="AU1011" s="68"/>
      <c r="AV1011" s="68"/>
      <c r="AW1011" s="68"/>
      <c r="AX1011" s="68"/>
      <c r="AY1011" s="202">
        <f>IF(SUM(AY1015:AY1023)&lt;=0.2,SUM(AY1015:AY1023),0.2)</f>
        <v>0</v>
      </c>
    </row>
    <row r="1012" spans="1:51" ht="14.25" customHeight="1">
      <c r="A1012" s="14"/>
      <c r="B1012" s="73"/>
      <c r="C1012" s="74"/>
      <c r="D1012" s="1524" t="s">
        <v>1287</v>
      </c>
      <c r="E1012" s="1525"/>
      <c r="F1012" s="1525"/>
      <c r="G1012" s="1525"/>
      <c r="H1012" s="1525"/>
      <c r="I1012" s="1525"/>
      <c r="J1012" s="1525"/>
      <c r="K1012" s="1525"/>
      <c r="L1012" s="1525"/>
      <c r="M1012" s="1525"/>
      <c r="N1012" s="1525"/>
      <c r="O1012" s="1525"/>
      <c r="P1012" s="1525"/>
      <c r="Q1012" s="1525"/>
      <c r="R1012" s="1525"/>
      <c r="S1012" s="1525"/>
      <c r="T1012" s="1525"/>
      <c r="U1012" s="1525"/>
      <c r="V1012" s="1525"/>
      <c r="W1012" s="1525"/>
      <c r="X1012" s="1525"/>
      <c r="Y1012" s="1525"/>
      <c r="Z1012" s="1525"/>
      <c r="AA1012" s="1525"/>
      <c r="AB1012" s="1525"/>
      <c r="AC1012" s="1525"/>
      <c r="AD1012" s="1525"/>
      <c r="AE1012" s="1526"/>
      <c r="AF1012" s="77"/>
      <c r="AG1012" s="7"/>
      <c r="AH1012" s="7"/>
      <c r="AI1012" s="78"/>
      <c r="AJ1012" s="1364"/>
      <c r="AK1012" s="1365"/>
      <c r="AL1012" s="1365"/>
      <c r="AM1012" s="1365"/>
      <c r="AN1012" s="1365"/>
      <c r="AO1012" s="1365"/>
      <c r="AP1012" s="1365"/>
      <c r="AQ1012" s="1366"/>
      <c r="AR1012" s="68"/>
      <c r="AS1012" s="68"/>
      <c r="AT1012" s="68"/>
      <c r="AU1012" s="68"/>
      <c r="AV1012" s="68"/>
      <c r="AW1012" s="68"/>
      <c r="AX1012" s="68"/>
    </row>
    <row r="1013" spans="1:51" ht="12.95" customHeight="1">
      <c r="A1013" s="14"/>
      <c r="B1013" s="79"/>
      <c r="C1013" s="80" t="s">
        <v>214</v>
      </c>
      <c r="D1013" s="1508" t="s">
        <v>1288</v>
      </c>
      <c r="E1013" s="1509"/>
      <c r="F1013" s="1509"/>
      <c r="G1013" s="1509"/>
      <c r="H1013" s="1509"/>
      <c r="I1013" s="1509"/>
      <c r="J1013" s="1509"/>
      <c r="K1013" s="1509"/>
      <c r="L1013" s="1509"/>
      <c r="M1013" s="1509"/>
      <c r="N1013" s="1509"/>
      <c r="O1013" s="1509"/>
      <c r="P1013" s="1509"/>
      <c r="Q1013" s="1509"/>
      <c r="R1013" s="1509"/>
      <c r="S1013" s="1509"/>
      <c r="T1013" s="1509"/>
      <c r="U1013" s="1509"/>
      <c r="V1013" s="1509"/>
      <c r="W1013" s="1509"/>
      <c r="X1013" s="1509"/>
      <c r="Y1013" s="1509"/>
      <c r="Z1013" s="1509"/>
      <c r="AA1013" s="1509"/>
      <c r="AB1013" s="1509"/>
      <c r="AC1013" s="1509"/>
      <c r="AD1013" s="1509"/>
      <c r="AE1013" s="1510"/>
      <c r="AF1013" s="79"/>
      <c r="AG1013" s="1516" t="s">
        <v>669</v>
      </c>
      <c r="AH1013" s="1517"/>
      <c r="AI1013" s="79"/>
      <c r="AJ1013" s="1358">
        <f>ROUND(IF(AG1013="yes",AJ992*0.02,0),0)</f>
        <v>0</v>
      </c>
      <c r="AK1013" s="1359"/>
      <c r="AL1013" s="1359"/>
      <c r="AM1013" s="1359"/>
      <c r="AN1013" s="1359"/>
      <c r="AO1013" s="1359"/>
      <c r="AP1013" s="1359"/>
      <c r="AQ1013" s="1360"/>
      <c r="AR1013" s="68"/>
      <c r="AS1013" s="68"/>
      <c r="AT1013" s="68"/>
      <c r="AU1013" s="68"/>
      <c r="AV1013" s="68"/>
      <c r="AW1013" s="68"/>
      <c r="AX1013" s="68"/>
      <c r="AY1013" s="200">
        <f>IF(A1065="Yes",0.2,0)</f>
        <v>0</v>
      </c>
    </row>
    <row r="1014" spans="1:51" ht="12.95" customHeight="1">
      <c r="A1014" s="14"/>
      <c r="B1014" s="73"/>
      <c r="C1014" s="74"/>
      <c r="D1014" s="1521" t="s">
        <v>1289</v>
      </c>
      <c r="E1014" s="1522"/>
      <c r="F1014" s="1522"/>
      <c r="G1014" s="1522"/>
      <c r="H1014" s="1522"/>
      <c r="I1014" s="1522"/>
      <c r="J1014" s="1522"/>
      <c r="K1014" s="1522"/>
      <c r="L1014" s="1522"/>
      <c r="M1014" s="1522"/>
      <c r="N1014" s="1522"/>
      <c r="O1014" s="1522"/>
      <c r="P1014" s="1522"/>
      <c r="Q1014" s="1522"/>
      <c r="R1014" s="1522"/>
      <c r="S1014" s="1522"/>
      <c r="T1014" s="1522"/>
      <c r="U1014" s="1522"/>
      <c r="V1014" s="1522"/>
      <c r="W1014" s="1522"/>
      <c r="X1014" s="1522"/>
      <c r="Y1014" s="1522"/>
      <c r="Z1014" s="1522"/>
      <c r="AA1014" s="1522"/>
      <c r="AB1014" s="1522"/>
      <c r="AC1014" s="1522"/>
      <c r="AD1014" s="1522"/>
      <c r="AE1014" s="1523"/>
      <c r="AF1014" s="1342" t="str">
        <f>IF(AND(AG1013="yes",T212&lt;&gt;1),"The project may not be eligible for this boost","")</f>
        <v/>
      </c>
      <c r="AG1014" s="1343"/>
      <c r="AH1014" s="1343"/>
      <c r="AI1014" s="1344"/>
      <c r="AJ1014" s="1361"/>
      <c r="AK1014" s="1362"/>
      <c r="AL1014" s="1362"/>
      <c r="AM1014" s="1362"/>
      <c r="AN1014" s="1362"/>
      <c r="AO1014" s="1362"/>
      <c r="AP1014" s="1362"/>
      <c r="AQ1014" s="1363"/>
      <c r="AR1014" s="68"/>
      <c r="AS1014" s="68"/>
      <c r="AT1014" s="68"/>
      <c r="AU1014" s="68"/>
      <c r="AV1014" s="68"/>
      <c r="AW1014" s="68"/>
      <c r="AX1014" s="68"/>
      <c r="AY1014" s="200">
        <f>IF(A1067="Yes",0.15,0)</f>
        <v>0</v>
      </c>
    </row>
    <row r="1015" spans="1:51" ht="12.95" customHeight="1">
      <c r="A1015" s="14"/>
      <c r="B1015" s="75"/>
      <c r="C1015" s="76"/>
      <c r="D1015" s="1524"/>
      <c r="E1015" s="1525"/>
      <c r="F1015" s="1525"/>
      <c r="G1015" s="1525"/>
      <c r="H1015" s="1525"/>
      <c r="I1015" s="1525"/>
      <c r="J1015" s="1525"/>
      <c r="K1015" s="1525"/>
      <c r="L1015" s="1525"/>
      <c r="M1015" s="1525"/>
      <c r="N1015" s="1525"/>
      <c r="O1015" s="1525"/>
      <c r="P1015" s="1525"/>
      <c r="Q1015" s="1525"/>
      <c r="R1015" s="1525"/>
      <c r="S1015" s="1525"/>
      <c r="T1015" s="1525"/>
      <c r="U1015" s="1525"/>
      <c r="V1015" s="1525"/>
      <c r="W1015" s="1525"/>
      <c r="X1015" s="1525"/>
      <c r="Y1015" s="1525"/>
      <c r="Z1015" s="1525"/>
      <c r="AA1015" s="1525"/>
      <c r="AB1015" s="1525"/>
      <c r="AC1015" s="1525"/>
      <c r="AD1015" s="1525"/>
      <c r="AE1015" s="1526"/>
      <c r="AF1015" s="1345"/>
      <c r="AG1015" s="1346"/>
      <c r="AH1015" s="1346"/>
      <c r="AI1015" s="1347"/>
      <c r="AJ1015" s="1364"/>
      <c r="AK1015" s="1365"/>
      <c r="AL1015" s="1365"/>
      <c r="AM1015" s="1365"/>
      <c r="AN1015" s="1365"/>
      <c r="AO1015" s="1365"/>
      <c r="AP1015" s="1365"/>
      <c r="AQ1015" s="1366"/>
      <c r="AR1015" s="68"/>
      <c r="AS1015" s="68"/>
      <c r="AT1015" s="68"/>
      <c r="AU1015" s="68"/>
      <c r="AV1015" s="68"/>
      <c r="AW1015" s="68"/>
      <c r="AX1015" s="68"/>
      <c r="AY1015" s="200">
        <f>IF(A1070="Yes",0.05,0)</f>
        <v>0</v>
      </c>
    </row>
    <row r="1016" spans="1:51" ht="12.95" customHeight="1">
      <c r="A1016" s="14"/>
      <c r="B1016" s="79"/>
      <c r="C1016" s="80" t="s">
        <v>217</v>
      </c>
      <c r="D1016" s="1518" t="s">
        <v>2238</v>
      </c>
      <c r="E1016" s="1519"/>
      <c r="F1016" s="1519"/>
      <c r="G1016" s="1519"/>
      <c r="H1016" s="1519"/>
      <c r="I1016" s="1519"/>
      <c r="J1016" s="1519"/>
      <c r="K1016" s="1519"/>
      <c r="L1016" s="1519"/>
      <c r="M1016" s="1519"/>
      <c r="N1016" s="1519"/>
      <c r="O1016" s="1519"/>
      <c r="P1016" s="1519"/>
      <c r="Q1016" s="1519"/>
      <c r="R1016" s="1519"/>
      <c r="S1016" s="1519"/>
      <c r="T1016" s="1519"/>
      <c r="U1016" s="1519"/>
      <c r="V1016" s="1519"/>
      <c r="W1016" s="1519"/>
      <c r="X1016" s="1519"/>
      <c r="Y1016" s="1519"/>
      <c r="Z1016" s="1519"/>
      <c r="AA1016" s="1519"/>
      <c r="AB1016" s="1519"/>
      <c r="AC1016" s="1519"/>
      <c r="AD1016" s="1519"/>
      <c r="AE1016" s="1520"/>
      <c r="AF1016" s="79"/>
      <c r="AG1016" s="1516" t="s">
        <v>669</v>
      </c>
      <c r="AH1016" s="1517"/>
      <c r="AI1016" s="87"/>
      <c r="AJ1016" s="1358">
        <f>IF(AG1016="yes",AJ992*AY1011,0)</f>
        <v>0</v>
      </c>
      <c r="AK1016" s="1359"/>
      <c r="AL1016" s="1359"/>
      <c r="AM1016" s="1359"/>
      <c r="AN1016" s="1359"/>
      <c r="AO1016" s="1359"/>
      <c r="AP1016" s="1359"/>
      <c r="AQ1016" s="1360"/>
      <c r="AR1016" s="68"/>
      <c r="AS1016" s="68"/>
      <c r="AT1016" s="68"/>
      <c r="AU1016" s="68"/>
      <c r="AV1016" s="68"/>
      <c r="AW1016" s="68"/>
      <c r="AX1016" s="68"/>
      <c r="AY1016" s="200">
        <f>IF(A1075="Yes",0.02,0)</f>
        <v>0</v>
      </c>
    </row>
    <row r="1017" spans="1:51" ht="12.95" customHeight="1">
      <c r="A1017" s="14"/>
      <c r="B1017" s="73"/>
      <c r="C1017" s="74"/>
      <c r="D1017" s="1521" t="s">
        <v>1290</v>
      </c>
      <c r="E1017" s="1522"/>
      <c r="F1017" s="1522"/>
      <c r="G1017" s="1522"/>
      <c r="H1017" s="1522"/>
      <c r="I1017" s="1522"/>
      <c r="J1017" s="1522"/>
      <c r="K1017" s="1522"/>
      <c r="L1017" s="1522"/>
      <c r="M1017" s="1522"/>
      <c r="N1017" s="1522"/>
      <c r="O1017" s="1522"/>
      <c r="P1017" s="1522"/>
      <c r="Q1017" s="1522"/>
      <c r="R1017" s="1522"/>
      <c r="S1017" s="1522"/>
      <c r="T1017" s="1522"/>
      <c r="U1017" s="1522"/>
      <c r="V1017" s="1522"/>
      <c r="W1017" s="1522"/>
      <c r="X1017" s="1522"/>
      <c r="Y1017" s="1522"/>
      <c r="Z1017" s="1522"/>
      <c r="AA1017" s="1522"/>
      <c r="AB1017" s="1522"/>
      <c r="AC1017" s="1522"/>
      <c r="AD1017" s="1522"/>
      <c r="AE1017" s="1523"/>
      <c r="AF1017" s="1336" t="str">
        <f>IF(AND(AG1016="Yes",AY1011=0),AY1027,"")</f>
        <v/>
      </c>
      <c r="AG1017" s="1337"/>
      <c r="AH1017" s="1337"/>
      <c r="AI1017" s="1338"/>
      <c r="AJ1017" s="1361"/>
      <c r="AK1017" s="1362"/>
      <c r="AL1017" s="1362"/>
      <c r="AM1017" s="1362"/>
      <c r="AN1017" s="1362"/>
      <c r="AO1017" s="1362"/>
      <c r="AP1017" s="1362"/>
      <c r="AQ1017" s="1363"/>
      <c r="AR1017" s="68"/>
      <c r="AS1017" s="68"/>
      <c r="AT1017" s="68"/>
      <c r="AU1017" s="68"/>
      <c r="AV1017" s="68"/>
      <c r="AW1017" s="68"/>
      <c r="AX1017" s="68"/>
      <c r="AY1017" s="200">
        <f>IF(A1081="Yes",0.04,0)</f>
        <v>0</v>
      </c>
    </row>
    <row r="1018" spans="1:51" ht="12.95" customHeight="1">
      <c r="A1018" s="14"/>
      <c r="B1018" s="73"/>
      <c r="C1018" s="74"/>
      <c r="D1018" s="1521"/>
      <c r="E1018" s="1522"/>
      <c r="F1018" s="1522"/>
      <c r="G1018" s="1522"/>
      <c r="H1018" s="1522"/>
      <c r="I1018" s="1522"/>
      <c r="J1018" s="1522"/>
      <c r="K1018" s="1522"/>
      <c r="L1018" s="1522"/>
      <c r="M1018" s="1522"/>
      <c r="N1018" s="1522"/>
      <c r="O1018" s="1522"/>
      <c r="P1018" s="1522"/>
      <c r="Q1018" s="1522"/>
      <c r="R1018" s="1522"/>
      <c r="S1018" s="1522"/>
      <c r="T1018" s="1522"/>
      <c r="U1018" s="1522"/>
      <c r="V1018" s="1522"/>
      <c r="W1018" s="1522"/>
      <c r="X1018" s="1522"/>
      <c r="Y1018" s="1522"/>
      <c r="Z1018" s="1522"/>
      <c r="AA1018" s="1522"/>
      <c r="AB1018" s="1522"/>
      <c r="AC1018" s="1522"/>
      <c r="AD1018" s="1522"/>
      <c r="AE1018" s="1523"/>
      <c r="AF1018" s="1336"/>
      <c r="AG1018" s="1337"/>
      <c r="AH1018" s="1337"/>
      <c r="AI1018" s="1338"/>
      <c r="AJ1018" s="1361"/>
      <c r="AK1018" s="1362"/>
      <c r="AL1018" s="1362"/>
      <c r="AM1018" s="1362"/>
      <c r="AN1018" s="1362"/>
      <c r="AO1018" s="1362"/>
      <c r="AP1018" s="1362"/>
      <c r="AQ1018" s="1363"/>
      <c r="AR1018" s="68"/>
      <c r="AS1018" s="68"/>
      <c r="AT1018" s="68"/>
      <c r="AU1018" s="68"/>
      <c r="AV1018" s="68"/>
      <c r="AW1018" s="68"/>
      <c r="AX1018" s="68"/>
      <c r="AY1018" s="200">
        <f>IF(A1085="Yes",0.04,0)</f>
        <v>0</v>
      </c>
    </row>
    <row r="1019" spans="1:51" ht="12.95" customHeight="1">
      <c r="A1019" s="14"/>
      <c r="B1019" s="81"/>
      <c r="C1019" s="82"/>
      <c r="D1019" s="1524"/>
      <c r="E1019" s="1525"/>
      <c r="F1019" s="1525"/>
      <c r="G1019" s="1525"/>
      <c r="H1019" s="1525"/>
      <c r="I1019" s="1525"/>
      <c r="J1019" s="1525"/>
      <c r="K1019" s="1525"/>
      <c r="L1019" s="1525"/>
      <c r="M1019" s="1525"/>
      <c r="N1019" s="1525"/>
      <c r="O1019" s="1525"/>
      <c r="P1019" s="1525"/>
      <c r="Q1019" s="1525"/>
      <c r="R1019" s="1525"/>
      <c r="S1019" s="1525"/>
      <c r="T1019" s="1525"/>
      <c r="U1019" s="1525"/>
      <c r="V1019" s="1525"/>
      <c r="W1019" s="1525"/>
      <c r="X1019" s="1525"/>
      <c r="Y1019" s="1525"/>
      <c r="Z1019" s="1525"/>
      <c r="AA1019" s="1525"/>
      <c r="AB1019" s="1525"/>
      <c r="AC1019" s="1525"/>
      <c r="AD1019" s="1525"/>
      <c r="AE1019" s="1526"/>
      <c r="AF1019" s="1339"/>
      <c r="AG1019" s="1340"/>
      <c r="AH1019" s="1340"/>
      <c r="AI1019" s="1341"/>
      <c r="AJ1019" s="1364"/>
      <c r="AK1019" s="1365"/>
      <c r="AL1019" s="1365"/>
      <c r="AM1019" s="1365"/>
      <c r="AN1019" s="1365"/>
      <c r="AO1019" s="1365"/>
      <c r="AP1019" s="1365"/>
      <c r="AQ1019" s="1366"/>
      <c r="AR1019" s="68"/>
      <c r="AS1019" s="68"/>
      <c r="AT1019" s="68"/>
      <c r="AU1019" s="68"/>
      <c r="AV1019" s="68"/>
      <c r="AW1019" s="68"/>
      <c r="AX1019" s="68"/>
      <c r="AY1019" s="200">
        <f>IF(A1089="Yes",0.01,0)</f>
        <v>0</v>
      </c>
    </row>
    <row r="1020" spans="1:51" ht="12.95" customHeight="1">
      <c r="A1020" s="14"/>
      <c r="B1020" s="79"/>
      <c r="C1020" s="80" t="s">
        <v>222</v>
      </c>
      <c r="D1020" s="1535" t="s">
        <v>1291</v>
      </c>
      <c r="E1020" s="1536"/>
      <c r="F1020" s="1536"/>
      <c r="G1020" s="1536"/>
      <c r="H1020" s="1536"/>
      <c r="I1020" s="1536"/>
      <c r="J1020" s="1536"/>
      <c r="K1020" s="1536"/>
      <c r="L1020" s="1536"/>
      <c r="M1020" s="1536"/>
      <c r="N1020" s="1536"/>
      <c r="O1020" s="1536"/>
      <c r="P1020" s="1536"/>
      <c r="Q1020" s="1536"/>
      <c r="R1020" s="1536"/>
      <c r="S1020" s="1536"/>
      <c r="T1020" s="1536"/>
      <c r="U1020" s="1536"/>
      <c r="V1020" s="1536"/>
      <c r="W1020" s="1536"/>
      <c r="X1020" s="1536"/>
      <c r="Y1020" s="1536"/>
      <c r="Z1020" s="1536"/>
      <c r="AA1020" s="1536"/>
      <c r="AB1020" s="1536"/>
      <c r="AC1020" s="1536"/>
      <c r="AD1020" s="1536"/>
      <c r="AE1020" s="1537"/>
      <c r="AF1020" s="79"/>
      <c r="AG1020" s="1516" t="s">
        <v>669</v>
      </c>
      <c r="AH1020" s="1517"/>
      <c r="AI1020" s="87"/>
      <c r="AJ1020" s="1358">
        <f>ROUND(IF(AND(AG1020="Yes",J1024&lt;&gt;"N/A",AF1023&lt;&gt;""),MIN(AF1023,(0.15*AJ992)),0),0)</f>
        <v>0</v>
      </c>
      <c r="AK1020" s="1359"/>
      <c r="AL1020" s="1359"/>
      <c r="AM1020" s="1359"/>
      <c r="AN1020" s="1359"/>
      <c r="AO1020" s="1359"/>
      <c r="AP1020" s="1359"/>
      <c r="AQ1020" s="1360"/>
      <c r="AR1020" s="68"/>
      <c r="AS1020" s="68"/>
      <c r="AT1020" s="68"/>
      <c r="AU1020" s="68"/>
      <c r="AV1020" s="68"/>
      <c r="AW1020" s="68"/>
      <c r="AX1020" s="68"/>
      <c r="AY1020" s="200">
        <f>IF(A1094="Yes",0.01,0)</f>
        <v>0</v>
      </c>
    </row>
    <row r="1021" spans="1:51" ht="12.95" customHeight="1">
      <c r="A1021" s="14"/>
      <c r="B1021" s="81"/>
      <c r="C1021" s="84"/>
      <c r="D1021" s="1538"/>
      <c r="E1021" s="1539"/>
      <c r="F1021" s="1539"/>
      <c r="G1021" s="1539"/>
      <c r="H1021" s="1539"/>
      <c r="I1021" s="1539"/>
      <c r="J1021" s="1539"/>
      <c r="K1021" s="1539"/>
      <c r="L1021" s="1539"/>
      <c r="M1021" s="1539"/>
      <c r="N1021" s="1539"/>
      <c r="O1021" s="1539"/>
      <c r="P1021" s="1539"/>
      <c r="Q1021" s="1539"/>
      <c r="R1021" s="1539"/>
      <c r="S1021" s="1539"/>
      <c r="T1021" s="1539"/>
      <c r="U1021" s="1539"/>
      <c r="V1021" s="1539"/>
      <c r="W1021" s="1539"/>
      <c r="X1021" s="1539"/>
      <c r="Y1021" s="1539"/>
      <c r="Z1021" s="1539"/>
      <c r="AA1021" s="1539"/>
      <c r="AB1021" s="1539"/>
      <c r="AC1021" s="1539"/>
      <c r="AD1021" s="1539"/>
      <c r="AE1021" s="1540"/>
      <c r="AF1021" s="1527" t="str">
        <f>IF(AG1020="yes","Please Select Type and Enter Amount:","")</f>
        <v/>
      </c>
      <c r="AG1021" s="1528"/>
      <c r="AH1021" s="1528"/>
      <c r="AI1021" s="1529"/>
      <c r="AJ1021" s="1361"/>
      <c r="AK1021" s="1362"/>
      <c r="AL1021" s="1362"/>
      <c r="AM1021" s="1362"/>
      <c r="AN1021" s="1362"/>
      <c r="AO1021" s="1362"/>
      <c r="AP1021" s="1362"/>
      <c r="AQ1021" s="1363"/>
      <c r="AR1021" s="68"/>
      <c r="AS1021" s="68"/>
      <c r="AT1021" s="68"/>
      <c r="AU1021" s="68"/>
      <c r="AV1021" s="68"/>
      <c r="AW1021" s="68"/>
      <c r="AX1021" s="68"/>
      <c r="AY1021" s="200">
        <f>IF(A1097="Yes",0.01,0)</f>
        <v>0</v>
      </c>
    </row>
    <row r="1022" spans="1:51" ht="12.95" customHeight="1">
      <c r="A1022" s="14"/>
      <c r="B1022" s="81"/>
      <c r="C1022" s="84"/>
      <c r="D1022" s="1521" t="s">
        <v>1292</v>
      </c>
      <c r="E1022" s="1522"/>
      <c r="F1022" s="1522"/>
      <c r="G1022" s="1522"/>
      <c r="H1022" s="1522"/>
      <c r="I1022" s="1522"/>
      <c r="J1022" s="1522"/>
      <c r="K1022" s="1522"/>
      <c r="L1022" s="1522"/>
      <c r="M1022" s="1522"/>
      <c r="N1022" s="1522"/>
      <c r="O1022" s="1522"/>
      <c r="P1022" s="1522"/>
      <c r="Q1022" s="1522"/>
      <c r="R1022" s="1522"/>
      <c r="S1022" s="1522"/>
      <c r="T1022" s="1522"/>
      <c r="U1022" s="1522"/>
      <c r="V1022" s="1522"/>
      <c r="W1022" s="1522"/>
      <c r="X1022" s="1522"/>
      <c r="Y1022" s="1522"/>
      <c r="Z1022" s="1522"/>
      <c r="AA1022" s="1522"/>
      <c r="AB1022" s="1522"/>
      <c r="AC1022" s="1522"/>
      <c r="AD1022" s="1522"/>
      <c r="AE1022" s="1523"/>
      <c r="AF1022" s="1527"/>
      <c r="AG1022" s="1528"/>
      <c r="AH1022" s="1528"/>
      <c r="AI1022" s="1529"/>
      <c r="AJ1022" s="1361"/>
      <c r="AK1022" s="1362"/>
      <c r="AL1022" s="1362"/>
      <c r="AM1022" s="1362"/>
      <c r="AN1022" s="1362"/>
      <c r="AO1022" s="1362"/>
      <c r="AP1022" s="1362"/>
      <c r="AQ1022" s="1363"/>
      <c r="AR1022" s="68"/>
      <c r="AS1022" s="68"/>
      <c r="AT1022" s="68"/>
      <c r="AU1022" s="68"/>
      <c r="AV1022" s="68"/>
      <c r="AW1022" s="68"/>
      <c r="AX1022" s="68"/>
      <c r="AY1022" s="200">
        <f>IF(A1100="Yes",0.02,0)</f>
        <v>0</v>
      </c>
    </row>
    <row r="1023" spans="1:51" ht="12.95" customHeight="1">
      <c r="A1023" s="14"/>
      <c r="B1023" s="81"/>
      <c r="C1023" s="84"/>
      <c r="D1023" s="1521"/>
      <c r="E1023" s="1522"/>
      <c r="F1023" s="1522"/>
      <c r="G1023" s="1522"/>
      <c r="H1023" s="1522"/>
      <c r="I1023" s="1522"/>
      <c r="J1023" s="1522"/>
      <c r="K1023" s="1522"/>
      <c r="L1023" s="1522"/>
      <c r="M1023" s="1522"/>
      <c r="N1023" s="1522"/>
      <c r="O1023" s="1522"/>
      <c r="P1023" s="1522"/>
      <c r="Q1023" s="1522"/>
      <c r="R1023" s="1522"/>
      <c r="S1023" s="1522"/>
      <c r="T1023" s="1522"/>
      <c r="U1023" s="1522"/>
      <c r="V1023" s="1522"/>
      <c r="W1023" s="1522"/>
      <c r="X1023" s="1522"/>
      <c r="Y1023" s="1522"/>
      <c r="Z1023" s="1522"/>
      <c r="AA1023" s="1522"/>
      <c r="AB1023" s="1522"/>
      <c r="AC1023" s="1522"/>
      <c r="AD1023" s="1522"/>
      <c r="AE1023" s="1523"/>
      <c r="AF1023" s="1400"/>
      <c r="AG1023" s="1400"/>
      <c r="AH1023" s="1400"/>
      <c r="AI1023" s="1400"/>
      <c r="AJ1023" s="1361"/>
      <c r="AK1023" s="1362"/>
      <c r="AL1023" s="1362"/>
      <c r="AM1023" s="1362"/>
      <c r="AN1023" s="1362"/>
      <c r="AO1023" s="1362"/>
      <c r="AP1023" s="1362"/>
      <c r="AQ1023" s="1363"/>
      <c r="AR1023" s="68"/>
      <c r="AS1023" s="68"/>
      <c r="AT1023" s="68"/>
      <c r="AU1023" s="68"/>
      <c r="AV1023" s="68"/>
      <c r="AW1023" s="68"/>
      <c r="AX1023" s="68"/>
      <c r="AY1023" s="201">
        <f>IF(A1103="Yes",0.02,0)</f>
        <v>0</v>
      </c>
    </row>
    <row r="1024" spans="1:51" ht="12.95" customHeight="1">
      <c r="A1024" s="14"/>
      <c r="B1024" s="81"/>
      <c r="C1024" s="84"/>
      <c r="D1024" s="527" t="s">
        <v>358</v>
      </c>
      <c r="E1024" s="90"/>
      <c r="F1024" s="90"/>
      <c r="G1024" s="104"/>
      <c r="H1024" s="104"/>
      <c r="I1024" s="49"/>
      <c r="J1024" s="1502" t="s">
        <v>591</v>
      </c>
      <c r="K1024" s="1503"/>
      <c r="L1024" s="1503"/>
      <c r="M1024" s="1503"/>
      <c r="N1024" s="1503"/>
      <c r="O1024" s="1503"/>
      <c r="P1024" s="1503"/>
      <c r="Q1024" s="1503"/>
      <c r="R1024" s="1503"/>
      <c r="S1024" s="1503"/>
      <c r="T1024" s="1503"/>
      <c r="U1024" s="1503"/>
      <c r="V1024" s="1503"/>
      <c r="W1024" s="1503"/>
      <c r="X1024" s="1503"/>
      <c r="Y1024" s="1503"/>
      <c r="Z1024" s="1503"/>
      <c r="AA1024" s="1503"/>
      <c r="AB1024" s="1503"/>
      <c r="AC1024" s="1503"/>
      <c r="AD1024" s="1503"/>
      <c r="AE1024" s="1504"/>
      <c r="AF1024" s="1400"/>
      <c r="AG1024" s="1400"/>
      <c r="AH1024" s="1400"/>
      <c r="AI1024" s="1400"/>
      <c r="AJ1024" s="1364"/>
      <c r="AK1024" s="1365"/>
      <c r="AL1024" s="1365"/>
      <c r="AM1024" s="1365"/>
      <c r="AN1024" s="1365"/>
      <c r="AO1024" s="1365"/>
      <c r="AP1024" s="1365"/>
      <c r="AQ1024" s="1366"/>
      <c r="AR1024" s="68"/>
      <c r="AS1024" s="68"/>
      <c r="AT1024" s="68"/>
      <c r="AU1024" s="68"/>
      <c r="AV1024" s="68"/>
      <c r="AW1024" s="68"/>
      <c r="AX1024" s="68"/>
      <c r="AY1024" s="68"/>
    </row>
    <row r="1025" spans="1:57" ht="12.95" customHeight="1">
      <c r="A1025" s="14"/>
      <c r="B1025" s="79"/>
      <c r="C1025" s="80" t="s">
        <v>228</v>
      </c>
      <c r="D1025" s="1508" t="s">
        <v>1293</v>
      </c>
      <c r="E1025" s="1509"/>
      <c r="F1025" s="1509"/>
      <c r="G1025" s="1509"/>
      <c r="H1025" s="1509"/>
      <c r="I1025" s="1509"/>
      <c r="J1025" s="1509"/>
      <c r="K1025" s="1509"/>
      <c r="L1025" s="1509"/>
      <c r="M1025" s="1509"/>
      <c r="N1025" s="1509"/>
      <c r="O1025" s="1509"/>
      <c r="P1025" s="1509"/>
      <c r="Q1025" s="1509"/>
      <c r="R1025" s="1509"/>
      <c r="S1025" s="1509"/>
      <c r="T1025" s="1509"/>
      <c r="U1025" s="1509"/>
      <c r="V1025" s="1509"/>
      <c r="W1025" s="1509"/>
      <c r="X1025" s="1509"/>
      <c r="Y1025" s="1509"/>
      <c r="Z1025" s="1509"/>
      <c r="AA1025" s="1509"/>
      <c r="AB1025" s="1509"/>
      <c r="AC1025" s="1509"/>
      <c r="AD1025" s="1509"/>
      <c r="AE1025" s="1510"/>
      <c r="AF1025" s="79"/>
      <c r="AG1025" s="1516" t="s">
        <v>669</v>
      </c>
      <c r="AH1025" s="1517"/>
      <c r="AI1025" s="87"/>
      <c r="AJ1025" s="1358">
        <f>ROUND(IF(AG1025="Yes",AF1027,0),0)</f>
        <v>0</v>
      </c>
      <c r="AK1025" s="1359"/>
      <c r="AL1025" s="1359"/>
      <c r="AM1025" s="1359"/>
      <c r="AN1025" s="1359"/>
      <c r="AO1025" s="1359"/>
      <c r="AP1025" s="1359"/>
      <c r="AQ1025" s="1360"/>
      <c r="AR1025" s="68"/>
      <c r="AS1025" s="68"/>
      <c r="AT1025" s="68"/>
      <c r="AU1025" s="68"/>
      <c r="AV1025" s="68"/>
      <c r="AW1025" s="68"/>
      <c r="AX1025" s="68"/>
      <c r="AY1025" s="68"/>
    </row>
    <row r="1026" spans="1:57" ht="12.95" customHeight="1">
      <c r="A1026" s="14"/>
      <c r="B1026" s="73"/>
      <c r="C1026" s="74"/>
      <c r="D1026" s="1521" t="s">
        <v>1689</v>
      </c>
      <c r="E1026" s="1522"/>
      <c r="F1026" s="1522"/>
      <c r="G1026" s="1522"/>
      <c r="H1026" s="1522"/>
      <c r="I1026" s="1522"/>
      <c r="J1026" s="1522"/>
      <c r="K1026" s="1522"/>
      <c r="L1026" s="1522"/>
      <c r="M1026" s="1522"/>
      <c r="N1026" s="1522"/>
      <c r="O1026" s="1522"/>
      <c r="P1026" s="1522"/>
      <c r="Q1026" s="1522"/>
      <c r="R1026" s="1522"/>
      <c r="S1026" s="1522"/>
      <c r="T1026" s="1522"/>
      <c r="U1026" s="1522"/>
      <c r="V1026" s="1522"/>
      <c r="W1026" s="1522"/>
      <c r="X1026" s="1522"/>
      <c r="Y1026" s="1522"/>
      <c r="Z1026" s="1522"/>
      <c r="AA1026" s="1522"/>
      <c r="AB1026" s="1522"/>
      <c r="AC1026" s="1522"/>
      <c r="AD1026" s="1522"/>
      <c r="AE1026" s="1523"/>
      <c r="AF1026" s="1541" t="str">
        <f>IF(AG1025="yes","Enter Amount:","")</f>
        <v/>
      </c>
      <c r="AG1026" s="1542"/>
      <c r="AH1026" s="1542"/>
      <c r="AI1026" s="1543"/>
      <c r="AJ1026" s="1361"/>
      <c r="AK1026" s="1362"/>
      <c r="AL1026" s="1362"/>
      <c r="AM1026" s="1362"/>
      <c r="AN1026" s="1362"/>
      <c r="AO1026" s="1362"/>
      <c r="AP1026" s="1362"/>
      <c r="AQ1026" s="1363"/>
      <c r="AR1026" s="68"/>
      <c r="AS1026" s="68"/>
      <c r="AT1026" s="68"/>
      <c r="AU1026" s="68"/>
      <c r="AV1026" s="68"/>
      <c r="AW1026" s="68"/>
      <c r="AX1026" s="68"/>
      <c r="AY1026" s="68"/>
    </row>
    <row r="1027" spans="1:57" ht="12.95" customHeight="1">
      <c r="A1027" s="14"/>
      <c r="B1027" s="73"/>
      <c r="C1027" s="74"/>
      <c r="D1027" s="1521"/>
      <c r="E1027" s="1522"/>
      <c r="F1027" s="1522"/>
      <c r="G1027" s="1522"/>
      <c r="H1027" s="1522"/>
      <c r="I1027" s="1522"/>
      <c r="J1027" s="1522"/>
      <c r="K1027" s="1522"/>
      <c r="L1027" s="1522"/>
      <c r="M1027" s="1522"/>
      <c r="N1027" s="1522"/>
      <c r="O1027" s="1522"/>
      <c r="P1027" s="1522"/>
      <c r="Q1027" s="1522"/>
      <c r="R1027" s="1522"/>
      <c r="S1027" s="1522"/>
      <c r="T1027" s="1522"/>
      <c r="U1027" s="1522"/>
      <c r="V1027" s="1522"/>
      <c r="W1027" s="1522"/>
      <c r="X1027" s="1522"/>
      <c r="Y1027" s="1522"/>
      <c r="Z1027" s="1522"/>
      <c r="AA1027" s="1522"/>
      <c r="AB1027" s="1522"/>
      <c r="AC1027" s="1522"/>
      <c r="AD1027" s="1522"/>
      <c r="AE1027" s="1523"/>
      <c r="AF1027" s="1400"/>
      <c r="AG1027" s="1400"/>
      <c r="AH1027" s="1400"/>
      <c r="AI1027" s="1400"/>
      <c r="AJ1027" s="1361"/>
      <c r="AK1027" s="1362"/>
      <c r="AL1027" s="1362"/>
      <c r="AM1027" s="1362"/>
      <c r="AN1027" s="1362"/>
      <c r="AO1027" s="1362"/>
      <c r="AP1027" s="1362"/>
      <c r="AQ1027" s="1363"/>
      <c r="AR1027" s="68"/>
      <c r="AS1027" s="68"/>
      <c r="AT1027" s="68"/>
      <c r="AU1027" s="68"/>
      <c r="AV1027" s="68"/>
      <c r="AW1027" s="68"/>
      <c r="AX1027" s="68"/>
      <c r="AY1027" s="68" t="str">
        <f>"Select items beginning on row #"&amp;TEXT(ROW(A1061),"#")&amp;" to claim this boost"</f>
        <v>Select items beginning on row #1061 to claim this boost</v>
      </c>
    </row>
    <row r="1028" spans="1:57" ht="12.95" customHeight="1">
      <c r="A1028" s="14"/>
      <c r="B1028" s="85"/>
      <c r="C1028" s="84"/>
      <c r="D1028" s="1524"/>
      <c r="E1028" s="1525"/>
      <c r="F1028" s="1525"/>
      <c r="G1028" s="1525"/>
      <c r="H1028" s="1525"/>
      <c r="I1028" s="1525"/>
      <c r="J1028" s="1525"/>
      <c r="K1028" s="1525"/>
      <c r="L1028" s="1525"/>
      <c r="M1028" s="1525"/>
      <c r="N1028" s="1525"/>
      <c r="O1028" s="1525"/>
      <c r="P1028" s="1525"/>
      <c r="Q1028" s="1525"/>
      <c r="R1028" s="1525"/>
      <c r="S1028" s="1525"/>
      <c r="T1028" s="1525"/>
      <c r="U1028" s="1525"/>
      <c r="V1028" s="1525"/>
      <c r="W1028" s="1525"/>
      <c r="X1028" s="1525"/>
      <c r="Y1028" s="1525"/>
      <c r="Z1028" s="1525"/>
      <c r="AA1028" s="1525"/>
      <c r="AB1028" s="1525"/>
      <c r="AC1028" s="1525"/>
      <c r="AD1028" s="1525"/>
      <c r="AE1028" s="1526"/>
      <c r="AF1028" s="1400"/>
      <c r="AG1028" s="1400"/>
      <c r="AH1028" s="1400"/>
      <c r="AI1028" s="1400"/>
      <c r="AJ1028" s="1364"/>
      <c r="AK1028" s="1365"/>
      <c r="AL1028" s="1365"/>
      <c r="AM1028" s="1365"/>
      <c r="AN1028" s="1365"/>
      <c r="AO1028" s="1365"/>
      <c r="AP1028" s="1365"/>
      <c r="AQ1028" s="1366"/>
      <c r="AR1028" s="68"/>
      <c r="AS1028" s="68"/>
      <c r="AT1028" s="68"/>
      <c r="AU1028" s="68"/>
      <c r="AV1028" s="68"/>
      <c r="AW1028" s="68"/>
      <c r="AX1028" s="68"/>
      <c r="AY1028" s="68"/>
    </row>
    <row r="1029" spans="1:57" ht="12.95" customHeight="1">
      <c r="A1029" s="14"/>
      <c r="B1029" s="79"/>
      <c r="C1029" s="80" t="s">
        <v>233</v>
      </c>
      <c r="D1029" s="1518" t="s">
        <v>1294</v>
      </c>
      <c r="E1029" s="1519"/>
      <c r="F1029" s="1519"/>
      <c r="G1029" s="1519"/>
      <c r="H1029" s="1519"/>
      <c r="I1029" s="1519"/>
      <c r="J1029" s="1519"/>
      <c r="K1029" s="1519"/>
      <c r="L1029" s="1519"/>
      <c r="M1029" s="1519"/>
      <c r="N1029" s="1519"/>
      <c r="O1029" s="1519"/>
      <c r="P1029" s="1519"/>
      <c r="Q1029" s="1519"/>
      <c r="R1029" s="1519"/>
      <c r="S1029" s="1519"/>
      <c r="T1029" s="1519"/>
      <c r="U1029" s="1519"/>
      <c r="V1029" s="1519"/>
      <c r="W1029" s="1519"/>
      <c r="X1029" s="1519"/>
      <c r="Y1029" s="1519"/>
      <c r="Z1029" s="1519"/>
      <c r="AA1029" s="1519"/>
      <c r="AB1029" s="1519"/>
      <c r="AC1029" s="1519"/>
      <c r="AD1029" s="1519"/>
      <c r="AE1029" s="1520"/>
      <c r="AF1029" s="79"/>
      <c r="AG1029" s="1516" t="s">
        <v>545</v>
      </c>
      <c r="AH1029" s="1517"/>
      <c r="AI1029" s="87"/>
      <c r="AJ1029" s="1358">
        <f>ROUND(IF(AG1029="yes",(AJ992*0.1),0),0)</f>
        <v>12021545</v>
      </c>
      <c r="AK1029" s="1359"/>
      <c r="AL1029" s="1359"/>
      <c r="AM1029" s="1359"/>
      <c r="AN1029" s="1359"/>
      <c r="AO1029" s="1359"/>
      <c r="AP1029" s="1359"/>
      <c r="AQ1029" s="1360"/>
      <c r="AR1029" s="68"/>
      <c r="AS1029" s="68"/>
      <c r="AT1029" s="68"/>
      <c r="AU1029" s="68"/>
      <c r="AV1029" s="68"/>
      <c r="AW1029" s="68"/>
      <c r="AX1029" s="68"/>
      <c r="AY1029" s="68"/>
    </row>
    <row r="1030" spans="1:57" ht="12.95" customHeight="1">
      <c r="A1030" s="14"/>
      <c r="B1030" s="73"/>
      <c r="C1030" s="74"/>
      <c r="D1030" s="1521" t="s">
        <v>1295</v>
      </c>
      <c r="E1030" s="1522"/>
      <c r="F1030" s="1522"/>
      <c r="G1030" s="1522"/>
      <c r="H1030" s="1522"/>
      <c r="I1030" s="1522"/>
      <c r="J1030" s="1522"/>
      <c r="K1030" s="1522"/>
      <c r="L1030" s="1522"/>
      <c r="M1030" s="1522"/>
      <c r="N1030" s="1522"/>
      <c r="O1030" s="1522"/>
      <c r="P1030" s="1522"/>
      <c r="Q1030" s="1522"/>
      <c r="R1030" s="1522"/>
      <c r="S1030" s="1522"/>
      <c r="T1030" s="1522"/>
      <c r="U1030" s="1522"/>
      <c r="V1030" s="1522"/>
      <c r="W1030" s="1522"/>
      <c r="X1030" s="1522"/>
      <c r="Y1030" s="1522"/>
      <c r="Z1030" s="1522"/>
      <c r="AA1030" s="1522"/>
      <c r="AB1030" s="1522"/>
      <c r="AC1030" s="1522"/>
      <c r="AD1030" s="1522"/>
      <c r="AE1030" s="1523"/>
      <c r="AF1030" s="73"/>
      <c r="AG1030" s="14"/>
      <c r="AH1030" s="14"/>
      <c r="AI1030" s="83"/>
      <c r="AJ1030" s="1361"/>
      <c r="AK1030" s="1362"/>
      <c r="AL1030" s="1362"/>
      <c r="AM1030" s="1362"/>
      <c r="AN1030" s="1362"/>
      <c r="AO1030" s="1362"/>
      <c r="AP1030" s="1362"/>
      <c r="AQ1030" s="1363"/>
      <c r="AR1030" s="68"/>
      <c r="AS1030" s="68"/>
      <c r="AT1030" s="68"/>
      <c r="AU1030" s="68"/>
      <c r="AV1030" s="68"/>
      <c r="AW1030" s="68"/>
      <c r="AX1030" s="68"/>
      <c r="AY1030" s="68"/>
    </row>
    <row r="1031" spans="1:57" ht="12.95" customHeight="1">
      <c r="A1031" s="14"/>
      <c r="B1031" s="77"/>
      <c r="C1031" s="74"/>
      <c r="D1031" s="1524"/>
      <c r="E1031" s="1525"/>
      <c r="F1031" s="1525"/>
      <c r="G1031" s="1525"/>
      <c r="H1031" s="1525"/>
      <c r="I1031" s="1525"/>
      <c r="J1031" s="1525"/>
      <c r="K1031" s="1525"/>
      <c r="L1031" s="1525"/>
      <c r="M1031" s="1525"/>
      <c r="N1031" s="1525"/>
      <c r="O1031" s="1525"/>
      <c r="P1031" s="1525"/>
      <c r="Q1031" s="1525"/>
      <c r="R1031" s="1525"/>
      <c r="S1031" s="1525"/>
      <c r="T1031" s="1525"/>
      <c r="U1031" s="1525"/>
      <c r="V1031" s="1525"/>
      <c r="W1031" s="1525"/>
      <c r="X1031" s="1525"/>
      <c r="Y1031" s="1525"/>
      <c r="Z1031" s="1525"/>
      <c r="AA1031" s="1525"/>
      <c r="AB1031" s="1525"/>
      <c r="AC1031" s="1525"/>
      <c r="AD1031" s="1525"/>
      <c r="AE1031" s="1526"/>
      <c r="AF1031" s="73"/>
      <c r="AG1031" s="14"/>
      <c r="AH1031" s="14"/>
      <c r="AI1031" s="83"/>
      <c r="AJ1031" s="1364"/>
      <c r="AK1031" s="1365"/>
      <c r="AL1031" s="1365"/>
      <c r="AM1031" s="1365"/>
      <c r="AN1031" s="1365"/>
      <c r="AO1031" s="1365"/>
      <c r="AP1031" s="1365"/>
      <c r="AQ1031" s="1366"/>
      <c r="AR1031" s="68"/>
      <c r="AS1031" s="68"/>
      <c r="AT1031" s="68"/>
      <c r="AU1031" s="68"/>
      <c r="AV1031" s="68"/>
      <c r="AW1031" s="68"/>
      <c r="AX1031" s="68"/>
      <c r="AY1031" s="68"/>
    </row>
    <row r="1032" spans="1:57" ht="12.95" customHeight="1">
      <c r="A1032" s="14"/>
      <c r="B1032" s="73"/>
      <c r="C1032" s="340" t="s">
        <v>687</v>
      </c>
      <c r="D1032" s="1508" t="s">
        <v>1685</v>
      </c>
      <c r="E1032" s="1509"/>
      <c r="F1032" s="1509"/>
      <c r="G1032" s="1509"/>
      <c r="H1032" s="1509"/>
      <c r="I1032" s="1509"/>
      <c r="J1032" s="1509"/>
      <c r="K1032" s="1509"/>
      <c r="L1032" s="1509"/>
      <c r="M1032" s="1509"/>
      <c r="N1032" s="1509"/>
      <c r="O1032" s="1509"/>
      <c r="P1032" s="1509"/>
      <c r="Q1032" s="1509"/>
      <c r="R1032" s="1509"/>
      <c r="S1032" s="1509"/>
      <c r="T1032" s="1509"/>
      <c r="U1032" s="1509"/>
      <c r="V1032" s="1509"/>
      <c r="W1032" s="1509"/>
      <c r="X1032" s="1509"/>
      <c r="Y1032" s="1509"/>
      <c r="Z1032" s="1509"/>
      <c r="AA1032" s="1509"/>
      <c r="AB1032" s="1509"/>
      <c r="AC1032" s="1509"/>
      <c r="AD1032" s="1509"/>
      <c r="AE1032" s="1510"/>
      <c r="AF1032" s="79"/>
      <c r="AG1032" s="1516" t="s">
        <v>669</v>
      </c>
      <c r="AH1032" s="1517"/>
      <c r="AI1032" s="87"/>
      <c r="AJ1032" s="1358">
        <f>ROUND(IF(AG1032="yes",(AJ992*0.15),0),0)</f>
        <v>0</v>
      </c>
      <c r="AK1032" s="1359"/>
      <c r="AL1032" s="1359"/>
      <c r="AM1032" s="1359"/>
      <c r="AN1032" s="1359"/>
      <c r="AO1032" s="1359"/>
      <c r="AP1032" s="1359"/>
      <c r="AQ1032" s="1360"/>
      <c r="AR1032" s="68"/>
      <c r="AS1032" s="68"/>
      <c r="AT1032" s="68"/>
      <c r="AU1032" s="68"/>
      <c r="AV1032" s="68"/>
      <c r="AW1032" s="68"/>
      <c r="AX1032" s="68"/>
      <c r="AY1032" s="68"/>
    </row>
    <row r="1033" spans="1:57" ht="12.95" customHeight="1">
      <c r="A1033" s="14"/>
      <c r="B1033" s="73"/>
      <c r="C1033" s="74"/>
      <c r="D1033" s="1530" t="s">
        <v>1686</v>
      </c>
      <c r="E1033" s="1265"/>
      <c r="F1033" s="1265"/>
      <c r="G1033" s="1265"/>
      <c r="H1033" s="1265"/>
      <c r="I1033" s="1265"/>
      <c r="J1033" s="1265"/>
      <c r="K1033" s="1265"/>
      <c r="L1033" s="1265"/>
      <c r="M1033" s="1265"/>
      <c r="N1033" s="1265"/>
      <c r="O1033" s="1265"/>
      <c r="P1033" s="1265"/>
      <c r="Q1033" s="1265"/>
      <c r="R1033" s="1265"/>
      <c r="S1033" s="1265"/>
      <c r="T1033" s="1265"/>
      <c r="U1033" s="1265"/>
      <c r="V1033" s="1265"/>
      <c r="W1033" s="1265"/>
      <c r="X1033" s="1265"/>
      <c r="Y1033" s="1265"/>
      <c r="Z1033" s="1265"/>
      <c r="AA1033" s="1265"/>
      <c r="AB1033" s="1265"/>
      <c r="AC1033" s="1265"/>
      <c r="AD1033" s="1265"/>
      <c r="AE1033" s="1531"/>
      <c r="AF1033" s="916"/>
      <c r="AG1033" s="917"/>
      <c r="AH1033" s="917"/>
      <c r="AI1033" s="918"/>
      <c r="AJ1033" s="1361"/>
      <c r="AK1033" s="1362"/>
      <c r="AL1033" s="1362"/>
      <c r="AM1033" s="1362"/>
      <c r="AN1033" s="1362"/>
      <c r="AO1033" s="1362"/>
      <c r="AP1033" s="1362"/>
      <c r="AQ1033" s="1363"/>
      <c r="AR1033" s="68"/>
      <c r="AS1033" s="68"/>
      <c r="AT1033" s="68"/>
      <c r="AU1033" s="68"/>
      <c r="AV1033" s="68"/>
      <c r="AW1033" s="68"/>
      <c r="AX1033" s="68"/>
      <c r="AY1033" s="68"/>
    </row>
    <row r="1034" spans="1:57" ht="12.95" customHeight="1">
      <c r="A1034" s="14"/>
      <c r="B1034" s="73"/>
      <c r="C1034" s="74"/>
      <c r="D1034" s="1530"/>
      <c r="E1034" s="1265"/>
      <c r="F1034" s="1265"/>
      <c r="G1034" s="1265"/>
      <c r="H1034" s="1265"/>
      <c r="I1034" s="1265"/>
      <c r="J1034" s="1265"/>
      <c r="K1034" s="1265"/>
      <c r="L1034" s="1265"/>
      <c r="M1034" s="1265"/>
      <c r="N1034" s="1265"/>
      <c r="O1034" s="1265"/>
      <c r="P1034" s="1265"/>
      <c r="Q1034" s="1265"/>
      <c r="R1034" s="1265"/>
      <c r="S1034" s="1265"/>
      <c r="T1034" s="1265"/>
      <c r="U1034" s="1265"/>
      <c r="V1034" s="1265"/>
      <c r="W1034" s="1265"/>
      <c r="X1034" s="1265"/>
      <c r="Y1034" s="1265"/>
      <c r="Z1034" s="1265"/>
      <c r="AA1034" s="1265"/>
      <c r="AB1034" s="1265"/>
      <c r="AC1034" s="1265"/>
      <c r="AD1034" s="1265"/>
      <c r="AE1034" s="1531"/>
      <c r="AF1034" s="916"/>
      <c r="AG1034" s="917"/>
      <c r="AH1034" s="917"/>
      <c r="AI1034" s="918"/>
      <c r="AJ1034" s="1361"/>
      <c r="AK1034" s="1362"/>
      <c r="AL1034" s="1362"/>
      <c r="AM1034" s="1362"/>
      <c r="AN1034" s="1362"/>
      <c r="AO1034" s="1362"/>
      <c r="AP1034" s="1362"/>
      <c r="AQ1034" s="1363"/>
      <c r="AR1034" s="68"/>
      <c r="AS1034" s="68"/>
      <c r="AT1034" s="68"/>
      <c r="AU1034" s="68"/>
      <c r="AV1034" s="68"/>
      <c r="AW1034" s="68"/>
      <c r="AX1034" s="68"/>
      <c r="AY1034" s="68"/>
    </row>
    <row r="1035" spans="1:57" ht="12.95" customHeight="1">
      <c r="A1035" s="14"/>
      <c r="B1035" s="73"/>
      <c r="C1035" s="74"/>
      <c r="D1035" s="1532"/>
      <c r="E1035" s="1533"/>
      <c r="F1035" s="1533"/>
      <c r="G1035" s="1533"/>
      <c r="H1035" s="1533"/>
      <c r="I1035" s="1533"/>
      <c r="J1035" s="1533"/>
      <c r="K1035" s="1533"/>
      <c r="L1035" s="1533"/>
      <c r="M1035" s="1533"/>
      <c r="N1035" s="1533"/>
      <c r="O1035" s="1533"/>
      <c r="P1035" s="1533"/>
      <c r="Q1035" s="1533"/>
      <c r="R1035" s="1533"/>
      <c r="S1035" s="1533"/>
      <c r="T1035" s="1533"/>
      <c r="U1035" s="1533"/>
      <c r="V1035" s="1533"/>
      <c r="W1035" s="1533"/>
      <c r="X1035" s="1533"/>
      <c r="Y1035" s="1533"/>
      <c r="Z1035" s="1533"/>
      <c r="AA1035" s="1533"/>
      <c r="AB1035" s="1533"/>
      <c r="AC1035" s="1533"/>
      <c r="AD1035" s="1533"/>
      <c r="AE1035" s="1534"/>
      <c r="AF1035" s="919"/>
      <c r="AG1035" s="920"/>
      <c r="AH1035" s="920"/>
      <c r="AI1035" s="921"/>
      <c r="AJ1035" s="1364"/>
      <c r="AK1035" s="1365"/>
      <c r="AL1035" s="1365"/>
      <c r="AM1035" s="1365"/>
      <c r="AN1035" s="1365"/>
      <c r="AO1035" s="1365"/>
      <c r="AP1035" s="1365"/>
      <c r="AQ1035" s="1366"/>
      <c r="AR1035" s="68"/>
      <c r="AS1035" s="68"/>
      <c r="AT1035" s="68"/>
      <c r="AU1035" s="68"/>
      <c r="AV1035" s="68"/>
      <c r="AW1035" s="68"/>
      <c r="AX1035" s="68"/>
      <c r="AY1035" s="68"/>
    </row>
    <row r="1036" spans="1:57" ht="12.95" customHeight="1">
      <c r="A1036" s="14"/>
      <c r="B1036" s="73"/>
      <c r="C1036" s="340" t="s">
        <v>687</v>
      </c>
      <c r="D1036" s="1518" t="s">
        <v>1687</v>
      </c>
      <c r="E1036" s="1519"/>
      <c r="F1036" s="1519"/>
      <c r="G1036" s="1519"/>
      <c r="H1036" s="1519"/>
      <c r="I1036" s="1519"/>
      <c r="J1036" s="1519"/>
      <c r="K1036" s="1519"/>
      <c r="L1036" s="1519"/>
      <c r="M1036" s="1519"/>
      <c r="N1036" s="1519"/>
      <c r="O1036" s="1519"/>
      <c r="P1036" s="1519"/>
      <c r="Q1036" s="1519"/>
      <c r="R1036" s="1519"/>
      <c r="S1036" s="1519"/>
      <c r="T1036" s="1519"/>
      <c r="U1036" s="1519"/>
      <c r="V1036" s="1519"/>
      <c r="W1036" s="1519"/>
      <c r="X1036" s="1519"/>
      <c r="Y1036" s="1519"/>
      <c r="Z1036" s="1519"/>
      <c r="AA1036" s="1519"/>
      <c r="AB1036" s="1519"/>
      <c r="AC1036" s="1519"/>
      <c r="AD1036" s="1519"/>
      <c r="AE1036" s="1520"/>
      <c r="AF1036" s="73"/>
      <c r="AG1036" s="1575" t="s">
        <v>545</v>
      </c>
      <c r="AH1036" s="1576"/>
      <c r="AI1036" s="83"/>
      <c r="AJ1036" s="1358">
        <f>ROUND(IF(AND(AG1036="yes",AJ1032=0),(AJ992*0.1),0),0)</f>
        <v>12021545</v>
      </c>
      <c r="AK1036" s="1359"/>
      <c r="AL1036" s="1359"/>
      <c r="AM1036" s="1359"/>
      <c r="AN1036" s="1359"/>
      <c r="AO1036" s="1359"/>
      <c r="AP1036" s="1359"/>
      <c r="AQ1036" s="1360"/>
      <c r="AR1036" s="68"/>
      <c r="AS1036" s="68"/>
      <c r="AT1036" s="68"/>
      <c r="AU1036" s="68"/>
      <c r="AV1036" s="68"/>
      <c r="AW1036" s="68"/>
      <c r="AX1036" s="68"/>
      <c r="AY1036" s="68"/>
    </row>
    <row r="1037" spans="1:57" ht="12.95" customHeight="1">
      <c r="A1037" s="14"/>
      <c r="B1037" s="73"/>
      <c r="C1037" s="74"/>
      <c r="D1037" s="1530" t="s">
        <v>1688</v>
      </c>
      <c r="E1037" s="1265"/>
      <c r="F1037" s="1265"/>
      <c r="G1037" s="1265"/>
      <c r="H1037" s="1265"/>
      <c r="I1037" s="1265"/>
      <c r="J1037" s="1265"/>
      <c r="K1037" s="1265"/>
      <c r="L1037" s="1265"/>
      <c r="M1037" s="1265"/>
      <c r="N1037" s="1265"/>
      <c r="O1037" s="1265"/>
      <c r="P1037" s="1265"/>
      <c r="Q1037" s="1265"/>
      <c r="R1037" s="1265"/>
      <c r="S1037" s="1265"/>
      <c r="T1037" s="1265"/>
      <c r="U1037" s="1265"/>
      <c r="V1037" s="1265"/>
      <c r="W1037" s="1265"/>
      <c r="X1037" s="1265"/>
      <c r="Y1037" s="1265"/>
      <c r="Z1037" s="1265"/>
      <c r="AA1037" s="1265"/>
      <c r="AB1037" s="1265"/>
      <c r="AC1037" s="1265"/>
      <c r="AD1037" s="1265"/>
      <c r="AE1037" s="1531"/>
      <c r="AF1037" s="73"/>
      <c r="AG1037" s="14"/>
      <c r="AH1037" s="14"/>
      <c r="AI1037" s="83"/>
      <c r="AJ1037" s="1361"/>
      <c r="AK1037" s="1362"/>
      <c r="AL1037" s="1362"/>
      <c r="AM1037" s="1362"/>
      <c r="AN1037" s="1362"/>
      <c r="AO1037" s="1362"/>
      <c r="AP1037" s="1362"/>
      <c r="AQ1037" s="1363"/>
      <c r="AR1037" s="68"/>
      <c r="AS1037" s="68"/>
      <c r="AT1037" s="68"/>
      <c r="AU1037" s="68"/>
      <c r="AV1037" s="68"/>
      <c r="AW1037" s="68"/>
      <c r="AX1037" s="68"/>
      <c r="AY1037" s="68"/>
    </row>
    <row r="1038" spans="1:57" ht="12.95" customHeight="1">
      <c r="A1038" s="14"/>
      <c r="B1038" s="73"/>
      <c r="C1038" s="74"/>
      <c r="D1038" s="1530"/>
      <c r="E1038" s="1265"/>
      <c r="F1038" s="1265"/>
      <c r="G1038" s="1265"/>
      <c r="H1038" s="1265"/>
      <c r="I1038" s="1265"/>
      <c r="J1038" s="1265"/>
      <c r="K1038" s="1265"/>
      <c r="L1038" s="1265"/>
      <c r="M1038" s="1265"/>
      <c r="N1038" s="1265"/>
      <c r="O1038" s="1265"/>
      <c r="P1038" s="1265"/>
      <c r="Q1038" s="1265"/>
      <c r="R1038" s="1265"/>
      <c r="S1038" s="1265"/>
      <c r="T1038" s="1265"/>
      <c r="U1038" s="1265"/>
      <c r="V1038" s="1265"/>
      <c r="W1038" s="1265"/>
      <c r="X1038" s="1265"/>
      <c r="Y1038" s="1265"/>
      <c r="Z1038" s="1265"/>
      <c r="AA1038" s="1265"/>
      <c r="AB1038" s="1265"/>
      <c r="AC1038" s="1265"/>
      <c r="AD1038" s="1265"/>
      <c r="AE1038" s="1531"/>
      <c r="AF1038" s="73"/>
      <c r="AG1038" s="14"/>
      <c r="AH1038" s="14"/>
      <c r="AI1038" s="83"/>
      <c r="AJ1038" s="1361"/>
      <c r="AK1038" s="1362"/>
      <c r="AL1038" s="1362"/>
      <c r="AM1038" s="1362"/>
      <c r="AN1038" s="1362"/>
      <c r="AO1038" s="1362"/>
      <c r="AP1038" s="1362"/>
      <c r="AQ1038" s="1363"/>
      <c r="AR1038" s="68"/>
      <c r="AS1038" s="68"/>
      <c r="AT1038" s="68"/>
      <c r="AU1038" s="68"/>
      <c r="AV1038" s="68"/>
      <c r="AW1038" s="68"/>
      <c r="AX1038" s="68"/>
      <c r="AY1038" s="68"/>
      <c r="BA1038" s="1184">
        <f>IFERROR(('Sources and Uses Budget'!$C$17+'Sources and Uses Budget'!$C$18+'Sources and Uses Budget'!$C$22)/$AG$437,0)</f>
        <v>0</v>
      </c>
      <c r="BB1038" s="1184" t="s">
        <v>2491</v>
      </c>
      <c r="BC1038" s="1184"/>
      <c r="BD1038" s="1184"/>
      <c r="BE1038" s="1184"/>
    </row>
    <row r="1039" spans="1:57" ht="12.95" customHeight="1">
      <c r="A1039" s="14"/>
      <c r="B1039" s="73"/>
      <c r="C1039" s="74"/>
      <c r="D1039" s="1530"/>
      <c r="E1039" s="1265"/>
      <c r="F1039" s="1265"/>
      <c r="G1039" s="1265"/>
      <c r="H1039" s="1265"/>
      <c r="I1039" s="1265"/>
      <c r="J1039" s="1265"/>
      <c r="K1039" s="1265"/>
      <c r="L1039" s="1265"/>
      <c r="M1039" s="1265"/>
      <c r="N1039" s="1265"/>
      <c r="O1039" s="1265"/>
      <c r="P1039" s="1265"/>
      <c r="Q1039" s="1265"/>
      <c r="R1039" s="1265"/>
      <c r="S1039" s="1265"/>
      <c r="T1039" s="1265"/>
      <c r="U1039" s="1265"/>
      <c r="V1039" s="1265"/>
      <c r="W1039" s="1265"/>
      <c r="X1039" s="1265"/>
      <c r="Y1039" s="1265"/>
      <c r="Z1039" s="1265"/>
      <c r="AA1039" s="1265"/>
      <c r="AB1039" s="1265"/>
      <c r="AC1039" s="1265"/>
      <c r="AD1039" s="1265"/>
      <c r="AE1039" s="1531"/>
      <c r="AF1039" s="73"/>
      <c r="AG1039" s="14"/>
      <c r="AH1039" s="14"/>
      <c r="AI1039" s="83"/>
      <c r="AJ1039" s="1361"/>
      <c r="AK1039" s="1362"/>
      <c r="AL1039" s="1362"/>
      <c r="AM1039" s="1362"/>
      <c r="AN1039" s="1362"/>
      <c r="AO1039" s="1362"/>
      <c r="AP1039" s="1362"/>
      <c r="AQ1039" s="1363"/>
      <c r="AR1039" s="68"/>
      <c r="AS1039" s="68"/>
      <c r="AT1039" s="68"/>
      <c r="AU1039" s="68"/>
      <c r="AV1039" s="68"/>
      <c r="AW1039" s="68"/>
      <c r="AX1039" s="68"/>
      <c r="AY1039" s="68"/>
      <c r="BA1039">
        <f>IFERROR((($CI$753+$CM$753)/$AG$440),0)</f>
        <v>0.20869565217391303</v>
      </c>
      <c r="BB1039" s="3" t="s">
        <v>2495</v>
      </c>
    </row>
    <row r="1040" spans="1:57" ht="12.95" customHeight="1">
      <c r="A1040" s="14"/>
      <c r="B1040" s="73"/>
      <c r="C1040" s="74"/>
      <c r="D1040" s="1532"/>
      <c r="E1040" s="1533"/>
      <c r="F1040" s="1533"/>
      <c r="G1040" s="1533"/>
      <c r="H1040" s="1533"/>
      <c r="I1040" s="1533"/>
      <c r="J1040" s="1533"/>
      <c r="K1040" s="1533"/>
      <c r="L1040" s="1533"/>
      <c r="M1040" s="1533"/>
      <c r="N1040" s="1533"/>
      <c r="O1040" s="1533"/>
      <c r="P1040" s="1533"/>
      <c r="Q1040" s="1533"/>
      <c r="R1040" s="1533"/>
      <c r="S1040" s="1533"/>
      <c r="T1040" s="1533"/>
      <c r="U1040" s="1533"/>
      <c r="V1040" s="1533"/>
      <c r="W1040" s="1533"/>
      <c r="X1040" s="1533"/>
      <c r="Y1040" s="1533"/>
      <c r="Z1040" s="1533"/>
      <c r="AA1040" s="1533"/>
      <c r="AB1040" s="1533"/>
      <c r="AC1040" s="1533"/>
      <c r="AD1040" s="1533"/>
      <c r="AE1040" s="1534"/>
      <c r="AF1040" s="73"/>
      <c r="AG1040" s="14"/>
      <c r="AH1040" s="14"/>
      <c r="AI1040" s="83"/>
      <c r="AJ1040" s="1361"/>
      <c r="AK1040" s="1362"/>
      <c r="AL1040" s="1362"/>
      <c r="AM1040" s="1362"/>
      <c r="AN1040" s="1362"/>
      <c r="AO1040" s="1362"/>
      <c r="AP1040" s="1362"/>
      <c r="AQ1040" s="1363"/>
      <c r="AR1040" s="68"/>
      <c r="AS1040" s="68"/>
      <c r="AT1040" s="68"/>
      <c r="AU1040" s="68"/>
      <c r="AV1040" s="68"/>
      <c r="AW1040" s="68"/>
      <c r="AX1040" s="68"/>
      <c r="AY1040" s="68"/>
      <c r="BA1040" t="b">
        <f>'Points System'!AJ164="Yes"</f>
        <v>0</v>
      </c>
      <c r="BB1040" s="3" t="s">
        <v>2492</v>
      </c>
    </row>
    <row r="1041" spans="1:56" ht="12.95" customHeight="1">
      <c r="A1041" s="14"/>
      <c r="B1041" s="79"/>
      <c r="C1041" s="131" t="s">
        <v>1009</v>
      </c>
      <c r="D1041" s="1508" t="s">
        <v>1296</v>
      </c>
      <c r="E1041" s="1509"/>
      <c r="F1041" s="1509"/>
      <c r="G1041" s="1509"/>
      <c r="H1041" s="1509"/>
      <c r="I1041" s="1509"/>
      <c r="J1041" s="1509"/>
      <c r="K1041" s="1509"/>
      <c r="L1041" s="1509"/>
      <c r="M1041" s="1509"/>
      <c r="N1041" s="1509"/>
      <c r="O1041" s="1509"/>
      <c r="P1041" s="1509"/>
      <c r="Q1041" s="1509"/>
      <c r="R1041" s="1509"/>
      <c r="S1041" s="1509"/>
      <c r="T1041" s="1509"/>
      <c r="U1041" s="1509"/>
      <c r="V1041" s="1509"/>
      <c r="W1041" s="1509"/>
      <c r="X1041" s="1509"/>
      <c r="Y1041" s="1509"/>
      <c r="Z1041" s="1509"/>
      <c r="AA1041" s="1509"/>
      <c r="AB1041" s="1509"/>
      <c r="AC1041" s="1509"/>
      <c r="AD1041" s="1509"/>
      <c r="AE1041" s="1510"/>
      <c r="AF1041" s="79"/>
      <c r="AG1041" s="1516" t="s">
        <v>669</v>
      </c>
      <c r="AH1041" s="1517"/>
      <c r="AI1041" s="87"/>
      <c r="AJ1041" s="1358">
        <f>ROUND(IF(AG1041="yes",(AJ992*0.1),0),0)</f>
        <v>0</v>
      </c>
      <c r="AK1041" s="1359"/>
      <c r="AL1041" s="1359"/>
      <c r="AM1041" s="1359"/>
      <c r="AN1041" s="1359"/>
      <c r="AO1041" s="1359"/>
      <c r="AP1041" s="1359"/>
      <c r="AQ1041" s="1360"/>
      <c r="AR1041" s="68"/>
      <c r="AS1041" s="68"/>
      <c r="AT1041" s="68"/>
      <c r="AU1041" s="68"/>
      <c r="AV1041" s="68"/>
      <c r="AW1041" s="68"/>
      <c r="AX1041" s="68"/>
      <c r="AY1041" s="68"/>
      <c r="BA1041">
        <f>Q212</f>
        <v>0</v>
      </c>
      <c r="BB1041" s="3" t="s">
        <v>2493</v>
      </c>
    </row>
    <row r="1042" spans="1:56" ht="12.95" customHeight="1">
      <c r="A1042" s="14"/>
      <c r="B1042" s="73"/>
      <c r="C1042" s="74"/>
      <c r="D1042" s="1521" t="s">
        <v>2145</v>
      </c>
      <c r="E1042" s="1522"/>
      <c r="F1042" s="1522"/>
      <c r="G1042" s="1522"/>
      <c r="H1042" s="1522"/>
      <c r="I1042" s="1522"/>
      <c r="J1042" s="1522"/>
      <c r="K1042" s="1522"/>
      <c r="L1042" s="1522"/>
      <c r="M1042" s="1522"/>
      <c r="N1042" s="1522"/>
      <c r="O1042" s="1522"/>
      <c r="P1042" s="1522"/>
      <c r="Q1042" s="1522"/>
      <c r="R1042" s="1522"/>
      <c r="S1042" s="1522"/>
      <c r="T1042" s="1522"/>
      <c r="U1042" s="1522"/>
      <c r="V1042" s="1522"/>
      <c r="W1042" s="1522"/>
      <c r="X1042" s="1522"/>
      <c r="Y1042" s="1522"/>
      <c r="Z1042" s="1522"/>
      <c r="AA1042" s="1522"/>
      <c r="AB1042" s="1522"/>
      <c r="AC1042" s="1522"/>
      <c r="AD1042" s="1522"/>
      <c r="AE1042" s="1523"/>
      <c r="AF1042" s="73"/>
      <c r="AG1042" s="14"/>
      <c r="AH1042" s="14"/>
      <c r="AI1042" s="83"/>
      <c r="AJ1042" s="1361"/>
      <c r="AK1042" s="1362"/>
      <c r="AL1042" s="1362"/>
      <c r="AM1042" s="1362"/>
      <c r="AN1042" s="1362"/>
      <c r="AO1042" s="1362"/>
      <c r="AP1042" s="1362"/>
      <c r="AQ1042" s="1363"/>
      <c r="AR1042" s="68"/>
      <c r="AS1042" s="68"/>
      <c r="AT1042" s="68"/>
      <c r="AU1042" s="68"/>
      <c r="AV1042" s="68"/>
      <c r="AW1042" s="68"/>
      <c r="AX1042" s="68"/>
      <c r="AY1042" s="68"/>
      <c r="BA1042" s="1185">
        <f>T212</f>
        <v>0</v>
      </c>
      <c r="BB1042" s="3" t="s">
        <v>2494</v>
      </c>
    </row>
    <row r="1043" spans="1:56" ht="12.95" customHeight="1">
      <c r="A1043" s="14"/>
      <c r="B1043" s="73"/>
      <c r="C1043" s="74"/>
      <c r="D1043" s="1521"/>
      <c r="E1043" s="1522"/>
      <c r="F1043" s="1522"/>
      <c r="G1043" s="1522"/>
      <c r="H1043" s="1522"/>
      <c r="I1043" s="1522"/>
      <c r="J1043" s="1522"/>
      <c r="K1043" s="1522"/>
      <c r="L1043" s="1522"/>
      <c r="M1043" s="1522"/>
      <c r="N1043" s="1522"/>
      <c r="O1043" s="1522"/>
      <c r="P1043" s="1522"/>
      <c r="Q1043" s="1522"/>
      <c r="R1043" s="1522"/>
      <c r="S1043" s="1522"/>
      <c r="T1043" s="1522"/>
      <c r="U1043" s="1522"/>
      <c r="V1043" s="1522"/>
      <c r="W1043" s="1522"/>
      <c r="X1043" s="1522"/>
      <c r="Y1043" s="1522"/>
      <c r="Z1043" s="1522"/>
      <c r="AA1043" s="1522"/>
      <c r="AB1043" s="1522"/>
      <c r="AC1043" s="1522"/>
      <c r="AD1043" s="1522"/>
      <c r="AE1043" s="1523"/>
      <c r="AF1043" s="73"/>
      <c r="AG1043" s="14"/>
      <c r="AH1043" s="14"/>
      <c r="AI1043" s="83"/>
      <c r="AJ1043" s="1361"/>
      <c r="AK1043" s="1362"/>
      <c r="AL1043" s="1362"/>
      <c r="AM1043" s="1362"/>
      <c r="AN1043" s="1362"/>
      <c r="AO1043" s="1362"/>
      <c r="AP1043" s="1362"/>
      <c r="AQ1043" s="1363"/>
      <c r="AR1043" s="68"/>
      <c r="AS1043" s="68"/>
      <c r="AT1043" s="68"/>
      <c r="AU1043" s="68"/>
      <c r="AV1043" s="68"/>
      <c r="AW1043" s="68"/>
      <c r="AX1043" s="68"/>
      <c r="AY1043" s="68"/>
    </row>
    <row r="1044" spans="1:56" ht="12.95" customHeight="1">
      <c r="A1044" s="14"/>
      <c r="B1044" s="73"/>
      <c r="C1044" s="74"/>
      <c r="D1044" s="1524"/>
      <c r="E1044" s="1525"/>
      <c r="F1044" s="1525"/>
      <c r="G1044" s="1525"/>
      <c r="H1044" s="1525"/>
      <c r="I1044" s="1525"/>
      <c r="J1044" s="1525"/>
      <c r="K1044" s="1525"/>
      <c r="L1044" s="1525"/>
      <c r="M1044" s="1525"/>
      <c r="N1044" s="1525"/>
      <c r="O1044" s="1525"/>
      <c r="P1044" s="1525"/>
      <c r="Q1044" s="1525"/>
      <c r="R1044" s="1525"/>
      <c r="S1044" s="1525"/>
      <c r="T1044" s="1525"/>
      <c r="U1044" s="1525"/>
      <c r="V1044" s="1525"/>
      <c r="W1044" s="1525"/>
      <c r="X1044" s="1525"/>
      <c r="Y1044" s="1525"/>
      <c r="Z1044" s="1525"/>
      <c r="AA1044" s="1525"/>
      <c r="AB1044" s="1525"/>
      <c r="AC1044" s="1525"/>
      <c r="AD1044" s="1525"/>
      <c r="AE1044" s="1526"/>
      <c r="AF1044" s="73"/>
      <c r="AG1044" s="14"/>
      <c r="AH1044" s="14"/>
      <c r="AI1044" s="83"/>
      <c r="AJ1044" s="1364"/>
      <c r="AK1044" s="1365"/>
      <c r="AL1044" s="1365"/>
      <c r="AM1044" s="1365"/>
      <c r="AN1044" s="1365"/>
      <c r="AO1044" s="1365"/>
      <c r="AP1044" s="1365"/>
      <c r="AQ1044" s="1366"/>
      <c r="AR1044" s="68"/>
      <c r="AS1044" s="68"/>
      <c r="AT1044" s="68"/>
      <c r="AU1044" s="68"/>
      <c r="AV1044" s="68"/>
      <c r="AW1044" s="68"/>
      <c r="AX1044" s="68"/>
      <c r="AY1044" s="68"/>
    </row>
    <row r="1045" spans="1:56" ht="12.95" customHeight="1">
      <c r="A1045" s="14"/>
      <c r="B1045" s="79"/>
      <c r="C1045" s="131" t="s">
        <v>1683</v>
      </c>
      <c r="D1045" s="1518" t="s">
        <v>1864</v>
      </c>
      <c r="E1045" s="1519"/>
      <c r="F1045" s="1519"/>
      <c r="G1045" s="1519"/>
      <c r="H1045" s="1519"/>
      <c r="I1045" s="1519"/>
      <c r="J1045" s="1519"/>
      <c r="K1045" s="1519"/>
      <c r="L1045" s="1519"/>
      <c r="M1045" s="1519"/>
      <c r="N1045" s="1519"/>
      <c r="O1045" s="1519"/>
      <c r="P1045" s="1519"/>
      <c r="Q1045" s="1519"/>
      <c r="R1045" s="1519"/>
      <c r="S1045" s="1519"/>
      <c r="T1045" s="1519"/>
      <c r="U1045" s="1519"/>
      <c r="V1045" s="1519"/>
      <c r="W1045" s="1519"/>
      <c r="X1045" s="1519"/>
      <c r="Y1045" s="1519"/>
      <c r="Z1045" s="1519"/>
      <c r="AA1045" s="1519"/>
      <c r="AB1045" s="1519"/>
      <c r="AC1045" s="1519"/>
      <c r="AD1045" s="1519"/>
      <c r="AE1045" s="1520"/>
      <c r="AF1045" s="79"/>
      <c r="AG1045" s="1565" t="str">
        <f>IF(X1048&gt;0,"Yes","No")</f>
        <v>Yes</v>
      </c>
      <c r="AH1045" s="1566"/>
      <c r="AI1045" s="87"/>
      <c r="AJ1045" s="1358">
        <f>IF((X1048=0),0,AY1005*AJ992)</f>
        <v>12021544.700000001</v>
      </c>
      <c r="AK1045" s="1359"/>
      <c r="AL1045" s="1359"/>
      <c r="AM1045" s="1359"/>
      <c r="AN1045" s="1359"/>
      <c r="AO1045" s="1359"/>
      <c r="AP1045" s="1359"/>
      <c r="AQ1045" s="1360"/>
      <c r="AR1045" s="68"/>
      <c r="AS1045" s="68"/>
      <c r="AT1045" s="68"/>
      <c r="AU1045" s="68"/>
      <c r="AV1045" s="68"/>
      <c r="AW1045" s="68"/>
      <c r="AX1045" s="68"/>
      <c r="AY1045" s="68"/>
      <c r="AZ1045" s="1182">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45" s="3" t="s">
        <v>2480</v>
      </c>
      <c r="BB1045" s="3"/>
      <c r="BC1045" s="3"/>
      <c r="BD1045" s="3"/>
    </row>
    <row r="1046" spans="1:56" ht="12.95" customHeight="1">
      <c r="A1046" s="14"/>
      <c r="B1046" s="73"/>
      <c r="C1046" s="443"/>
      <c r="D1046" s="1521" t="s">
        <v>1298</v>
      </c>
      <c r="E1046" s="1522"/>
      <c r="F1046" s="1522"/>
      <c r="G1046" s="1522"/>
      <c r="H1046" s="1522"/>
      <c r="I1046" s="1522"/>
      <c r="J1046" s="1522"/>
      <c r="K1046" s="1522"/>
      <c r="L1046" s="1522"/>
      <c r="M1046" s="1522"/>
      <c r="N1046" s="1522"/>
      <c r="O1046" s="1522"/>
      <c r="P1046" s="1522"/>
      <c r="Q1046" s="1522"/>
      <c r="R1046" s="1522"/>
      <c r="S1046" s="1522"/>
      <c r="T1046" s="1522"/>
      <c r="U1046" s="1522"/>
      <c r="V1046" s="1522"/>
      <c r="W1046" s="1522"/>
      <c r="X1046" s="1522"/>
      <c r="Y1046" s="1522"/>
      <c r="Z1046" s="1522"/>
      <c r="AA1046" s="1522"/>
      <c r="AB1046" s="1522"/>
      <c r="AC1046" s="1522"/>
      <c r="AD1046" s="1522"/>
      <c r="AE1046" s="1523"/>
      <c r="AF1046" s="73"/>
      <c r="AG1046" s="444"/>
      <c r="AH1046" s="444"/>
      <c r="AI1046" s="83"/>
      <c r="AJ1046" s="1361"/>
      <c r="AK1046" s="1362"/>
      <c r="AL1046" s="1362"/>
      <c r="AM1046" s="1362"/>
      <c r="AN1046" s="1362"/>
      <c r="AO1046" s="1362"/>
      <c r="AP1046" s="1362"/>
      <c r="AQ1046" s="1363"/>
      <c r="AR1046" s="68"/>
      <c r="AS1046" s="68"/>
      <c r="AT1046" s="68"/>
      <c r="AU1046" s="13"/>
      <c r="AV1046" s="68"/>
      <c r="AW1046" s="68"/>
      <c r="AX1046" s="68"/>
      <c r="AY1046" s="68"/>
      <c r="AZ1046" s="963">
        <f>'Sources and Uses Budget'!S97*BA1046</f>
        <v>9303647.5499999989</v>
      </c>
      <c r="BA1046" s="1183">
        <f>IF(BA1040,20%,15%)</f>
        <v>0.15</v>
      </c>
      <c r="BB1046" s="3" t="s">
        <v>2481</v>
      </c>
      <c r="BC1046" s="3" t="s">
        <v>2482</v>
      </c>
      <c r="BD1046" s="3"/>
    </row>
    <row r="1047" spans="1:56" ht="12.95" customHeight="1">
      <c r="A1047" s="14"/>
      <c r="B1047" s="73"/>
      <c r="C1047" s="443"/>
      <c r="D1047" s="1521"/>
      <c r="E1047" s="1522"/>
      <c r="F1047" s="1522"/>
      <c r="G1047" s="1522"/>
      <c r="H1047" s="1522"/>
      <c r="I1047" s="1522"/>
      <c r="J1047" s="1522"/>
      <c r="K1047" s="1522"/>
      <c r="L1047" s="1522"/>
      <c r="M1047" s="1522"/>
      <c r="N1047" s="1522"/>
      <c r="O1047" s="1522"/>
      <c r="P1047" s="1522"/>
      <c r="Q1047" s="1522"/>
      <c r="R1047" s="1522"/>
      <c r="S1047" s="1522"/>
      <c r="T1047" s="1522"/>
      <c r="U1047" s="1522"/>
      <c r="V1047" s="1522"/>
      <c r="W1047" s="1522"/>
      <c r="X1047" s="1522"/>
      <c r="Y1047" s="1522"/>
      <c r="Z1047" s="1522"/>
      <c r="AA1047" s="1522"/>
      <c r="AB1047" s="1522"/>
      <c r="AC1047" s="1522"/>
      <c r="AD1047" s="1522"/>
      <c r="AE1047" s="1523"/>
      <c r="AF1047" s="73"/>
      <c r="AG1047" s="444"/>
      <c r="AH1047" s="444"/>
      <c r="AI1047" s="83"/>
      <c r="AJ1047" s="1361"/>
      <c r="AK1047" s="1362"/>
      <c r="AL1047" s="1362"/>
      <c r="AM1047" s="1362"/>
      <c r="AN1047" s="1362"/>
      <c r="AO1047" s="1362"/>
      <c r="AP1047" s="1362"/>
      <c r="AQ1047" s="1363"/>
      <c r="AR1047" s="68"/>
      <c r="AS1047" s="68"/>
      <c r="AT1047" s="68"/>
      <c r="AU1047" s="13"/>
      <c r="AV1047" s="68"/>
      <c r="AW1047" s="68"/>
      <c r="AX1047" s="68"/>
      <c r="AY1047" s="68"/>
      <c r="AZ1047" s="963">
        <f>IF(M356="N/A",0,'Sources and Uses Budget'!T97*BA1047)</f>
        <v>0</v>
      </c>
      <c r="BA1047" s="1183">
        <v>0.15</v>
      </c>
      <c r="BB1047" s="3" t="s">
        <v>2481</v>
      </c>
      <c r="BC1047" s="3" t="s">
        <v>2483</v>
      </c>
      <c r="BD1047" s="3"/>
    </row>
    <row r="1048" spans="1:56" ht="12.95" customHeight="1">
      <c r="A1048" s="14"/>
      <c r="B1048" s="77"/>
      <c r="C1048" s="78"/>
      <c r="D1048" s="132" t="s">
        <v>971</v>
      </c>
      <c r="E1048" s="133"/>
      <c r="F1048" s="133"/>
      <c r="G1048" s="133"/>
      <c r="H1048" s="133"/>
      <c r="I1048" s="1563">
        <f>AY1003</f>
        <v>230</v>
      </c>
      <c r="J1048" s="1564"/>
      <c r="K1048" s="7"/>
      <c r="L1048" s="133"/>
      <c r="M1048" s="133"/>
      <c r="N1048" s="133"/>
      <c r="O1048" s="133"/>
      <c r="P1048" s="133"/>
      <c r="Q1048" s="133"/>
      <c r="R1048" s="133"/>
      <c r="S1048" s="133"/>
      <c r="T1048" s="133"/>
      <c r="U1048" s="133"/>
      <c r="V1048" s="134" t="s">
        <v>972</v>
      </c>
      <c r="W1048" s="48"/>
      <c r="X1048" s="1561">
        <f>CI753</f>
        <v>24</v>
      </c>
      <c r="Y1048" s="1562"/>
      <c r="Z1048" s="48"/>
      <c r="AA1048" s="48"/>
      <c r="AB1048" s="48"/>
      <c r="AC1048" s="48"/>
      <c r="AD1048" s="48"/>
      <c r="AE1048" s="49"/>
      <c r="AF1048" s="925"/>
      <c r="AG1048" s="926"/>
      <c r="AH1048" s="926"/>
      <c r="AI1048" s="927"/>
      <c r="AJ1048" s="1364"/>
      <c r="AK1048" s="1365"/>
      <c r="AL1048" s="1365"/>
      <c r="AM1048" s="1365"/>
      <c r="AN1048" s="1365"/>
      <c r="AO1048" s="1365"/>
      <c r="AP1048" s="1365"/>
      <c r="AQ1048" s="1366"/>
      <c r="AR1048" s="68"/>
      <c r="AS1048" s="68"/>
      <c r="AT1048" s="68"/>
      <c r="AU1048" s="14"/>
      <c r="AV1048" s="68"/>
      <c r="AW1048" s="68"/>
      <c r="AX1048" s="68"/>
      <c r="AY1048" s="68"/>
      <c r="AZ1048" s="963">
        <f>IF(M358="N/A",0,'Sources and Uses Budget'!T97*BA1048)</f>
        <v>0</v>
      </c>
      <c r="BA1048" s="1183" cm="1">
        <f t="array" ref="BA1048">_xlfn.IFS(X180="Yes",5%,$BA$1038&gt;50000,15%,BA1039&gt;=30%,15%,TRUE,5%)</f>
        <v>0.05</v>
      </c>
      <c r="BB1048" s="3" t="s">
        <v>2481</v>
      </c>
      <c r="BC1048" s="3" t="s">
        <v>2484</v>
      </c>
      <c r="BD1048" s="3"/>
    </row>
    <row r="1049" spans="1:56" ht="12.95" customHeight="1">
      <c r="A1049" s="14"/>
      <c r="B1049" s="79"/>
      <c r="C1049" s="131" t="s">
        <v>1684</v>
      </c>
      <c r="D1049" s="1508" t="s">
        <v>2171</v>
      </c>
      <c r="E1049" s="1509"/>
      <c r="F1049" s="1509"/>
      <c r="G1049" s="1509"/>
      <c r="H1049" s="1509"/>
      <c r="I1049" s="1509"/>
      <c r="J1049" s="1509"/>
      <c r="K1049" s="1509"/>
      <c r="L1049" s="1509"/>
      <c r="M1049" s="1509"/>
      <c r="N1049" s="1509"/>
      <c r="O1049" s="1509"/>
      <c r="P1049" s="1509"/>
      <c r="Q1049" s="1509"/>
      <c r="R1049" s="1509"/>
      <c r="S1049" s="1509"/>
      <c r="T1049" s="1509"/>
      <c r="U1049" s="1509"/>
      <c r="V1049" s="1509"/>
      <c r="W1049" s="1509"/>
      <c r="X1049" s="1509"/>
      <c r="Y1049" s="1509"/>
      <c r="Z1049" s="1509"/>
      <c r="AA1049" s="1509"/>
      <c r="AB1049" s="1509"/>
      <c r="AC1049" s="1509"/>
      <c r="AD1049" s="1509"/>
      <c r="AE1049" s="1510"/>
      <c r="AF1049" s="73"/>
      <c r="AG1049" s="1565" t="str">
        <f>IF(X1052&gt;0,"Yes","No")</f>
        <v>Yes</v>
      </c>
      <c r="AH1049" s="1566"/>
      <c r="AI1049" s="83"/>
      <c r="AJ1049" s="1358">
        <f>IF((X1052=0),0,(2*AY1006)*AJ992)</f>
        <v>24043089.400000002</v>
      </c>
      <c r="AK1049" s="1359"/>
      <c r="AL1049" s="1359"/>
      <c r="AM1049" s="1359"/>
      <c r="AN1049" s="1359"/>
      <c r="AO1049" s="1359"/>
      <c r="AP1049" s="1359"/>
      <c r="AQ1049" s="1360"/>
      <c r="AR1049" s="68"/>
      <c r="AS1049" s="68"/>
      <c r="AT1049" s="68"/>
      <c r="AU1049" s="14"/>
      <c r="AV1049" s="68"/>
      <c r="AW1049" s="68"/>
      <c r="AX1049" s="68"/>
      <c r="AY1049" s="68"/>
      <c r="AZ1049" s="963">
        <f>AZ1045*BA1049</f>
        <v>0</v>
      </c>
      <c r="BA1049" s="1183">
        <v>0.15</v>
      </c>
      <c r="BB1049" s="3" t="s">
        <v>2481</v>
      </c>
      <c r="BC1049" s="3" t="s">
        <v>2485</v>
      </c>
      <c r="BD1049" s="3"/>
    </row>
    <row r="1050" spans="1:56" ht="12.95" customHeight="1">
      <c r="A1050" s="14"/>
      <c r="B1050" s="73"/>
      <c r="C1050" s="443"/>
      <c r="D1050" s="1521" t="s">
        <v>1297</v>
      </c>
      <c r="E1050" s="1522"/>
      <c r="F1050" s="1522"/>
      <c r="G1050" s="1522"/>
      <c r="H1050" s="1522"/>
      <c r="I1050" s="1522"/>
      <c r="J1050" s="1522"/>
      <c r="K1050" s="1522"/>
      <c r="L1050" s="1522"/>
      <c r="M1050" s="1522"/>
      <c r="N1050" s="1522"/>
      <c r="O1050" s="1522"/>
      <c r="P1050" s="1522"/>
      <c r="Q1050" s="1522"/>
      <c r="R1050" s="1522"/>
      <c r="S1050" s="1522"/>
      <c r="T1050" s="1522"/>
      <c r="U1050" s="1522"/>
      <c r="V1050" s="1522"/>
      <c r="W1050" s="1522"/>
      <c r="X1050" s="1522"/>
      <c r="Y1050" s="1522"/>
      <c r="Z1050" s="1522"/>
      <c r="AA1050" s="1522"/>
      <c r="AB1050" s="1522"/>
      <c r="AC1050" s="1522"/>
      <c r="AD1050" s="1522"/>
      <c r="AE1050" s="1523"/>
      <c r="AF1050" s="73"/>
      <c r="AG1050" s="444"/>
      <c r="AH1050" s="444"/>
      <c r="AI1050" s="83"/>
      <c r="AJ1050" s="1361"/>
      <c r="AK1050" s="1362"/>
      <c r="AL1050" s="1362"/>
      <c r="AM1050" s="1362"/>
      <c r="AN1050" s="1362"/>
      <c r="AO1050" s="1362"/>
      <c r="AP1050" s="1362"/>
      <c r="AQ1050" s="1363"/>
      <c r="AR1050" s="68"/>
      <c r="AS1050" s="68"/>
      <c r="AT1050" s="68"/>
      <c r="AU1050" s="68"/>
      <c r="AV1050" s="68"/>
      <c r="AW1050" s="68"/>
      <c r="AX1050" s="68"/>
      <c r="AY1050" s="68"/>
      <c r="AZ1050" s="963"/>
      <c r="BA1050" s="3"/>
      <c r="BB1050" s="3"/>
      <c r="BC1050" s="3"/>
      <c r="BD1050" s="3"/>
    </row>
    <row r="1051" spans="1:56" ht="12.95" customHeight="1">
      <c r="A1051" s="14"/>
      <c r="B1051" s="73"/>
      <c r="C1051" s="83"/>
      <c r="D1051" s="1521"/>
      <c r="E1051" s="1522"/>
      <c r="F1051" s="1522"/>
      <c r="G1051" s="1522"/>
      <c r="H1051" s="1522"/>
      <c r="I1051" s="1522"/>
      <c r="J1051" s="1522"/>
      <c r="K1051" s="1522"/>
      <c r="L1051" s="1522"/>
      <c r="M1051" s="1522"/>
      <c r="N1051" s="1522"/>
      <c r="O1051" s="1522"/>
      <c r="P1051" s="1522"/>
      <c r="Q1051" s="1522"/>
      <c r="R1051" s="1522"/>
      <c r="S1051" s="1522"/>
      <c r="T1051" s="1522"/>
      <c r="U1051" s="1522"/>
      <c r="V1051" s="1522"/>
      <c r="W1051" s="1522"/>
      <c r="X1051" s="1522"/>
      <c r="Y1051" s="1522"/>
      <c r="Z1051" s="1522"/>
      <c r="AA1051" s="1522"/>
      <c r="AB1051" s="1522"/>
      <c r="AC1051" s="1522"/>
      <c r="AD1051" s="1522"/>
      <c r="AE1051" s="1523"/>
      <c r="AF1051" s="922"/>
      <c r="AG1051" s="923"/>
      <c r="AH1051" s="923"/>
      <c r="AI1051" s="924"/>
      <c r="AJ1051" s="1361"/>
      <c r="AK1051" s="1362"/>
      <c r="AL1051" s="1362"/>
      <c r="AM1051" s="1362"/>
      <c r="AN1051" s="1362"/>
      <c r="AO1051" s="1362"/>
      <c r="AP1051" s="1362"/>
      <c r="AQ1051" s="1363"/>
      <c r="AR1051" s="68"/>
      <c r="AS1051" s="68"/>
      <c r="AT1051" s="68"/>
      <c r="AU1051" s="68"/>
      <c r="AV1051" s="68"/>
      <c r="AW1051" s="68"/>
      <c r="AX1051" s="68"/>
      <c r="AY1051" s="68"/>
      <c r="AZ1051" s="963">
        <f>ROUNDDOWN(MIN(SUM(AZ1046,AZ1047,AZ1048,AZ1049),BD1051),0)</f>
        <v>2500000</v>
      </c>
      <c r="BA1051" s="3" t="s">
        <v>2486</v>
      </c>
      <c r="BB1051" s="3"/>
      <c r="BC1051" s="3"/>
      <c r="BD1051" s="3" cm="1">
        <f t="array" ref="BD1051">_xlfn.IFS(BA1040,3000000,AND(BA1041&gt;=25%,BA1042&gt;=15),2800000,TRUE,2500000)</f>
        <v>2500000</v>
      </c>
    </row>
    <row r="1052" spans="1:56" ht="12.95" customHeight="1">
      <c r="A1052" s="14"/>
      <c r="B1052" s="77"/>
      <c r="C1052" s="78"/>
      <c r="D1052" s="132" t="s">
        <v>971</v>
      </c>
      <c r="E1052" s="133"/>
      <c r="F1052" s="133"/>
      <c r="G1052" s="133"/>
      <c r="H1052" s="133"/>
      <c r="I1052" s="1563">
        <f>AY1003</f>
        <v>230</v>
      </c>
      <c r="J1052" s="1564"/>
      <c r="K1052" s="14"/>
      <c r="L1052" s="133"/>
      <c r="M1052" s="133"/>
      <c r="N1052" s="133"/>
      <c r="O1052" s="133"/>
      <c r="P1052" s="133"/>
      <c r="Q1052" s="133"/>
      <c r="R1052" s="133"/>
      <c r="S1052" s="133"/>
      <c r="T1052" s="133"/>
      <c r="U1052" s="133"/>
      <c r="V1052" s="134" t="s">
        <v>973</v>
      </c>
      <c r="X1052" s="1561">
        <f>CM753</f>
        <v>24</v>
      </c>
      <c r="Y1052" s="1562"/>
      <c r="AF1052" s="925"/>
      <c r="AG1052" s="926"/>
      <c r="AH1052" s="926"/>
      <c r="AI1052" s="927"/>
      <c r="AJ1052" s="1364"/>
      <c r="AK1052" s="1365"/>
      <c r="AL1052" s="1365"/>
      <c r="AM1052" s="1365"/>
      <c r="AN1052" s="1365"/>
      <c r="AO1052" s="1365"/>
      <c r="AP1052" s="1365"/>
      <c r="AQ1052" s="1366"/>
      <c r="AR1052" s="68"/>
      <c r="AS1052" s="68"/>
      <c r="AT1052" s="68"/>
      <c r="AU1052" s="68"/>
      <c r="AV1052" s="68"/>
      <c r="AW1052" s="68"/>
      <c r="AX1052" s="68"/>
      <c r="AY1052" s="68"/>
      <c r="AZ1052" s="963">
        <f>ROUNDDOWN(MAX(0,BA1052*(SUM(AG1093,AL1093,AZ1045)-BD1052))+BF1052,0)</f>
        <v>0</v>
      </c>
      <c r="BA1052" s="1183">
        <f>IF(L1042,7%,5%)</f>
        <v>0.05</v>
      </c>
      <c r="BB1052" s="3" t="s">
        <v>2487</v>
      </c>
      <c r="BC1052" s="3"/>
      <c r="BD1052" s="3">
        <v>6666667</v>
      </c>
    </row>
    <row r="1053" spans="1:56" ht="12.95" customHeight="1">
      <c r="A1053" s="14"/>
      <c r="B1053" s="102"/>
      <c r="C1053" s="103"/>
      <c r="D1053" s="1559" t="s">
        <v>513</v>
      </c>
      <c r="E1053" s="1559"/>
      <c r="F1053" s="1559"/>
      <c r="G1053" s="1559"/>
      <c r="H1053" s="1559"/>
      <c r="I1053" s="1559"/>
      <c r="J1053" s="1559"/>
      <c r="K1053" s="1559"/>
      <c r="L1053" s="1559"/>
      <c r="M1053" s="1559"/>
      <c r="N1053" s="1559"/>
      <c r="O1053" s="1559"/>
      <c r="P1053" s="1559"/>
      <c r="Q1053" s="1559"/>
      <c r="R1053" s="1559"/>
      <c r="S1053" s="1559"/>
      <c r="T1053" s="1559"/>
      <c r="U1053" s="1559"/>
      <c r="V1053" s="1559"/>
      <c r="W1053" s="1559"/>
      <c r="X1053" s="1559"/>
      <c r="Y1053" s="1559"/>
      <c r="Z1053" s="1559"/>
      <c r="AA1053" s="1559"/>
      <c r="AB1053" s="1559"/>
      <c r="AC1053" s="1559"/>
      <c r="AD1053" s="1559"/>
      <c r="AE1053" s="1559"/>
      <c r="AF1053" s="1559"/>
      <c r="AG1053" s="1559"/>
      <c r="AH1053" s="1559"/>
      <c r="AI1053" s="1560"/>
      <c r="AJ1053" s="1570">
        <f>SUM(AJ992:AQ1052)</f>
        <v>180323171.09999999</v>
      </c>
      <c r="AK1053" s="1571"/>
      <c r="AL1053" s="1571"/>
      <c r="AM1053" s="1571"/>
      <c r="AN1053" s="1571"/>
      <c r="AO1053" s="1571"/>
      <c r="AP1053" s="1571"/>
      <c r="AQ1053" s="1572"/>
      <c r="AR1053" s="68"/>
      <c r="AS1053" s="68"/>
      <c r="AT1053" s="68"/>
      <c r="AU1053" s="68"/>
      <c r="AV1053" s="68"/>
      <c r="AW1053" s="68"/>
      <c r="AX1053" s="68"/>
      <c r="AY1053" s="68"/>
      <c r="AZ1053" s="1182">
        <v>6000000</v>
      </c>
      <c r="BA1053" s="3" t="s">
        <v>2488</v>
      </c>
      <c r="BB1053" s="3"/>
      <c r="BC1053" s="3"/>
      <c r="BD1053" s="3"/>
    </row>
    <row r="1054" spans="1:56" ht="12.95" customHeight="1">
      <c r="A1054" s="14"/>
      <c r="B1054" s="14"/>
      <c r="C1054" s="209"/>
      <c r="D1054" s="214"/>
      <c r="E1054" s="214"/>
      <c r="F1054" s="214"/>
      <c r="G1054" s="214"/>
      <c r="H1054" s="214"/>
      <c r="I1054" s="214"/>
      <c r="J1054" s="214"/>
      <c r="K1054" s="214"/>
      <c r="L1054" s="214"/>
      <c r="M1054" s="214"/>
      <c r="N1054" s="214"/>
      <c r="O1054" s="214"/>
      <c r="P1054" s="214"/>
      <c r="Q1054" s="214"/>
      <c r="R1054" s="214"/>
      <c r="S1054" s="214"/>
      <c r="T1054" s="210"/>
      <c r="U1054" s="210"/>
      <c r="V1054" s="210"/>
      <c r="W1054" s="210"/>
      <c r="X1054" s="210"/>
      <c r="Y1054" s="210"/>
      <c r="Z1054" s="210"/>
      <c r="AA1054" s="210"/>
      <c r="AB1054" s="210"/>
      <c r="AC1054" s="210"/>
      <c r="AD1054" s="208"/>
      <c r="AE1054" s="208"/>
      <c r="AF1054" s="208"/>
      <c r="AG1054" s="208"/>
      <c r="AH1054" s="208"/>
      <c r="AI1054" s="208"/>
      <c r="AJ1054" s="208"/>
      <c r="AK1054" s="208"/>
      <c r="AL1054" s="68"/>
      <c r="AM1054" s="68"/>
      <c r="AN1054" s="68"/>
      <c r="AO1054" s="68"/>
      <c r="AP1054" s="68"/>
      <c r="AQ1054" s="68"/>
      <c r="AR1054" s="68"/>
      <c r="AS1054" s="68"/>
      <c r="AT1054" s="68"/>
      <c r="AU1054" s="68"/>
      <c r="AV1054" s="68"/>
      <c r="AW1054" s="68"/>
      <c r="AX1054" s="68"/>
      <c r="AY1054" s="68"/>
      <c r="AZ1054" s="3"/>
      <c r="BA1054" s="3"/>
      <c r="BB1054" s="3"/>
      <c r="BC1054" s="3"/>
      <c r="BD1054" s="3"/>
    </row>
    <row r="1055" spans="1:56" ht="12.95" customHeight="1">
      <c r="A1055" s="14"/>
      <c r="B1055" s="68"/>
      <c r="C1055" s="68"/>
      <c r="D1055" s="68"/>
      <c r="E1055" s="68"/>
      <c r="F1055" s="68"/>
      <c r="G1055" s="1174" t="s">
        <v>2473</v>
      </c>
      <c r="H1055" s="1175"/>
      <c r="I1055" s="1175"/>
      <c r="J1055" s="1175"/>
      <c r="K1055" s="1175"/>
      <c r="L1055" s="1175"/>
      <c r="M1055" s="1175"/>
      <c r="N1055" s="1175"/>
      <c r="O1055" s="1175"/>
      <c r="P1055" s="1175"/>
      <c r="Q1055" s="1175"/>
      <c r="R1055" s="1175"/>
      <c r="S1055" s="1175"/>
      <c r="T1055" s="1175"/>
      <c r="U1055" s="1175"/>
      <c r="V1055" s="1175"/>
      <c r="W1055" s="1175"/>
      <c r="X1055" s="1175"/>
      <c r="Y1055" s="1175"/>
      <c r="Z1055" s="1175"/>
      <c r="AA1055" s="1175"/>
      <c r="AB1055" s="1175"/>
      <c r="AC1055" s="1175"/>
      <c r="AD1055" s="1175"/>
      <c r="AE1055" s="1175"/>
      <c r="AF1055" s="1175"/>
      <c r="AG1055" s="1176"/>
      <c r="AH1055" s="1176"/>
      <c r="AI1055" s="1176"/>
      <c r="AJ1055" s="1176"/>
      <c r="AK1055" s="1176"/>
      <c r="AL1055" s="1176"/>
      <c r="AM1055" s="1176"/>
      <c r="AN1055" s="1176"/>
      <c r="AO1055" s="68"/>
      <c r="AP1055" s="68"/>
      <c r="AQ1055" s="68"/>
      <c r="AR1055" s="68"/>
      <c r="AS1055" s="68"/>
      <c r="AT1055" s="68"/>
      <c r="AU1055" s="68"/>
      <c r="AV1055" s="68"/>
      <c r="AW1055" s="68"/>
      <c r="AX1055" s="68"/>
      <c r="AY1055" s="68"/>
      <c r="AZ1055" s="3"/>
      <c r="BA1055" s="963">
        <f>MIN(MIN(MAX(AZ1051,AZ1052),AZ1053),BA1056)</f>
        <v>2500000</v>
      </c>
      <c r="BB1055" s="3" t="s">
        <v>2489</v>
      </c>
      <c r="BC1055" s="3"/>
      <c r="BD1055" s="3"/>
    </row>
    <row r="1056" spans="1:56" ht="12.95" customHeight="1">
      <c r="A1056" s="14"/>
      <c r="B1056" s="68"/>
      <c r="C1056" s="68"/>
      <c r="D1056" s="68"/>
      <c r="E1056" s="68"/>
      <c r="F1056" s="68"/>
      <c r="G1056" s="1177" t="s">
        <v>2474</v>
      </c>
      <c r="H1056" s="1178"/>
      <c r="I1056" s="1178"/>
      <c r="J1056" s="1178"/>
      <c r="K1056" s="1178"/>
      <c r="L1056" s="1178"/>
      <c r="M1056" s="1178"/>
      <c r="N1056" s="1178"/>
      <c r="O1056" s="1178"/>
      <c r="P1056" s="1178"/>
      <c r="Q1056" s="1178"/>
      <c r="R1056" s="1178"/>
      <c r="S1056" s="1178"/>
      <c r="T1056" s="1178"/>
      <c r="U1056" s="1178"/>
      <c r="V1056" s="1178"/>
      <c r="W1056" s="1178"/>
      <c r="X1056" s="1178"/>
      <c r="Y1056" s="1178"/>
      <c r="Z1056" s="1178"/>
      <c r="AA1056" s="1852">
        <f>'Sources and Uses Budget'!S107+'Sources and Uses Budget'!T107</f>
        <v>71312045</v>
      </c>
      <c r="AB1056" s="1852"/>
      <c r="AC1056" s="1852"/>
      <c r="AD1056" s="1852"/>
      <c r="AE1056" s="1852"/>
      <c r="AF1056" s="1852"/>
      <c r="AG1056" s="1176"/>
      <c r="AH1056" s="1176"/>
      <c r="AI1056" s="1176"/>
      <c r="AJ1056" s="1176"/>
      <c r="AK1056" s="1176"/>
      <c r="AL1056" s="1176"/>
      <c r="AM1056" s="1176"/>
      <c r="AN1056" s="1176"/>
      <c r="AO1056" s="68"/>
      <c r="AP1056" s="68"/>
      <c r="AQ1056" s="68"/>
      <c r="AR1056" s="68"/>
      <c r="AS1056" s="68"/>
      <c r="AT1056" s="68"/>
      <c r="AU1056" s="68"/>
      <c r="AV1056" s="13"/>
      <c r="AW1056" s="13"/>
      <c r="AX1056" s="13"/>
      <c r="AY1056" s="13"/>
      <c r="AZ1056" s="3"/>
      <c r="BA1056" s="963">
        <f>SUM(AZ1046:AZ1049)</f>
        <v>9303647.5499999989</v>
      </c>
      <c r="BB1056" s="3" t="s">
        <v>2490</v>
      </c>
      <c r="BC1056" s="3"/>
      <c r="BD1056" s="3"/>
    </row>
    <row r="1057" spans="1:54" ht="12.95" customHeight="1">
      <c r="A1057" s="14"/>
      <c r="B1057" s="68"/>
      <c r="C1057" s="68"/>
      <c r="D1057" s="68"/>
      <c r="E1057" s="68"/>
      <c r="F1057" s="68"/>
      <c r="G1057" s="1177"/>
      <c r="H1057" s="1177" t="s">
        <v>2475</v>
      </c>
      <c r="I1057" s="1178"/>
      <c r="J1057" s="1178"/>
      <c r="K1057" s="1178"/>
      <c r="L1057" s="1178"/>
      <c r="M1057" s="1178"/>
      <c r="N1057" s="1178"/>
      <c r="O1057" s="1178"/>
      <c r="P1057" s="1178"/>
      <c r="Q1057" s="1178"/>
      <c r="R1057" s="1178"/>
      <c r="S1057" s="1178"/>
      <c r="T1057" s="1178"/>
      <c r="U1057" s="1178"/>
      <c r="V1057" s="1178"/>
      <c r="W1057" s="1178"/>
      <c r="X1057" s="1178"/>
      <c r="Y1057" s="1178"/>
      <c r="Z1057" s="1180"/>
      <c r="AA1057" s="1853">
        <f>IFERROR((AA1056-BA1059)/(AJ1053-AJ1045-AJ1049),"")</f>
        <v>0.44728248561123285</v>
      </c>
      <c r="AB1057" s="1854"/>
      <c r="AC1057" s="1854"/>
      <c r="AD1057" s="1854"/>
      <c r="AE1057" s="1854"/>
      <c r="AF1057" s="1855"/>
      <c r="AG1057" s="1179"/>
      <c r="AH1057" s="1176"/>
      <c r="AI1057" s="1176"/>
      <c r="AJ1057" s="1176"/>
      <c r="AK1057" s="1176"/>
      <c r="AL1057" s="1176"/>
      <c r="AM1057" s="1176"/>
      <c r="AN1057" s="1176"/>
      <c r="AO1057" s="68"/>
      <c r="AP1057" s="68"/>
      <c r="AQ1057" s="68"/>
      <c r="AR1057" s="68"/>
      <c r="AS1057" s="68"/>
      <c r="AT1057" s="68"/>
      <c r="AU1057" s="68"/>
      <c r="AV1057" s="13"/>
      <c r="AW1057" s="13"/>
      <c r="AX1057" s="13"/>
      <c r="AY1057" s="13"/>
    </row>
    <row r="1058" spans="1:54" ht="12.95" customHeight="1">
      <c r="A1058" s="14"/>
      <c r="B1058" s="68"/>
      <c r="C1058" s="68"/>
      <c r="D1058" s="68"/>
      <c r="E1058" s="68"/>
      <c r="F1058" s="68"/>
      <c r="G1058" s="1856" t="str">
        <f>IFERROR(IF(AA1057="","",IF(AA1057&gt;=1.3,"Based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58" s="1856"/>
      <c r="I1058" s="1856"/>
      <c r="J1058" s="1856"/>
      <c r="K1058" s="1856"/>
      <c r="L1058" s="1856"/>
      <c r="M1058" s="1856"/>
      <c r="N1058" s="1856"/>
      <c r="O1058" s="1856"/>
      <c r="P1058" s="1856"/>
      <c r="Q1058" s="1856"/>
      <c r="R1058" s="1856"/>
      <c r="S1058" s="1856"/>
      <c r="T1058" s="1856"/>
      <c r="U1058" s="1856"/>
      <c r="V1058" s="1856"/>
      <c r="W1058" s="1856"/>
      <c r="X1058" s="1856"/>
      <c r="Y1058" s="1856"/>
      <c r="Z1058" s="1856"/>
      <c r="AA1058" s="1856"/>
      <c r="AB1058" s="1856"/>
      <c r="AC1058" s="1856"/>
      <c r="AD1058" s="1856"/>
      <c r="AE1058" s="1856"/>
      <c r="AF1058" s="1856"/>
      <c r="AG1058" s="1856"/>
      <c r="AH1058" s="1856"/>
      <c r="AI1058" s="1856"/>
      <c r="AJ1058" s="1856"/>
      <c r="AK1058" s="1856"/>
      <c r="AL1058" s="1856"/>
      <c r="AM1058" s="1856"/>
      <c r="AN1058" s="1856"/>
      <c r="AO1058" s="68"/>
      <c r="AP1058" s="68"/>
      <c r="AQ1058" s="68"/>
      <c r="AR1058" s="68"/>
      <c r="AS1058" s="68"/>
      <c r="AT1058" s="68"/>
      <c r="AU1058" s="68"/>
      <c r="AV1058" s="14"/>
      <c r="AW1058" s="14"/>
      <c r="AX1058" s="14"/>
      <c r="AY1058" s="14"/>
      <c r="BA1058" s="1186">
        <f>'Sources and Uses Budget'!$S$104+'Sources and Uses Budget'!$T$104</f>
        <v>9287728</v>
      </c>
      <c r="BB1058" s="3" t="s">
        <v>2496</v>
      </c>
    </row>
    <row r="1059" spans="1:54" ht="12.95" customHeight="1">
      <c r="A1059" s="14"/>
      <c r="B1059" s="14"/>
      <c r="C1059" s="209"/>
      <c r="D1059" s="859"/>
      <c r="E1059" s="859"/>
      <c r="F1059" s="859"/>
      <c r="G1059" s="1856"/>
      <c r="H1059" s="1856"/>
      <c r="I1059" s="1856"/>
      <c r="J1059" s="1856"/>
      <c r="K1059" s="1856"/>
      <c r="L1059" s="1856"/>
      <c r="M1059" s="1856"/>
      <c r="N1059" s="1856"/>
      <c r="O1059" s="1856"/>
      <c r="P1059" s="1856"/>
      <c r="Q1059" s="1856"/>
      <c r="R1059" s="1856"/>
      <c r="S1059" s="1856"/>
      <c r="T1059" s="1856"/>
      <c r="U1059" s="1856"/>
      <c r="V1059" s="1856"/>
      <c r="W1059" s="1856"/>
      <c r="X1059" s="1856"/>
      <c r="Y1059" s="1856"/>
      <c r="Z1059" s="1856"/>
      <c r="AA1059" s="1856"/>
      <c r="AB1059" s="1856"/>
      <c r="AC1059" s="1856"/>
      <c r="AD1059" s="1856"/>
      <c r="AE1059" s="1856"/>
      <c r="AF1059" s="1856"/>
      <c r="AG1059" s="1856"/>
      <c r="AH1059" s="1856"/>
      <c r="AI1059" s="1856"/>
      <c r="AJ1059" s="1856"/>
      <c r="AK1059" s="1856"/>
      <c r="AL1059" s="1856"/>
      <c r="AM1059" s="1856"/>
      <c r="AN1059" s="1856"/>
      <c r="AO1059" s="68"/>
      <c r="AP1059" s="68"/>
      <c r="AQ1059" s="68"/>
      <c r="AR1059" s="68"/>
      <c r="AS1059" s="68"/>
      <c r="AT1059" s="68"/>
      <c r="AU1059" s="68"/>
      <c r="AV1059" s="14"/>
      <c r="AW1059" s="14"/>
      <c r="AX1059" s="14"/>
      <c r="AY1059" s="14"/>
      <c r="BA1059" s="1187">
        <f>MAX($BA$1058-$BA$1055,0)</f>
        <v>6787728</v>
      </c>
      <c r="BB1059" s="3" t="s">
        <v>2497</v>
      </c>
    </row>
    <row r="1060" spans="1:54" ht="12.95" customHeight="1">
      <c r="A1060" s="88"/>
      <c r="B1060" s="1173"/>
      <c r="C1060" s="1173"/>
      <c r="D1060" s="1173"/>
      <c r="E1060" s="1173"/>
      <c r="F1060" s="1173"/>
      <c r="G1060" s="1856"/>
      <c r="H1060" s="1856"/>
      <c r="I1060" s="1856"/>
      <c r="J1060" s="1856"/>
      <c r="K1060" s="1856"/>
      <c r="L1060" s="1856"/>
      <c r="M1060" s="1856"/>
      <c r="N1060" s="1856"/>
      <c r="O1060" s="1856"/>
      <c r="P1060" s="1856"/>
      <c r="Q1060" s="1856"/>
      <c r="R1060" s="1856"/>
      <c r="S1060" s="1856"/>
      <c r="T1060" s="1856"/>
      <c r="U1060" s="1856"/>
      <c r="V1060" s="1856"/>
      <c r="W1060" s="1856"/>
      <c r="X1060" s="1856"/>
      <c r="Y1060" s="1856"/>
      <c r="Z1060" s="1856"/>
      <c r="AA1060" s="1856"/>
      <c r="AB1060" s="1856"/>
      <c r="AC1060" s="1856"/>
      <c r="AD1060" s="1856"/>
      <c r="AE1060" s="1856"/>
      <c r="AF1060" s="1856"/>
      <c r="AG1060" s="1856"/>
      <c r="AH1060" s="1856"/>
      <c r="AI1060" s="1856"/>
      <c r="AJ1060" s="1856"/>
      <c r="AK1060" s="1856"/>
      <c r="AL1060" s="1856"/>
      <c r="AM1060" s="1856"/>
      <c r="AN1060" s="1856"/>
      <c r="AO1060" s="1173"/>
      <c r="AP1060" s="1173"/>
      <c r="AQ1060" s="68"/>
      <c r="AR1060" s="68"/>
      <c r="AS1060" s="68"/>
      <c r="AT1060" s="68"/>
      <c r="AU1060" s="68"/>
      <c r="AV1060" s="68"/>
      <c r="AW1060" s="68"/>
      <c r="AX1060" s="68"/>
      <c r="AY1060" s="68"/>
    </row>
    <row r="1061" spans="1:54" ht="12.95" customHeight="1">
      <c r="A1061" s="1335" t="s">
        <v>794</v>
      </c>
      <c r="B1061" s="1335"/>
      <c r="C1061" s="1335"/>
      <c r="D1061" s="1335"/>
      <c r="E1061" s="1335"/>
      <c r="F1061" s="1335"/>
      <c r="G1061" s="1335"/>
      <c r="H1061" s="1335"/>
      <c r="I1061" s="1335"/>
      <c r="J1061" s="1335"/>
      <c r="K1061" s="1335"/>
      <c r="L1061" s="1335"/>
      <c r="M1061" s="1335"/>
      <c r="N1061" s="1335"/>
      <c r="O1061" s="1335"/>
      <c r="P1061" s="1335"/>
      <c r="Q1061" s="1335"/>
      <c r="R1061" s="1335"/>
      <c r="S1061" s="1335"/>
      <c r="T1061" s="1335"/>
      <c r="U1061" s="1335"/>
      <c r="V1061" s="1335"/>
      <c r="W1061" s="1335"/>
      <c r="X1061" s="1335"/>
      <c r="Y1061" s="1335"/>
      <c r="Z1061" s="1335"/>
      <c r="AA1061" s="1335"/>
      <c r="AB1061" s="1335"/>
      <c r="AC1061" s="1335"/>
      <c r="AD1061" s="1335"/>
      <c r="AE1061" s="1335"/>
      <c r="AF1061" s="1335"/>
      <c r="AG1061" s="1335"/>
      <c r="AH1061" s="1335"/>
      <c r="AI1061" s="1335"/>
      <c r="AJ1061" s="1335"/>
      <c r="AK1061" s="1335"/>
      <c r="AL1061" s="1335"/>
      <c r="AM1061" s="1335"/>
      <c r="AN1061" s="1335"/>
      <c r="AO1061" s="1335"/>
      <c r="AP1061" s="1335"/>
      <c r="AQ1061" s="1335"/>
      <c r="AR1061" s="13"/>
      <c r="AS1061" s="13"/>
      <c r="AT1061" s="13"/>
      <c r="AV1061" s="68"/>
      <c r="AW1061" s="68"/>
      <c r="AX1061" s="68"/>
      <c r="AY1061" s="68"/>
    </row>
    <row r="1062" spans="1:54" ht="12.95" customHeight="1">
      <c r="A1062" s="14"/>
      <c r="B1062" s="14"/>
      <c r="C1062" s="14"/>
      <c r="D1062" s="14"/>
      <c r="E1062" s="14"/>
      <c r="F1062" s="14"/>
      <c r="G1062" s="14"/>
      <c r="H1062" s="14"/>
      <c r="I1062" s="14"/>
      <c r="J1062" s="14"/>
      <c r="K1062" s="14"/>
      <c r="L1062" s="14"/>
      <c r="M1062" s="14"/>
      <c r="N1062" s="14"/>
      <c r="O1062" s="14"/>
      <c r="P1062" s="14"/>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V1062" s="68"/>
      <c r="AW1062" s="68"/>
      <c r="AX1062" s="68"/>
      <c r="AY1062" s="68"/>
    </row>
    <row r="1063" spans="1:54" ht="12.95" customHeight="1">
      <c r="A1063" s="57" t="s">
        <v>795</v>
      </c>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AJ1063" s="14"/>
      <c r="AK1063" s="14"/>
      <c r="AL1063" s="14"/>
      <c r="AM1063" s="14"/>
      <c r="AN1063" s="14"/>
      <c r="AO1063" s="14"/>
      <c r="AP1063" s="14"/>
      <c r="AQ1063" s="14"/>
      <c r="AR1063" s="14"/>
      <c r="AS1063" s="14"/>
      <c r="AT1063" s="14"/>
      <c r="AV1063" s="68"/>
      <c r="AW1063" s="68"/>
      <c r="AX1063" s="68"/>
      <c r="AY1063" s="68"/>
    </row>
    <row r="1064" spans="1:54" ht="12.95" customHeight="1">
      <c r="A1064" s="198" t="s">
        <v>796</v>
      </c>
      <c r="B1064" s="67"/>
      <c r="C1064" s="67"/>
      <c r="D1064" s="67"/>
      <c r="E1064" s="67"/>
      <c r="F1064" s="67"/>
      <c r="G1064" s="67"/>
      <c r="H1064" s="67"/>
      <c r="I1064" s="67"/>
      <c r="J1064" s="67"/>
      <c r="K1064" s="67"/>
      <c r="L1064" s="67"/>
      <c r="M1064" s="67"/>
      <c r="N1064" s="67"/>
      <c r="O1064" s="67"/>
      <c r="P1064" s="67"/>
      <c r="Q1064" s="13"/>
      <c r="R1064" s="13"/>
      <c r="S1064" s="13"/>
      <c r="T1064" s="13"/>
      <c r="U1064" s="13"/>
      <c r="V1064" s="13"/>
      <c r="W1064" s="13"/>
      <c r="X1064" s="13"/>
      <c r="Y1064" s="4"/>
      <c r="Z1064" s="4"/>
      <c r="AA1064" s="4"/>
      <c r="AB1064" s="4"/>
      <c r="AC1064" s="4"/>
      <c r="AD1064" s="4"/>
      <c r="AE1064" s="4"/>
      <c r="AF1064" s="4"/>
      <c r="AG1064" s="4"/>
      <c r="AH1064" s="4"/>
      <c r="AI1064" s="4"/>
      <c r="AJ1064" s="14"/>
      <c r="AK1064" s="14"/>
      <c r="AL1064" s="14"/>
      <c r="AM1064" s="14"/>
      <c r="AN1064" s="14"/>
      <c r="AO1064" s="14"/>
      <c r="AP1064" s="14"/>
      <c r="AQ1064" s="14"/>
      <c r="AR1064" s="14"/>
      <c r="AS1064" s="14"/>
      <c r="AT1064" s="14"/>
      <c r="AV1064" s="68"/>
      <c r="AW1064" s="68"/>
      <c r="AX1064" s="68"/>
      <c r="AY1064" s="68"/>
    </row>
    <row r="1065" spans="1:54" ht="12.95" customHeight="1">
      <c r="A1065" s="1330" t="s">
        <v>591</v>
      </c>
      <c r="B1065" s="1330"/>
      <c r="C1065" s="1331">
        <v>1</v>
      </c>
      <c r="D1065" s="1331"/>
      <c r="E1065" s="14" t="s">
        <v>2239</v>
      </c>
      <c r="F1065" s="67"/>
      <c r="G1065" s="67"/>
      <c r="H1065" s="67"/>
      <c r="I1065" s="67"/>
      <c r="J1065" s="67"/>
      <c r="K1065" s="67"/>
      <c r="L1065" s="67"/>
      <c r="M1065" s="67"/>
      <c r="N1065" s="67"/>
      <c r="O1065" s="67"/>
      <c r="P1065" s="67"/>
      <c r="Q1065" s="13"/>
      <c r="R1065" s="13"/>
      <c r="S1065" s="13"/>
      <c r="T1065" s="13"/>
      <c r="U1065" s="13"/>
      <c r="V1065" s="13"/>
      <c r="W1065" s="13"/>
      <c r="X1065" s="13"/>
      <c r="Y1065" s="4"/>
      <c r="Z1065" s="4"/>
      <c r="AA1065" s="4"/>
      <c r="AB1065" s="4"/>
      <c r="AC1065" s="4"/>
      <c r="AD1065" s="4"/>
      <c r="AE1065" s="4"/>
      <c r="AF1065" s="4"/>
      <c r="AG1065" s="4"/>
      <c r="AH1065" s="4"/>
      <c r="AI1065" s="4"/>
      <c r="AJ1065" s="14"/>
      <c r="AK1065" s="14"/>
      <c r="AL1065" s="14"/>
      <c r="AM1065" s="14"/>
      <c r="AN1065" s="14"/>
      <c r="AO1065" s="14"/>
      <c r="AP1065" s="14"/>
      <c r="AQ1065" s="14"/>
      <c r="AR1065" s="14"/>
      <c r="AS1065" s="14"/>
      <c r="AT1065" s="14"/>
      <c r="AV1065" s="68"/>
      <c r="AW1065" s="68"/>
      <c r="AX1065" s="68"/>
      <c r="AY1065" s="68"/>
    </row>
    <row r="1066" spans="1:54" ht="12.95" customHeight="1">
      <c r="A1066" s="198"/>
      <c r="B1066" s="67"/>
      <c r="C1066" s="1331"/>
      <c r="D1066" s="1331"/>
      <c r="E1066" s="67"/>
      <c r="F1066" s="67"/>
      <c r="G1066" s="67"/>
      <c r="H1066" s="67"/>
      <c r="I1066" s="67"/>
      <c r="J1066" s="67"/>
      <c r="K1066" s="67"/>
      <c r="L1066" s="67"/>
      <c r="M1066" s="67"/>
      <c r="N1066" s="67"/>
      <c r="O1066" s="67"/>
      <c r="P1066" s="67"/>
      <c r="Q1066" s="13"/>
      <c r="R1066" s="13"/>
      <c r="S1066" s="13"/>
      <c r="T1066" s="13"/>
      <c r="U1066" s="13"/>
      <c r="V1066" s="13"/>
      <c r="W1066" s="13"/>
      <c r="X1066" s="13"/>
      <c r="Y1066" s="4"/>
      <c r="Z1066" s="4"/>
      <c r="AA1066" s="4"/>
      <c r="AB1066" s="4"/>
      <c r="AC1066" s="4"/>
      <c r="AD1066" s="4"/>
      <c r="AE1066" s="4"/>
      <c r="AF1066" s="4"/>
      <c r="AG1066" s="4"/>
      <c r="AH1066" s="4"/>
      <c r="AI1066" s="4"/>
      <c r="AJ1066" s="14"/>
      <c r="AK1066" s="14"/>
      <c r="AL1066" s="14"/>
      <c r="AM1066" s="14"/>
      <c r="AN1066" s="14"/>
      <c r="AO1066" s="14"/>
      <c r="AP1066" s="14"/>
      <c r="AQ1066" s="14"/>
      <c r="AR1066" s="14"/>
      <c r="AS1066" s="14"/>
      <c r="AT1066" s="14"/>
      <c r="AV1066" s="68"/>
      <c r="AW1066" s="68"/>
      <c r="AX1066" s="68"/>
      <c r="AY1066" s="68"/>
    </row>
    <row r="1067" spans="1:54" ht="12.95" customHeight="1">
      <c r="A1067" s="1330" t="s">
        <v>591</v>
      </c>
      <c r="B1067" s="1330"/>
      <c r="C1067" s="1331">
        <v>2</v>
      </c>
      <c r="D1067" s="1331"/>
      <c r="E1067" s="1334" t="s">
        <v>2240</v>
      </c>
      <c r="F1067" s="1334"/>
      <c r="G1067" s="1334"/>
      <c r="H1067" s="1334"/>
      <c r="I1067" s="1334"/>
      <c r="J1067" s="1334"/>
      <c r="K1067" s="1334"/>
      <c r="L1067" s="1334"/>
      <c r="M1067" s="1334"/>
      <c r="N1067" s="1334"/>
      <c r="O1067" s="1334"/>
      <c r="P1067" s="1334"/>
      <c r="Q1067" s="1334"/>
      <c r="R1067" s="1334"/>
      <c r="S1067" s="1334"/>
      <c r="T1067" s="1334"/>
      <c r="U1067" s="1334"/>
      <c r="V1067" s="1334"/>
      <c r="W1067" s="1334"/>
      <c r="X1067" s="1334"/>
      <c r="Y1067" s="1334"/>
      <c r="Z1067" s="1334"/>
      <c r="AA1067" s="1334"/>
      <c r="AB1067" s="1334"/>
      <c r="AC1067" s="1334"/>
      <c r="AD1067" s="1334"/>
      <c r="AE1067" s="1334"/>
      <c r="AF1067" s="1334"/>
      <c r="AG1067" s="1334"/>
      <c r="AH1067" s="1334"/>
      <c r="AI1067" s="1334"/>
      <c r="AJ1067" s="1334"/>
      <c r="AK1067" s="1334"/>
      <c r="AL1067" s="1334"/>
      <c r="AM1067" s="1334"/>
      <c r="AN1067" s="1334"/>
      <c r="AO1067" s="1334"/>
      <c r="AP1067" s="1334"/>
      <c r="AQ1067" s="1334"/>
      <c r="AR1067" s="1334"/>
      <c r="AS1067" s="14"/>
      <c r="AT1067" s="14"/>
      <c r="AV1067" s="68"/>
      <c r="AW1067" s="68"/>
      <c r="AX1067" s="68"/>
      <c r="AY1067" s="68"/>
    </row>
    <row r="1068" spans="1:54" ht="12.95" customHeight="1">
      <c r="A1068" s="198"/>
      <c r="B1068" s="67"/>
      <c r="C1068" s="1331"/>
      <c r="D1068" s="1331"/>
      <c r="E1068" s="1334"/>
      <c r="F1068" s="1334"/>
      <c r="G1068" s="1334"/>
      <c r="H1068" s="1334"/>
      <c r="I1068" s="1334"/>
      <c r="J1068" s="1334"/>
      <c r="K1068" s="1334"/>
      <c r="L1068" s="1334"/>
      <c r="M1068" s="1334"/>
      <c r="N1068" s="1334"/>
      <c r="O1068" s="1334"/>
      <c r="P1068" s="1334"/>
      <c r="Q1068" s="1334"/>
      <c r="R1068" s="1334"/>
      <c r="S1068" s="1334"/>
      <c r="T1068" s="1334"/>
      <c r="U1068" s="1334"/>
      <c r="V1068" s="1334"/>
      <c r="W1068" s="1334"/>
      <c r="X1068" s="1334"/>
      <c r="Y1068" s="1334"/>
      <c r="Z1068" s="1334"/>
      <c r="AA1068" s="1334"/>
      <c r="AB1068" s="1334"/>
      <c r="AC1068" s="1334"/>
      <c r="AD1068" s="1334"/>
      <c r="AE1068" s="1334"/>
      <c r="AF1068" s="1334"/>
      <c r="AG1068" s="1334"/>
      <c r="AH1068" s="1334"/>
      <c r="AI1068" s="1334"/>
      <c r="AJ1068" s="1334"/>
      <c r="AK1068" s="1334"/>
      <c r="AL1068" s="1334"/>
      <c r="AM1068" s="1334"/>
      <c r="AN1068" s="1334"/>
      <c r="AO1068" s="1334"/>
      <c r="AP1068" s="1334"/>
      <c r="AQ1068" s="1334"/>
      <c r="AR1068" s="1334"/>
      <c r="AS1068" s="14"/>
      <c r="AT1068" s="14"/>
      <c r="AV1068" s="68"/>
      <c r="AW1068" s="68"/>
      <c r="AX1068" s="68"/>
      <c r="AY1068" s="68"/>
    </row>
    <row r="1069" spans="1:54" ht="12.95" customHeight="1">
      <c r="A1069" s="198"/>
      <c r="B1069" s="67"/>
      <c r="C1069" s="1331"/>
      <c r="D1069" s="1331"/>
      <c r="E1069" s="67"/>
      <c r="F1069" s="67"/>
      <c r="G1069" s="67"/>
      <c r="H1069" s="67"/>
      <c r="I1069" s="67"/>
      <c r="J1069" s="67"/>
      <c r="K1069" s="67"/>
      <c r="L1069" s="67"/>
      <c r="M1069" s="67"/>
      <c r="N1069" s="67"/>
      <c r="O1069" s="67"/>
      <c r="P1069" s="67"/>
      <c r="Q1069" s="13"/>
      <c r="R1069" s="13"/>
      <c r="S1069" s="13"/>
      <c r="T1069" s="13"/>
      <c r="U1069" s="13"/>
      <c r="V1069" s="13"/>
      <c r="W1069" s="13"/>
      <c r="X1069" s="13"/>
      <c r="Y1069" s="4"/>
      <c r="Z1069" s="4"/>
      <c r="AA1069" s="4"/>
      <c r="AB1069" s="4"/>
      <c r="AC1069" s="4"/>
      <c r="AD1069" s="4"/>
      <c r="AE1069" s="4"/>
      <c r="AF1069" s="4"/>
      <c r="AG1069" s="4"/>
      <c r="AH1069" s="4"/>
      <c r="AI1069" s="4"/>
      <c r="AJ1069" s="14"/>
      <c r="AK1069" s="14"/>
      <c r="AL1069" s="14"/>
      <c r="AM1069" s="14"/>
      <c r="AN1069" s="14"/>
      <c r="AO1069" s="14"/>
      <c r="AP1069" s="14"/>
      <c r="AQ1069" s="14"/>
      <c r="AR1069" s="14"/>
      <c r="AS1069" s="14"/>
      <c r="AT1069" s="14"/>
      <c r="AV1069" s="68"/>
      <c r="AW1069" s="68"/>
      <c r="AX1069" s="68"/>
      <c r="AY1069" s="68"/>
    </row>
    <row r="1070" spans="1:54" ht="12.95" customHeight="1">
      <c r="A1070" s="1330" t="s">
        <v>591</v>
      </c>
      <c r="B1070" s="1330"/>
      <c r="C1070" s="1333">
        <v>3</v>
      </c>
      <c r="D1070" s="1333"/>
      <c r="E1070" s="1290" t="s">
        <v>1079</v>
      </c>
      <c r="F1070" s="1290"/>
      <c r="G1070" s="1290"/>
      <c r="H1070" s="1290"/>
      <c r="I1070" s="1290"/>
      <c r="J1070" s="1290"/>
      <c r="K1070" s="1290"/>
      <c r="L1070" s="1290"/>
      <c r="M1070" s="1290"/>
      <c r="N1070" s="1290"/>
      <c r="O1070" s="1290"/>
      <c r="P1070" s="1290"/>
      <c r="Q1070" s="1290"/>
      <c r="R1070" s="1290"/>
      <c r="S1070" s="1290"/>
      <c r="T1070" s="1290"/>
      <c r="U1070" s="1290"/>
      <c r="V1070" s="1290"/>
      <c r="W1070" s="1290"/>
      <c r="X1070" s="1290"/>
      <c r="Y1070" s="1290"/>
      <c r="Z1070" s="1290"/>
      <c r="AA1070" s="1290"/>
      <c r="AB1070" s="1290"/>
      <c r="AC1070" s="1290"/>
      <c r="AD1070" s="1290"/>
      <c r="AE1070" s="1290"/>
      <c r="AF1070" s="1290"/>
      <c r="AG1070" s="1290"/>
      <c r="AH1070" s="1290"/>
      <c r="AI1070" s="1290"/>
      <c r="AJ1070" s="1290"/>
      <c r="AK1070" s="1290"/>
      <c r="AL1070" s="1290"/>
      <c r="AM1070" s="1290"/>
      <c r="AN1070" s="1290"/>
      <c r="AO1070" s="1290"/>
      <c r="AP1070" s="1290"/>
      <c r="AQ1070" s="1290"/>
      <c r="AR1070" s="1290"/>
      <c r="AS1070" s="14"/>
      <c r="AT1070" s="68"/>
      <c r="AV1070" s="68"/>
      <c r="AW1070" s="68"/>
      <c r="AX1070" s="68"/>
      <c r="AY1070" s="68"/>
    </row>
    <row r="1071" spans="1:54" ht="12.95" customHeight="1">
      <c r="A1071" s="1"/>
      <c r="B1071" s="1"/>
      <c r="C1071" s="1333"/>
      <c r="D1071" s="1333"/>
      <c r="E1071" s="1290"/>
      <c r="F1071" s="1290"/>
      <c r="G1071" s="1290"/>
      <c r="H1071" s="1290"/>
      <c r="I1071" s="1290"/>
      <c r="J1071" s="1290"/>
      <c r="K1071" s="1290"/>
      <c r="L1071" s="1290"/>
      <c r="M1071" s="1290"/>
      <c r="N1071" s="1290"/>
      <c r="O1071" s="1290"/>
      <c r="P1071" s="1290"/>
      <c r="Q1071" s="1290"/>
      <c r="R1071" s="1290"/>
      <c r="S1071" s="1290"/>
      <c r="T1071" s="1290"/>
      <c r="U1071" s="1290"/>
      <c r="V1071" s="1290"/>
      <c r="W1071" s="1290"/>
      <c r="X1071" s="1290"/>
      <c r="Y1071" s="1290"/>
      <c r="Z1071" s="1290"/>
      <c r="AA1071" s="1290"/>
      <c r="AB1071" s="1290"/>
      <c r="AC1071" s="1290"/>
      <c r="AD1071" s="1290"/>
      <c r="AE1071" s="1290"/>
      <c r="AF1071" s="1290"/>
      <c r="AG1071" s="1290"/>
      <c r="AH1071" s="1290"/>
      <c r="AI1071" s="1290"/>
      <c r="AJ1071" s="1290"/>
      <c r="AK1071" s="1290"/>
      <c r="AL1071" s="1290"/>
      <c r="AM1071" s="1290"/>
      <c r="AN1071" s="1290"/>
      <c r="AO1071" s="1290"/>
      <c r="AP1071" s="1290"/>
      <c r="AQ1071" s="1290"/>
      <c r="AR1071" s="1290"/>
      <c r="AS1071" s="14"/>
      <c r="AT1071" s="68"/>
      <c r="AV1071" s="68"/>
      <c r="AW1071" s="68"/>
      <c r="AX1071" s="68"/>
      <c r="AY1071" s="68"/>
    </row>
    <row r="1072" spans="1:54" ht="12.95" customHeight="1">
      <c r="A1072" s="1"/>
      <c r="B1072" s="1"/>
      <c r="C1072" s="1333"/>
      <c r="D1072" s="1333"/>
      <c r="E1072" s="1290"/>
      <c r="F1072" s="1290"/>
      <c r="G1072" s="1290"/>
      <c r="H1072" s="1290"/>
      <c r="I1072" s="1290"/>
      <c r="J1072" s="1290"/>
      <c r="K1072" s="1290"/>
      <c r="L1072" s="1290"/>
      <c r="M1072" s="1290"/>
      <c r="N1072" s="1290"/>
      <c r="O1072" s="1290"/>
      <c r="P1072" s="1290"/>
      <c r="Q1072" s="1290"/>
      <c r="R1072" s="1290"/>
      <c r="S1072" s="1290"/>
      <c r="T1072" s="1290"/>
      <c r="U1072" s="1290"/>
      <c r="V1072" s="1290"/>
      <c r="W1072" s="1290"/>
      <c r="X1072" s="1290"/>
      <c r="Y1072" s="1290"/>
      <c r="Z1072" s="1290"/>
      <c r="AA1072" s="1290"/>
      <c r="AB1072" s="1290"/>
      <c r="AC1072" s="1290"/>
      <c r="AD1072" s="1290"/>
      <c r="AE1072" s="1290"/>
      <c r="AF1072" s="1290"/>
      <c r="AG1072" s="1290"/>
      <c r="AH1072" s="1290"/>
      <c r="AI1072" s="1290"/>
      <c r="AJ1072" s="1290"/>
      <c r="AK1072" s="1290"/>
      <c r="AL1072" s="1290"/>
      <c r="AM1072" s="1290"/>
      <c r="AN1072" s="1290"/>
      <c r="AO1072" s="1290"/>
      <c r="AP1072" s="1290"/>
      <c r="AQ1072" s="1290"/>
      <c r="AR1072" s="1290"/>
      <c r="AS1072" s="14"/>
      <c r="AT1072" s="68"/>
      <c r="AV1072" s="68"/>
      <c r="AW1072" s="68"/>
      <c r="AX1072" s="68"/>
      <c r="AY1072" s="68"/>
    </row>
    <row r="1073" spans="1:51" ht="12.95" customHeight="1">
      <c r="A1073" s="1"/>
      <c r="B1073" s="1"/>
      <c r="C1073" s="1333"/>
      <c r="D1073" s="1333"/>
      <c r="E1073" s="1290"/>
      <c r="F1073" s="1290"/>
      <c r="G1073" s="1290"/>
      <c r="H1073" s="1290"/>
      <c r="I1073" s="1290"/>
      <c r="J1073" s="1290"/>
      <c r="K1073" s="1290"/>
      <c r="L1073" s="1290"/>
      <c r="M1073" s="1290"/>
      <c r="N1073" s="1290"/>
      <c r="O1073" s="1290"/>
      <c r="P1073" s="1290"/>
      <c r="Q1073" s="1290"/>
      <c r="R1073" s="1290"/>
      <c r="S1073" s="1290"/>
      <c r="T1073" s="1290"/>
      <c r="U1073" s="1290"/>
      <c r="V1073" s="1290"/>
      <c r="W1073" s="1290"/>
      <c r="X1073" s="1290"/>
      <c r="Y1073" s="1290"/>
      <c r="Z1073" s="1290"/>
      <c r="AA1073" s="1290"/>
      <c r="AB1073" s="1290"/>
      <c r="AC1073" s="1290"/>
      <c r="AD1073" s="1290"/>
      <c r="AE1073" s="1290"/>
      <c r="AF1073" s="1290"/>
      <c r="AG1073" s="1290"/>
      <c r="AH1073" s="1290"/>
      <c r="AI1073" s="1290"/>
      <c r="AJ1073" s="1290"/>
      <c r="AK1073" s="1290"/>
      <c r="AL1073" s="1290"/>
      <c r="AM1073" s="1290"/>
      <c r="AN1073" s="1290"/>
      <c r="AO1073" s="1290"/>
      <c r="AP1073" s="1290"/>
      <c r="AQ1073" s="1290"/>
      <c r="AR1073" s="1290"/>
      <c r="AS1073" s="14"/>
      <c r="AT1073" s="68"/>
      <c r="AV1073" s="68"/>
      <c r="AW1073" s="68"/>
      <c r="AX1073" s="68"/>
      <c r="AY1073" s="68"/>
    </row>
    <row r="1074" spans="1:51" ht="12.95" customHeight="1">
      <c r="A1074" s="2"/>
      <c r="B1074" s="25"/>
      <c r="C1074" s="1333"/>
      <c r="D1074" s="1333"/>
      <c r="E1074" s="456"/>
      <c r="F1074" s="456"/>
      <c r="G1074" s="456"/>
      <c r="H1074" s="456"/>
      <c r="I1074" s="456"/>
      <c r="J1074" s="456"/>
      <c r="K1074" s="456"/>
      <c r="L1074" s="456"/>
      <c r="M1074" s="456"/>
      <c r="N1074" s="456"/>
      <c r="O1074" s="456"/>
      <c r="P1074" s="456"/>
      <c r="Q1074" s="456"/>
      <c r="R1074" s="456"/>
      <c r="S1074" s="456"/>
      <c r="T1074" s="456"/>
      <c r="U1074" s="456"/>
      <c r="V1074" s="456"/>
      <c r="W1074" s="456"/>
      <c r="X1074" s="456"/>
      <c r="Y1074" s="456"/>
      <c r="Z1074" s="456"/>
      <c r="AA1074" s="456"/>
      <c r="AB1074" s="456"/>
      <c r="AC1074" s="456"/>
      <c r="AD1074" s="456"/>
      <c r="AE1074" s="456"/>
      <c r="AF1074" s="456"/>
      <c r="AG1074" s="456"/>
      <c r="AH1074" s="456"/>
      <c r="AI1074" s="456"/>
      <c r="AJ1074" s="456"/>
      <c r="AK1074" s="456"/>
      <c r="AL1074" s="68"/>
      <c r="AM1074" s="68"/>
      <c r="AN1074" s="68"/>
      <c r="AO1074" s="68"/>
      <c r="AP1074" s="68"/>
      <c r="AQ1074" s="68"/>
      <c r="AR1074" s="68"/>
      <c r="AS1074" s="14"/>
      <c r="AT1074" s="68"/>
      <c r="AV1074" s="68"/>
      <c r="AW1074" s="68"/>
      <c r="AX1074" s="68"/>
      <c r="AY1074" s="68"/>
    </row>
    <row r="1075" spans="1:51" ht="12.95" customHeight="1">
      <c r="A1075" s="1330" t="s">
        <v>591</v>
      </c>
      <c r="B1075" s="1330"/>
      <c r="C1075" s="1333">
        <v>4</v>
      </c>
      <c r="D1075" s="1333"/>
      <c r="E1075" s="1290" t="s">
        <v>1078</v>
      </c>
      <c r="F1075" s="1290"/>
      <c r="G1075" s="1290"/>
      <c r="H1075" s="1290"/>
      <c r="I1075" s="1290"/>
      <c r="J1075" s="1290"/>
      <c r="K1075" s="1290"/>
      <c r="L1075" s="1290"/>
      <c r="M1075" s="1290"/>
      <c r="N1075" s="1290"/>
      <c r="O1075" s="1290"/>
      <c r="P1075" s="1290"/>
      <c r="Q1075" s="1290"/>
      <c r="R1075" s="1290"/>
      <c r="S1075" s="1290"/>
      <c r="T1075" s="1290"/>
      <c r="U1075" s="1290"/>
      <c r="V1075" s="1290"/>
      <c r="W1075" s="1290"/>
      <c r="X1075" s="1290"/>
      <c r="Y1075" s="1290"/>
      <c r="Z1075" s="1290"/>
      <c r="AA1075" s="1290"/>
      <c r="AB1075" s="1290"/>
      <c r="AC1075" s="1290"/>
      <c r="AD1075" s="1290"/>
      <c r="AE1075" s="1290"/>
      <c r="AF1075" s="1290"/>
      <c r="AG1075" s="1290"/>
      <c r="AH1075" s="1290"/>
      <c r="AI1075" s="1290"/>
      <c r="AJ1075" s="1290"/>
      <c r="AK1075" s="1290"/>
      <c r="AL1075" s="1290"/>
      <c r="AM1075" s="1290"/>
      <c r="AN1075" s="1290"/>
      <c r="AO1075" s="1290"/>
      <c r="AP1075" s="1290"/>
      <c r="AQ1075" s="1290"/>
      <c r="AR1075" s="1290"/>
      <c r="AS1075" s="14"/>
      <c r="AT1075" s="68"/>
    </row>
    <row r="1076" spans="1:51" ht="12.95" customHeight="1">
      <c r="A1076" s="1"/>
      <c r="B1076" s="1"/>
      <c r="C1076" s="1333"/>
      <c r="D1076" s="1333"/>
      <c r="E1076" s="1290"/>
      <c r="F1076" s="1290"/>
      <c r="G1076" s="1290"/>
      <c r="H1076" s="1290"/>
      <c r="I1076" s="1290"/>
      <c r="J1076" s="1290"/>
      <c r="K1076" s="1290"/>
      <c r="L1076" s="1290"/>
      <c r="M1076" s="1290"/>
      <c r="N1076" s="1290"/>
      <c r="O1076" s="1290"/>
      <c r="P1076" s="1290"/>
      <c r="Q1076" s="1290"/>
      <c r="R1076" s="1290"/>
      <c r="S1076" s="1290"/>
      <c r="T1076" s="1290"/>
      <c r="U1076" s="1290"/>
      <c r="V1076" s="1290"/>
      <c r="W1076" s="1290"/>
      <c r="X1076" s="1290"/>
      <c r="Y1076" s="1290"/>
      <c r="Z1076" s="1290"/>
      <c r="AA1076" s="1290"/>
      <c r="AB1076" s="1290"/>
      <c r="AC1076" s="1290"/>
      <c r="AD1076" s="1290"/>
      <c r="AE1076" s="1290"/>
      <c r="AF1076" s="1290"/>
      <c r="AG1076" s="1290"/>
      <c r="AH1076" s="1290"/>
      <c r="AI1076" s="1290"/>
      <c r="AJ1076" s="1290"/>
      <c r="AK1076" s="1290"/>
      <c r="AL1076" s="1290"/>
      <c r="AM1076" s="1290"/>
      <c r="AN1076" s="1290"/>
      <c r="AO1076" s="1290"/>
      <c r="AP1076" s="1290"/>
      <c r="AQ1076" s="1290"/>
      <c r="AR1076" s="1290"/>
      <c r="AS1076" s="14"/>
      <c r="AT1076" s="68"/>
    </row>
    <row r="1077" spans="1:51" ht="12.95" customHeight="1">
      <c r="A1077" s="1"/>
      <c r="B1077" s="1"/>
      <c r="C1077" s="1333"/>
      <c r="D1077" s="1333"/>
      <c r="E1077" s="1290"/>
      <c r="F1077" s="1290"/>
      <c r="G1077" s="1290"/>
      <c r="H1077" s="1290"/>
      <c r="I1077" s="1290"/>
      <c r="J1077" s="1290"/>
      <c r="K1077" s="1290"/>
      <c r="L1077" s="1290"/>
      <c r="M1077" s="1290"/>
      <c r="N1077" s="1290"/>
      <c r="O1077" s="1290"/>
      <c r="P1077" s="1290"/>
      <c r="Q1077" s="1290"/>
      <c r="R1077" s="1290"/>
      <c r="S1077" s="1290"/>
      <c r="T1077" s="1290"/>
      <c r="U1077" s="1290"/>
      <c r="V1077" s="1290"/>
      <c r="W1077" s="1290"/>
      <c r="X1077" s="1290"/>
      <c r="Y1077" s="1290"/>
      <c r="Z1077" s="1290"/>
      <c r="AA1077" s="1290"/>
      <c r="AB1077" s="1290"/>
      <c r="AC1077" s="1290"/>
      <c r="AD1077" s="1290"/>
      <c r="AE1077" s="1290"/>
      <c r="AF1077" s="1290"/>
      <c r="AG1077" s="1290"/>
      <c r="AH1077" s="1290"/>
      <c r="AI1077" s="1290"/>
      <c r="AJ1077" s="1290"/>
      <c r="AK1077" s="1290"/>
      <c r="AL1077" s="1290"/>
      <c r="AM1077" s="1290"/>
      <c r="AN1077" s="1290"/>
      <c r="AO1077" s="1290"/>
      <c r="AP1077" s="1290"/>
      <c r="AQ1077" s="1290"/>
      <c r="AR1077" s="1290"/>
      <c r="AS1077" s="14"/>
      <c r="AT1077" s="68"/>
    </row>
    <row r="1078" spans="1:51" ht="12.95" customHeight="1">
      <c r="A1078" s="1"/>
      <c r="B1078" s="1"/>
      <c r="C1078" s="1333"/>
      <c r="D1078" s="1333"/>
      <c r="E1078" s="1290"/>
      <c r="F1078" s="1290"/>
      <c r="G1078" s="1290"/>
      <c r="H1078" s="1290"/>
      <c r="I1078" s="1290"/>
      <c r="J1078" s="1290"/>
      <c r="K1078" s="1290"/>
      <c r="L1078" s="1290"/>
      <c r="M1078" s="1290"/>
      <c r="N1078" s="1290"/>
      <c r="O1078" s="1290"/>
      <c r="P1078" s="1290"/>
      <c r="Q1078" s="1290"/>
      <c r="R1078" s="1290"/>
      <c r="S1078" s="1290"/>
      <c r="T1078" s="1290"/>
      <c r="U1078" s="1290"/>
      <c r="V1078" s="1290"/>
      <c r="W1078" s="1290"/>
      <c r="X1078" s="1290"/>
      <c r="Y1078" s="1290"/>
      <c r="Z1078" s="1290"/>
      <c r="AA1078" s="1290"/>
      <c r="AB1078" s="1290"/>
      <c r="AC1078" s="1290"/>
      <c r="AD1078" s="1290"/>
      <c r="AE1078" s="1290"/>
      <c r="AF1078" s="1290"/>
      <c r="AG1078" s="1290"/>
      <c r="AH1078" s="1290"/>
      <c r="AI1078" s="1290"/>
      <c r="AJ1078" s="1290"/>
      <c r="AK1078" s="1290"/>
      <c r="AL1078" s="1290"/>
      <c r="AM1078" s="1290"/>
      <c r="AN1078" s="1290"/>
      <c r="AO1078" s="1290"/>
      <c r="AP1078" s="1290"/>
      <c r="AQ1078" s="1290"/>
      <c r="AR1078" s="1290"/>
      <c r="AS1078" s="14"/>
      <c r="AT1078" s="68"/>
    </row>
    <row r="1079" spans="1:51" ht="12.95" customHeight="1">
      <c r="A1079" s="1"/>
      <c r="B1079" s="1"/>
      <c r="C1079" s="1333"/>
      <c r="D1079" s="1333"/>
      <c r="E1079" s="1290"/>
      <c r="F1079" s="1290"/>
      <c r="G1079" s="1290"/>
      <c r="H1079" s="1290"/>
      <c r="I1079" s="1290"/>
      <c r="J1079" s="1290"/>
      <c r="K1079" s="1290"/>
      <c r="L1079" s="1290"/>
      <c r="M1079" s="1290"/>
      <c r="N1079" s="1290"/>
      <c r="O1079" s="1290"/>
      <c r="P1079" s="1290"/>
      <c r="Q1079" s="1290"/>
      <c r="R1079" s="1290"/>
      <c r="S1079" s="1290"/>
      <c r="T1079" s="1290"/>
      <c r="U1079" s="1290"/>
      <c r="V1079" s="1290"/>
      <c r="W1079" s="1290"/>
      <c r="X1079" s="1290"/>
      <c r="Y1079" s="1290"/>
      <c r="Z1079" s="1290"/>
      <c r="AA1079" s="1290"/>
      <c r="AB1079" s="1290"/>
      <c r="AC1079" s="1290"/>
      <c r="AD1079" s="1290"/>
      <c r="AE1079" s="1290"/>
      <c r="AF1079" s="1290"/>
      <c r="AG1079" s="1290"/>
      <c r="AH1079" s="1290"/>
      <c r="AI1079" s="1290"/>
      <c r="AJ1079" s="1290"/>
      <c r="AK1079" s="1290"/>
      <c r="AL1079" s="1290"/>
      <c r="AM1079" s="1290"/>
      <c r="AN1079" s="1290"/>
      <c r="AO1079" s="1290"/>
      <c r="AP1079" s="1290"/>
      <c r="AQ1079" s="1290"/>
      <c r="AR1079" s="1290"/>
      <c r="AS1079" s="14"/>
      <c r="AT1079" s="68"/>
    </row>
    <row r="1080" spans="1:51" ht="12.95" customHeight="1">
      <c r="A1080" s="1"/>
      <c r="B1080" s="1"/>
      <c r="C1080" s="1333"/>
      <c r="D1080" s="1333"/>
      <c r="E1080" s="456"/>
      <c r="F1080" s="456"/>
      <c r="G1080" s="456"/>
      <c r="H1080" s="456"/>
      <c r="I1080" s="456"/>
      <c r="J1080" s="456"/>
      <c r="K1080" s="456"/>
      <c r="L1080" s="456"/>
      <c r="M1080" s="456"/>
      <c r="N1080" s="456"/>
      <c r="O1080" s="456"/>
      <c r="P1080" s="456"/>
      <c r="Q1080" s="456"/>
      <c r="R1080" s="456"/>
      <c r="S1080" s="456"/>
      <c r="T1080" s="456"/>
      <c r="U1080" s="456"/>
      <c r="V1080" s="456"/>
      <c r="W1080" s="456"/>
      <c r="X1080" s="456"/>
      <c r="Y1080" s="456"/>
      <c r="Z1080" s="456"/>
      <c r="AA1080" s="456"/>
      <c r="AB1080" s="456"/>
      <c r="AC1080" s="456"/>
      <c r="AD1080" s="456"/>
      <c r="AE1080" s="456"/>
      <c r="AF1080" s="456"/>
      <c r="AG1080" s="456"/>
      <c r="AH1080" s="456"/>
      <c r="AI1080" s="456"/>
      <c r="AJ1080" s="456"/>
      <c r="AK1080" s="456"/>
      <c r="AS1080" s="14"/>
    </row>
    <row r="1081" spans="1:51" ht="12.95" customHeight="1">
      <c r="A1081" s="1330" t="s">
        <v>591</v>
      </c>
      <c r="B1081" s="1330"/>
      <c r="C1081" s="1333">
        <v>5</v>
      </c>
      <c r="D1081" s="1333"/>
      <c r="E1081" s="1290" t="s">
        <v>2244</v>
      </c>
      <c r="F1081" s="1290"/>
      <c r="G1081" s="1290"/>
      <c r="H1081" s="1290"/>
      <c r="I1081" s="1290"/>
      <c r="J1081" s="1290"/>
      <c r="K1081" s="1290"/>
      <c r="L1081" s="1290"/>
      <c r="M1081" s="1290"/>
      <c r="N1081" s="1290"/>
      <c r="O1081" s="1290"/>
      <c r="P1081" s="1290"/>
      <c r="Q1081" s="1290"/>
      <c r="R1081" s="1290"/>
      <c r="S1081" s="1290"/>
      <c r="T1081" s="1290"/>
      <c r="U1081" s="1290"/>
      <c r="V1081" s="1290"/>
      <c r="W1081" s="1290"/>
      <c r="X1081" s="1290"/>
      <c r="Y1081" s="1290"/>
      <c r="Z1081" s="1290"/>
      <c r="AA1081" s="1290"/>
      <c r="AB1081" s="1290"/>
      <c r="AC1081" s="1290"/>
      <c r="AD1081" s="1290"/>
      <c r="AE1081" s="1290"/>
      <c r="AF1081" s="1290"/>
      <c r="AG1081" s="1290"/>
      <c r="AH1081" s="1290"/>
      <c r="AI1081" s="1290"/>
      <c r="AJ1081" s="1290"/>
      <c r="AK1081" s="1290"/>
      <c r="AL1081" s="1290"/>
      <c r="AM1081" s="1290"/>
      <c r="AN1081" s="1290"/>
      <c r="AO1081" s="1290"/>
      <c r="AP1081" s="1290"/>
      <c r="AQ1081" s="1290"/>
      <c r="AR1081" s="1290"/>
      <c r="AS1081" s="14"/>
    </row>
    <row r="1082" spans="1:51" ht="12.95" customHeight="1">
      <c r="A1082" s="4"/>
      <c r="B1082" s="4"/>
      <c r="C1082" s="1333"/>
      <c r="D1082" s="1333"/>
      <c r="E1082" s="1290"/>
      <c r="F1082" s="1290"/>
      <c r="G1082" s="1290"/>
      <c r="H1082" s="1290"/>
      <c r="I1082" s="1290"/>
      <c r="J1082" s="1290"/>
      <c r="K1082" s="1290"/>
      <c r="L1082" s="1290"/>
      <c r="M1082" s="1290"/>
      <c r="N1082" s="1290"/>
      <c r="O1082" s="1290"/>
      <c r="P1082" s="1290"/>
      <c r="Q1082" s="1290"/>
      <c r="R1082" s="1290"/>
      <c r="S1082" s="1290"/>
      <c r="T1082" s="1290"/>
      <c r="U1082" s="1290"/>
      <c r="V1082" s="1290"/>
      <c r="W1082" s="1290"/>
      <c r="X1082" s="1290"/>
      <c r="Y1082" s="1290"/>
      <c r="Z1082" s="1290"/>
      <c r="AA1082" s="1290"/>
      <c r="AB1082" s="1290"/>
      <c r="AC1082" s="1290"/>
      <c r="AD1082" s="1290"/>
      <c r="AE1082" s="1290"/>
      <c r="AF1082" s="1290"/>
      <c r="AG1082" s="1290"/>
      <c r="AH1082" s="1290"/>
      <c r="AI1082" s="1290"/>
      <c r="AJ1082" s="1290"/>
      <c r="AK1082" s="1290"/>
      <c r="AL1082" s="1290"/>
      <c r="AM1082" s="1290"/>
      <c r="AN1082" s="1290"/>
      <c r="AO1082" s="1290"/>
      <c r="AP1082" s="1290"/>
      <c r="AQ1082" s="1290"/>
      <c r="AR1082" s="1290"/>
      <c r="AS1082" s="14"/>
    </row>
    <row r="1083" spans="1:51" ht="12.95" customHeight="1">
      <c r="A1083" s="4"/>
      <c r="B1083" s="4"/>
      <c r="C1083" s="1333"/>
      <c r="D1083" s="1333"/>
      <c r="E1083" s="1290"/>
      <c r="F1083" s="1290"/>
      <c r="G1083" s="1290"/>
      <c r="H1083" s="1290"/>
      <c r="I1083" s="1290"/>
      <c r="J1083" s="1290"/>
      <c r="K1083" s="1290"/>
      <c r="L1083" s="1290"/>
      <c r="M1083" s="1290"/>
      <c r="N1083" s="1290"/>
      <c r="O1083" s="1290"/>
      <c r="P1083" s="1290"/>
      <c r="Q1083" s="1290"/>
      <c r="R1083" s="1290"/>
      <c r="S1083" s="1290"/>
      <c r="T1083" s="1290"/>
      <c r="U1083" s="1290"/>
      <c r="V1083" s="1290"/>
      <c r="W1083" s="1290"/>
      <c r="X1083" s="1290"/>
      <c r="Y1083" s="1290"/>
      <c r="Z1083" s="1290"/>
      <c r="AA1083" s="1290"/>
      <c r="AB1083" s="1290"/>
      <c r="AC1083" s="1290"/>
      <c r="AD1083" s="1290"/>
      <c r="AE1083" s="1290"/>
      <c r="AF1083" s="1290"/>
      <c r="AG1083" s="1290"/>
      <c r="AH1083" s="1290"/>
      <c r="AI1083" s="1290"/>
      <c r="AJ1083" s="1290"/>
      <c r="AK1083" s="1290"/>
      <c r="AL1083" s="1290"/>
      <c r="AM1083" s="1290"/>
      <c r="AN1083" s="1290"/>
      <c r="AO1083" s="1290"/>
      <c r="AP1083" s="1290"/>
      <c r="AQ1083" s="1290"/>
      <c r="AR1083" s="1290"/>
      <c r="AS1083" s="14"/>
    </row>
    <row r="1084" spans="1:51" ht="12.95" customHeight="1">
      <c r="A1084" s="35"/>
      <c r="B1084" s="25"/>
      <c r="C1084" s="1333"/>
      <c r="D1084" s="1333"/>
      <c r="E1084" s="456"/>
      <c r="F1084" s="456"/>
      <c r="G1084" s="456"/>
      <c r="H1084" s="456"/>
      <c r="I1084" s="456"/>
      <c r="J1084" s="456"/>
      <c r="K1084" s="456"/>
      <c r="L1084" s="456"/>
      <c r="M1084" s="456"/>
      <c r="N1084" s="456"/>
      <c r="O1084" s="456"/>
      <c r="P1084" s="456"/>
      <c r="Q1084" s="456"/>
      <c r="R1084" s="456"/>
      <c r="S1084" s="456"/>
      <c r="T1084" s="456"/>
      <c r="U1084" s="456"/>
      <c r="V1084" s="456"/>
      <c r="W1084" s="456"/>
      <c r="X1084" s="456"/>
      <c r="Y1084" s="456"/>
      <c r="Z1084" s="456"/>
      <c r="AA1084" s="456"/>
      <c r="AB1084" s="456"/>
      <c r="AC1084" s="456"/>
      <c r="AD1084" s="456"/>
      <c r="AE1084" s="456"/>
      <c r="AF1084" s="456"/>
      <c r="AG1084" s="456"/>
      <c r="AH1084" s="456"/>
      <c r="AI1084" s="456"/>
      <c r="AJ1084" s="456"/>
      <c r="AK1084" s="456"/>
      <c r="AS1084" s="14"/>
    </row>
    <row r="1085" spans="1:51" ht="12.95" customHeight="1">
      <c r="A1085" s="1330" t="s">
        <v>591</v>
      </c>
      <c r="B1085" s="1330"/>
      <c r="C1085" s="1333">
        <v>6</v>
      </c>
      <c r="D1085" s="1333"/>
      <c r="E1085" s="1290" t="s">
        <v>2245</v>
      </c>
      <c r="F1085" s="1290"/>
      <c r="G1085" s="1290"/>
      <c r="H1085" s="1290"/>
      <c r="I1085" s="1290"/>
      <c r="J1085" s="1290"/>
      <c r="K1085" s="1290"/>
      <c r="L1085" s="1290"/>
      <c r="M1085" s="1290"/>
      <c r="N1085" s="1290"/>
      <c r="O1085" s="1290"/>
      <c r="P1085" s="1290"/>
      <c r="Q1085" s="1290"/>
      <c r="R1085" s="1290"/>
      <c r="S1085" s="1290"/>
      <c r="T1085" s="1290"/>
      <c r="U1085" s="1290"/>
      <c r="V1085" s="1290"/>
      <c r="W1085" s="1290"/>
      <c r="X1085" s="1290"/>
      <c r="Y1085" s="1290"/>
      <c r="Z1085" s="1290"/>
      <c r="AA1085" s="1290"/>
      <c r="AB1085" s="1290"/>
      <c r="AC1085" s="1290"/>
      <c r="AD1085" s="1290"/>
      <c r="AE1085" s="1290"/>
      <c r="AF1085" s="1290"/>
      <c r="AG1085" s="1290"/>
      <c r="AH1085" s="1290"/>
      <c r="AI1085" s="1290"/>
      <c r="AJ1085" s="1290"/>
      <c r="AK1085" s="1290"/>
      <c r="AL1085" s="1290"/>
      <c r="AM1085" s="1290"/>
      <c r="AN1085" s="1290"/>
      <c r="AO1085" s="1290"/>
      <c r="AP1085" s="1290"/>
      <c r="AQ1085" s="1290"/>
      <c r="AR1085" s="1290"/>
      <c r="AS1085" s="14"/>
    </row>
    <row r="1086" spans="1:51" ht="12.95" customHeight="1">
      <c r="A1086" s="1"/>
      <c r="B1086" s="1"/>
      <c r="C1086" s="1"/>
      <c r="D1086" s="1"/>
      <c r="E1086" s="1290"/>
      <c r="F1086" s="1290"/>
      <c r="G1086" s="1290"/>
      <c r="H1086" s="1290"/>
      <c r="I1086" s="1290"/>
      <c r="J1086" s="1290"/>
      <c r="K1086" s="1290"/>
      <c r="L1086" s="1290"/>
      <c r="M1086" s="1290"/>
      <c r="N1086" s="1290"/>
      <c r="O1086" s="1290"/>
      <c r="P1086" s="1290"/>
      <c r="Q1086" s="1290"/>
      <c r="R1086" s="1290"/>
      <c r="S1086" s="1290"/>
      <c r="T1086" s="1290"/>
      <c r="U1086" s="1290"/>
      <c r="V1086" s="1290"/>
      <c r="W1086" s="1290"/>
      <c r="X1086" s="1290"/>
      <c r="Y1086" s="1290"/>
      <c r="Z1086" s="1290"/>
      <c r="AA1086" s="1290"/>
      <c r="AB1086" s="1290"/>
      <c r="AC1086" s="1290"/>
      <c r="AD1086" s="1290"/>
      <c r="AE1086" s="1290"/>
      <c r="AF1086" s="1290"/>
      <c r="AG1086" s="1290"/>
      <c r="AH1086" s="1290"/>
      <c r="AI1086" s="1290"/>
      <c r="AJ1086" s="1290"/>
      <c r="AK1086" s="1290"/>
      <c r="AL1086" s="1290"/>
      <c r="AM1086" s="1290"/>
      <c r="AN1086" s="1290"/>
      <c r="AO1086" s="1290"/>
      <c r="AP1086" s="1290"/>
      <c r="AQ1086" s="1290"/>
      <c r="AR1086" s="1290"/>
      <c r="AS1086" s="14"/>
    </row>
    <row r="1087" spans="1:51" ht="12.95" customHeight="1">
      <c r="A1087" s="1"/>
      <c r="B1087" s="1"/>
      <c r="C1087" s="1333"/>
      <c r="D1087" s="1333"/>
      <c r="E1087" s="1290"/>
      <c r="F1087" s="1290"/>
      <c r="G1087" s="1290"/>
      <c r="H1087" s="1290"/>
      <c r="I1087" s="1290"/>
      <c r="J1087" s="1290"/>
      <c r="K1087" s="1290"/>
      <c r="L1087" s="1290"/>
      <c r="M1087" s="1290"/>
      <c r="N1087" s="1290"/>
      <c r="O1087" s="1290"/>
      <c r="P1087" s="1290"/>
      <c r="Q1087" s="1290"/>
      <c r="R1087" s="1290"/>
      <c r="S1087" s="1290"/>
      <c r="T1087" s="1290"/>
      <c r="U1087" s="1290"/>
      <c r="V1087" s="1290"/>
      <c r="W1087" s="1290"/>
      <c r="X1087" s="1290"/>
      <c r="Y1087" s="1290"/>
      <c r="Z1087" s="1290"/>
      <c r="AA1087" s="1290"/>
      <c r="AB1087" s="1290"/>
      <c r="AC1087" s="1290"/>
      <c r="AD1087" s="1290"/>
      <c r="AE1087" s="1290"/>
      <c r="AF1087" s="1290"/>
      <c r="AG1087" s="1290"/>
      <c r="AH1087" s="1290"/>
      <c r="AI1087" s="1290"/>
      <c r="AJ1087" s="1290"/>
      <c r="AK1087" s="1290"/>
      <c r="AL1087" s="1290"/>
      <c r="AM1087" s="1290"/>
      <c r="AN1087" s="1290"/>
      <c r="AO1087" s="1290"/>
      <c r="AP1087" s="1290"/>
      <c r="AQ1087" s="1290"/>
      <c r="AR1087" s="1290"/>
      <c r="AS1087" s="14"/>
    </row>
    <row r="1088" spans="1:51" ht="12.95" customHeight="1">
      <c r="A1088" s="35"/>
      <c r="B1088" s="25"/>
      <c r="C1088" s="1333"/>
      <c r="D1088" s="1333"/>
      <c r="E1088" s="456"/>
      <c r="F1088" s="456"/>
      <c r="G1088" s="456"/>
      <c r="H1088" s="456"/>
      <c r="I1088" s="456"/>
      <c r="J1088" s="456"/>
      <c r="K1088" s="456"/>
      <c r="L1088" s="456"/>
      <c r="M1088" s="456"/>
      <c r="N1088" s="456"/>
      <c r="O1088" s="456"/>
      <c r="P1088" s="456"/>
      <c r="Q1088" s="456"/>
      <c r="R1088" s="456"/>
      <c r="S1088" s="456"/>
      <c r="T1088" s="456"/>
      <c r="U1088" s="456"/>
      <c r="V1088" s="456"/>
      <c r="W1088" s="456"/>
      <c r="X1088" s="456"/>
      <c r="Y1088" s="456"/>
      <c r="Z1088" s="456"/>
      <c r="AA1088" s="456"/>
      <c r="AB1088" s="456"/>
      <c r="AC1088" s="456"/>
      <c r="AD1088" s="456"/>
      <c r="AE1088" s="456"/>
      <c r="AF1088" s="456"/>
      <c r="AG1088" s="456"/>
      <c r="AH1088" s="456"/>
      <c r="AI1088" s="456"/>
      <c r="AJ1088" s="456"/>
      <c r="AK1088" s="456"/>
      <c r="AS1088" s="14"/>
    </row>
    <row r="1089" spans="1:45" ht="12.95" customHeight="1">
      <c r="A1089" s="1330" t="s">
        <v>591</v>
      </c>
      <c r="B1089" s="1330"/>
      <c r="C1089" s="1333">
        <v>7</v>
      </c>
      <c r="D1089" s="1333"/>
      <c r="E1089" s="1290" t="s">
        <v>2139</v>
      </c>
      <c r="F1089" s="1290"/>
      <c r="G1089" s="1290"/>
      <c r="H1089" s="1290"/>
      <c r="I1089" s="1290"/>
      <c r="J1089" s="1290"/>
      <c r="K1089" s="1290"/>
      <c r="L1089" s="1290"/>
      <c r="M1089" s="1290"/>
      <c r="N1089" s="1290"/>
      <c r="O1089" s="1290"/>
      <c r="P1089" s="1290"/>
      <c r="Q1089" s="1290"/>
      <c r="R1089" s="1290"/>
      <c r="S1089" s="1290"/>
      <c r="T1089" s="1290"/>
      <c r="U1089" s="1290"/>
      <c r="V1089" s="1290"/>
      <c r="W1089" s="1290"/>
      <c r="X1089" s="1290"/>
      <c r="Y1089" s="1290"/>
      <c r="Z1089" s="1290"/>
      <c r="AA1089" s="1290"/>
      <c r="AB1089" s="1290"/>
      <c r="AC1089" s="1290"/>
      <c r="AD1089" s="1290"/>
      <c r="AE1089" s="1290"/>
      <c r="AF1089" s="1290"/>
      <c r="AG1089" s="1290"/>
      <c r="AH1089" s="1290"/>
      <c r="AI1089" s="1290"/>
      <c r="AJ1089" s="1290"/>
      <c r="AK1089" s="1290"/>
      <c r="AL1089" s="1290"/>
      <c r="AM1089" s="1290"/>
      <c r="AN1089" s="1290"/>
      <c r="AO1089" s="1290"/>
      <c r="AP1089" s="1290"/>
      <c r="AQ1089" s="1290"/>
      <c r="AR1089" s="1290"/>
      <c r="AS1089" s="14"/>
    </row>
    <row r="1090" spans="1:45" ht="12.95" customHeight="1">
      <c r="A1090" s="1"/>
      <c r="B1090" s="1"/>
      <c r="C1090" s="1333"/>
      <c r="D1090" s="1333"/>
      <c r="E1090" s="1290"/>
      <c r="F1090" s="1290"/>
      <c r="G1090" s="1290"/>
      <c r="H1090" s="1290"/>
      <c r="I1090" s="1290"/>
      <c r="J1090" s="1290"/>
      <c r="K1090" s="1290"/>
      <c r="L1090" s="1290"/>
      <c r="M1090" s="1290"/>
      <c r="N1090" s="1290"/>
      <c r="O1090" s="1290"/>
      <c r="P1090" s="1290"/>
      <c r="Q1090" s="1290"/>
      <c r="R1090" s="1290"/>
      <c r="S1090" s="1290"/>
      <c r="T1090" s="1290"/>
      <c r="U1090" s="1290"/>
      <c r="V1090" s="1290"/>
      <c r="W1090" s="1290"/>
      <c r="X1090" s="1290"/>
      <c r="Y1090" s="1290"/>
      <c r="Z1090" s="1290"/>
      <c r="AA1090" s="1290"/>
      <c r="AB1090" s="1290"/>
      <c r="AC1090" s="1290"/>
      <c r="AD1090" s="1290"/>
      <c r="AE1090" s="1290"/>
      <c r="AF1090" s="1290"/>
      <c r="AG1090" s="1290"/>
      <c r="AH1090" s="1290"/>
      <c r="AI1090" s="1290"/>
      <c r="AJ1090" s="1290"/>
      <c r="AK1090" s="1290"/>
      <c r="AL1090" s="1290"/>
      <c r="AM1090" s="1290"/>
      <c r="AN1090" s="1290"/>
      <c r="AO1090" s="1290"/>
      <c r="AP1090" s="1290"/>
      <c r="AQ1090" s="1290"/>
      <c r="AR1090" s="1290"/>
      <c r="AS1090" s="14"/>
    </row>
    <row r="1091" spans="1:45" ht="12.95" customHeight="1">
      <c r="A1091" s="1"/>
      <c r="B1091" s="1"/>
      <c r="C1091" s="1333"/>
      <c r="D1091" s="1333"/>
      <c r="E1091" s="1290"/>
      <c r="F1091" s="1290"/>
      <c r="G1091" s="1290"/>
      <c r="H1091" s="1290"/>
      <c r="I1091" s="1290"/>
      <c r="J1091" s="1290"/>
      <c r="K1091" s="1290"/>
      <c r="L1091" s="1290"/>
      <c r="M1091" s="1290"/>
      <c r="N1091" s="1290"/>
      <c r="O1091" s="1290"/>
      <c r="P1091" s="1290"/>
      <c r="Q1091" s="1290"/>
      <c r="R1091" s="1290"/>
      <c r="S1091" s="1290"/>
      <c r="T1091" s="1290"/>
      <c r="U1091" s="1290"/>
      <c r="V1091" s="1290"/>
      <c r="W1091" s="1290"/>
      <c r="X1091" s="1290"/>
      <c r="Y1091" s="1290"/>
      <c r="Z1091" s="1290"/>
      <c r="AA1091" s="1290"/>
      <c r="AB1091" s="1290"/>
      <c r="AC1091" s="1290"/>
      <c r="AD1091" s="1290"/>
      <c r="AE1091" s="1290"/>
      <c r="AF1091" s="1290"/>
      <c r="AG1091" s="1290"/>
      <c r="AH1091" s="1290"/>
      <c r="AI1091" s="1290"/>
      <c r="AJ1091" s="1290"/>
      <c r="AK1091" s="1290"/>
      <c r="AL1091" s="1290"/>
      <c r="AM1091" s="1290"/>
      <c r="AN1091" s="1290"/>
      <c r="AO1091" s="1290"/>
      <c r="AP1091" s="1290"/>
      <c r="AQ1091" s="1290"/>
      <c r="AR1091" s="1290"/>
      <c r="AS1091" s="14"/>
    </row>
    <row r="1092" spans="1:45" ht="12.95" customHeight="1">
      <c r="A1092" s="1"/>
      <c r="B1092" s="1"/>
      <c r="C1092" s="1333"/>
      <c r="D1092" s="1333"/>
      <c r="E1092" s="456"/>
      <c r="F1092" s="456"/>
      <c r="G1092" s="456"/>
      <c r="H1092" s="456"/>
      <c r="I1092" s="456"/>
      <c r="J1092" s="456"/>
      <c r="K1092" s="456"/>
      <c r="L1092" s="456"/>
      <c r="M1092" s="456"/>
      <c r="N1092" s="456"/>
      <c r="O1092" s="456"/>
      <c r="P1092" s="456"/>
      <c r="Q1092" s="456"/>
      <c r="R1092" s="456"/>
      <c r="S1092" s="456"/>
      <c r="T1092" s="456"/>
      <c r="U1092" s="456"/>
      <c r="V1092" s="456"/>
      <c r="W1092" s="456"/>
      <c r="X1092" s="456"/>
      <c r="Y1092" s="456"/>
      <c r="Z1092" s="456"/>
      <c r="AA1092" s="456"/>
      <c r="AB1092" s="456"/>
      <c r="AC1092" s="456"/>
      <c r="AD1092" s="456"/>
      <c r="AE1092" s="456"/>
      <c r="AF1092" s="456"/>
      <c r="AG1092" s="456"/>
      <c r="AH1092" s="456"/>
      <c r="AI1092" s="456"/>
      <c r="AJ1092" s="456"/>
      <c r="AK1092" s="456"/>
    </row>
    <row r="1093" spans="1:45" ht="12.95" customHeight="1">
      <c r="A1093" s="35"/>
      <c r="B1093" s="25"/>
      <c r="C1093" s="1333"/>
      <c r="D1093" s="1333"/>
      <c r="E1093" s="456"/>
      <c r="F1093" s="456"/>
      <c r="G1093" s="456"/>
      <c r="H1093" s="456"/>
      <c r="I1093" s="456"/>
      <c r="J1093" s="456"/>
      <c r="K1093" s="456"/>
      <c r="L1093" s="456"/>
      <c r="M1093" s="456"/>
      <c r="N1093" s="456"/>
      <c r="O1093" s="456"/>
      <c r="P1093" s="456"/>
      <c r="Q1093" s="456"/>
      <c r="R1093" s="456"/>
      <c r="S1093" s="456"/>
      <c r="T1093" s="456"/>
      <c r="U1093" s="456"/>
      <c r="V1093" s="456"/>
      <c r="W1093" s="456"/>
      <c r="X1093" s="456"/>
      <c r="Y1093" s="456"/>
      <c r="Z1093" s="456"/>
      <c r="AA1093" s="456"/>
      <c r="AB1093" s="456"/>
      <c r="AC1093" s="456"/>
      <c r="AD1093" s="456"/>
      <c r="AE1093" s="456"/>
      <c r="AF1093" s="456"/>
      <c r="AG1093" s="456"/>
      <c r="AH1093" s="456"/>
      <c r="AI1093" s="456"/>
      <c r="AJ1093" s="456"/>
      <c r="AK1093" s="456"/>
    </row>
    <row r="1094" spans="1:45" ht="12.95" customHeight="1">
      <c r="A1094" s="1330" t="s">
        <v>591</v>
      </c>
      <c r="B1094" s="1330"/>
      <c r="C1094" s="1333">
        <v>8</v>
      </c>
      <c r="D1094" s="1333"/>
      <c r="E1094" s="1290" t="s">
        <v>1072</v>
      </c>
      <c r="F1094" s="1290"/>
      <c r="G1094" s="1290"/>
      <c r="H1094" s="1290"/>
      <c r="I1094" s="1290"/>
      <c r="J1094" s="1290"/>
      <c r="K1094" s="1290"/>
      <c r="L1094" s="1290"/>
      <c r="M1094" s="1290"/>
      <c r="N1094" s="1290"/>
      <c r="O1094" s="1290"/>
      <c r="P1094" s="1290"/>
      <c r="Q1094" s="1290"/>
      <c r="R1094" s="1290"/>
      <c r="S1094" s="1290"/>
      <c r="T1094" s="1290"/>
      <c r="U1094" s="1290"/>
      <c r="V1094" s="1290"/>
      <c r="W1094" s="1290"/>
      <c r="X1094" s="1290"/>
      <c r="Y1094" s="1290"/>
      <c r="Z1094" s="1290"/>
      <c r="AA1094" s="1290"/>
      <c r="AB1094" s="1290"/>
      <c r="AC1094" s="1290"/>
      <c r="AD1094" s="1290"/>
      <c r="AE1094" s="1290"/>
      <c r="AF1094" s="1290"/>
      <c r="AG1094" s="1290"/>
      <c r="AH1094" s="1290"/>
      <c r="AI1094" s="1290"/>
      <c r="AJ1094" s="1290"/>
      <c r="AK1094" s="1290"/>
      <c r="AL1094" s="1290"/>
      <c r="AM1094" s="1290"/>
      <c r="AN1094" s="1290"/>
      <c r="AO1094" s="1290"/>
      <c r="AP1094" s="1290"/>
      <c r="AQ1094" s="1290"/>
      <c r="AR1094" s="1290"/>
    </row>
    <row r="1095" spans="1:45" ht="12.95" customHeight="1">
      <c r="A1095" s="35"/>
      <c r="B1095" s="25"/>
      <c r="C1095" s="1333"/>
      <c r="D1095" s="1333"/>
      <c r="E1095" s="1290"/>
      <c r="F1095" s="1290"/>
      <c r="G1095" s="1290"/>
      <c r="H1095" s="1290"/>
      <c r="I1095" s="1290"/>
      <c r="J1095" s="1290"/>
      <c r="K1095" s="1290"/>
      <c r="L1095" s="1290"/>
      <c r="M1095" s="1290"/>
      <c r="N1095" s="1290"/>
      <c r="O1095" s="1290"/>
      <c r="P1095" s="1290"/>
      <c r="Q1095" s="1290"/>
      <c r="R1095" s="1290"/>
      <c r="S1095" s="1290"/>
      <c r="T1095" s="1290"/>
      <c r="U1095" s="1290"/>
      <c r="V1095" s="1290"/>
      <c r="W1095" s="1290"/>
      <c r="X1095" s="1290"/>
      <c r="Y1095" s="1290"/>
      <c r="Z1095" s="1290"/>
      <c r="AA1095" s="1290"/>
      <c r="AB1095" s="1290"/>
      <c r="AC1095" s="1290"/>
      <c r="AD1095" s="1290"/>
      <c r="AE1095" s="1290"/>
      <c r="AF1095" s="1290"/>
      <c r="AG1095" s="1290"/>
      <c r="AH1095" s="1290"/>
      <c r="AI1095" s="1290"/>
      <c r="AJ1095" s="1290"/>
      <c r="AK1095" s="1290"/>
      <c r="AL1095" s="1290"/>
      <c r="AM1095" s="1290"/>
      <c r="AN1095" s="1290"/>
      <c r="AO1095" s="1290"/>
      <c r="AP1095" s="1290"/>
      <c r="AQ1095" s="1290"/>
      <c r="AR1095" s="1290"/>
    </row>
    <row r="1096" spans="1:45" ht="12.95" customHeight="1">
      <c r="A1096" s="35"/>
      <c r="B1096" s="25"/>
      <c r="C1096" s="1333"/>
      <c r="D1096" s="1333"/>
      <c r="E1096" s="456"/>
      <c r="F1096" s="456"/>
      <c r="G1096" s="456"/>
      <c r="H1096" s="456"/>
      <c r="I1096" s="456"/>
      <c r="J1096" s="456"/>
      <c r="K1096" s="456"/>
      <c r="L1096" s="456"/>
      <c r="M1096" s="456"/>
      <c r="N1096" s="456"/>
      <c r="O1096" s="456"/>
      <c r="P1096" s="456"/>
      <c r="Q1096" s="456"/>
      <c r="R1096" s="456"/>
      <c r="S1096" s="456"/>
      <c r="T1096" s="456"/>
      <c r="U1096" s="456"/>
      <c r="V1096" s="456"/>
      <c r="W1096" s="456"/>
      <c r="X1096" s="456"/>
      <c r="Y1096" s="456"/>
      <c r="Z1096" s="456"/>
      <c r="AA1096" s="456"/>
      <c r="AB1096" s="456"/>
      <c r="AC1096" s="456"/>
      <c r="AD1096" s="456"/>
      <c r="AE1096" s="456"/>
      <c r="AF1096" s="456"/>
      <c r="AG1096" s="456"/>
      <c r="AH1096" s="456"/>
      <c r="AI1096" s="456"/>
      <c r="AJ1096" s="456"/>
      <c r="AK1096" s="456"/>
    </row>
    <row r="1097" spans="1:45" ht="12.95" customHeight="1">
      <c r="A1097" s="1330" t="s">
        <v>591</v>
      </c>
      <c r="B1097" s="1330"/>
      <c r="C1097" s="1331">
        <v>9</v>
      </c>
      <c r="D1097" s="1331"/>
      <c r="E1097" s="1290" t="s">
        <v>1074</v>
      </c>
      <c r="F1097" s="1290"/>
      <c r="G1097" s="1290"/>
      <c r="H1097" s="1290"/>
      <c r="I1097" s="1290"/>
      <c r="J1097" s="1290"/>
      <c r="K1097" s="1290"/>
      <c r="L1097" s="1290"/>
      <c r="M1097" s="1290"/>
      <c r="N1097" s="1290"/>
      <c r="O1097" s="1290"/>
      <c r="P1097" s="1290"/>
      <c r="Q1097" s="1290"/>
      <c r="R1097" s="1290"/>
      <c r="S1097" s="1290"/>
      <c r="T1097" s="1290"/>
      <c r="U1097" s="1290"/>
      <c r="V1097" s="1290"/>
      <c r="W1097" s="1290"/>
      <c r="X1097" s="1290"/>
      <c r="Y1097" s="1290"/>
      <c r="Z1097" s="1290"/>
      <c r="AA1097" s="1290"/>
      <c r="AB1097" s="1290"/>
      <c r="AC1097" s="1290"/>
      <c r="AD1097" s="1290"/>
      <c r="AE1097" s="1290"/>
      <c r="AF1097" s="1290"/>
      <c r="AG1097" s="1290"/>
      <c r="AH1097" s="1290"/>
      <c r="AI1097" s="1290"/>
      <c r="AJ1097" s="1290"/>
      <c r="AK1097" s="1290"/>
      <c r="AL1097" s="1290"/>
      <c r="AM1097" s="1290"/>
      <c r="AN1097" s="1290"/>
      <c r="AO1097" s="1290"/>
      <c r="AP1097" s="1290"/>
      <c r="AQ1097" s="1290"/>
      <c r="AR1097" s="1290"/>
    </row>
    <row r="1098" spans="1:45" ht="12.95" customHeight="1">
      <c r="A1098" s="1"/>
      <c r="B1098" s="1"/>
      <c r="C1098" s="1331"/>
      <c r="D1098" s="1331"/>
      <c r="E1098" s="1290"/>
      <c r="F1098" s="1290"/>
      <c r="G1098" s="1290"/>
      <c r="H1098" s="1290"/>
      <c r="I1098" s="1290"/>
      <c r="J1098" s="1290"/>
      <c r="K1098" s="1290"/>
      <c r="L1098" s="1290"/>
      <c r="M1098" s="1290"/>
      <c r="N1098" s="1290"/>
      <c r="O1098" s="1290"/>
      <c r="P1098" s="1290"/>
      <c r="Q1098" s="1290"/>
      <c r="R1098" s="1290"/>
      <c r="S1098" s="1290"/>
      <c r="T1098" s="1290"/>
      <c r="U1098" s="1290"/>
      <c r="V1098" s="1290"/>
      <c r="W1098" s="1290"/>
      <c r="X1098" s="1290"/>
      <c r="Y1098" s="1290"/>
      <c r="Z1098" s="1290"/>
      <c r="AA1098" s="1290"/>
      <c r="AB1098" s="1290"/>
      <c r="AC1098" s="1290"/>
      <c r="AD1098" s="1290"/>
      <c r="AE1098" s="1290"/>
      <c r="AF1098" s="1290"/>
      <c r="AG1098" s="1290"/>
      <c r="AH1098" s="1290"/>
      <c r="AI1098" s="1290"/>
      <c r="AJ1098" s="1290"/>
      <c r="AK1098" s="1290"/>
      <c r="AL1098" s="1290"/>
      <c r="AM1098" s="1290"/>
      <c r="AN1098" s="1290"/>
      <c r="AO1098" s="1290"/>
      <c r="AP1098" s="1290"/>
      <c r="AQ1098" s="1290"/>
      <c r="AR1098" s="1290"/>
    </row>
    <row r="1099" spans="1:45" ht="12.95" customHeight="1">
      <c r="A1099" s="35"/>
      <c r="B1099" s="25"/>
      <c r="C1099" s="1331"/>
      <c r="D1099" s="1331"/>
      <c r="E1099" s="456"/>
      <c r="F1099" s="456"/>
      <c r="G1099" s="456"/>
      <c r="H1099" s="456"/>
      <c r="I1099" s="456"/>
      <c r="J1099" s="456"/>
      <c r="K1099" s="456"/>
      <c r="L1099" s="456"/>
      <c r="M1099" s="456"/>
      <c r="N1099" s="456"/>
      <c r="O1099" s="456"/>
      <c r="P1099" s="456"/>
      <c r="Q1099" s="456"/>
      <c r="R1099" s="456"/>
      <c r="S1099" s="456"/>
      <c r="T1099" s="456"/>
      <c r="U1099" s="456"/>
      <c r="V1099" s="456"/>
      <c r="W1099" s="456"/>
      <c r="X1099" s="456"/>
      <c r="Y1099" s="456"/>
      <c r="Z1099" s="456"/>
      <c r="AA1099" s="456"/>
      <c r="AB1099" s="456"/>
      <c r="AC1099" s="456"/>
      <c r="AD1099" s="456"/>
      <c r="AE1099" s="456"/>
      <c r="AF1099" s="456"/>
      <c r="AG1099" s="456"/>
      <c r="AH1099" s="456"/>
      <c r="AI1099" s="456"/>
      <c r="AJ1099" s="456"/>
      <c r="AK1099" s="456"/>
    </row>
    <row r="1100" spans="1:45" ht="12.95" customHeight="1">
      <c r="A1100" s="1330" t="s">
        <v>591</v>
      </c>
      <c r="B1100" s="1330"/>
      <c r="C1100" s="1331">
        <v>10</v>
      </c>
      <c r="D1100" s="1331"/>
      <c r="E1100" s="1332" t="s">
        <v>2241</v>
      </c>
      <c r="F1100" s="1332"/>
      <c r="G1100" s="1332"/>
      <c r="H1100" s="1332"/>
      <c r="I1100" s="1332"/>
      <c r="J1100" s="1332"/>
      <c r="K1100" s="1332"/>
      <c r="L1100" s="1332"/>
      <c r="M1100" s="1332"/>
      <c r="N1100" s="1332"/>
      <c r="O1100" s="1332"/>
      <c r="P1100" s="1332"/>
      <c r="Q1100" s="1332"/>
      <c r="R1100" s="1332"/>
      <c r="S1100" s="1332"/>
      <c r="T1100" s="1332"/>
      <c r="U1100" s="1332"/>
      <c r="V1100" s="1332"/>
      <c r="W1100" s="1332"/>
      <c r="X1100" s="1332"/>
      <c r="Y1100" s="1332"/>
      <c r="Z1100" s="1332"/>
      <c r="AA1100" s="1332"/>
      <c r="AB1100" s="1332"/>
      <c r="AC1100" s="1332"/>
      <c r="AD1100" s="1332"/>
      <c r="AE1100" s="1332"/>
      <c r="AF1100" s="1332"/>
      <c r="AG1100" s="1332"/>
      <c r="AH1100" s="1332"/>
      <c r="AI1100" s="1332"/>
      <c r="AJ1100" s="1332"/>
      <c r="AK1100" s="1332"/>
      <c r="AL1100" s="1332"/>
      <c r="AM1100" s="1332"/>
      <c r="AN1100" s="1332"/>
      <c r="AO1100" s="1332"/>
      <c r="AP1100" s="1332"/>
      <c r="AQ1100" s="1332"/>
      <c r="AR1100" s="1332"/>
    </row>
    <row r="1101" spans="1:45" ht="12.95" customHeight="1">
      <c r="A1101" s="1"/>
      <c r="B1101" s="1"/>
      <c r="C1101" s="199"/>
      <c r="D1101" s="1163"/>
      <c r="E1101" s="1332"/>
      <c r="F1101" s="1332"/>
      <c r="G1101" s="1332"/>
      <c r="H1101" s="1332"/>
      <c r="I1101" s="1332"/>
      <c r="J1101" s="1332"/>
      <c r="K1101" s="1332"/>
      <c r="L1101" s="1332"/>
      <c r="M1101" s="1332"/>
      <c r="N1101" s="1332"/>
      <c r="O1101" s="1332"/>
      <c r="P1101" s="1332"/>
      <c r="Q1101" s="1332"/>
      <c r="R1101" s="1332"/>
      <c r="S1101" s="1332"/>
      <c r="T1101" s="1332"/>
      <c r="U1101" s="1332"/>
      <c r="V1101" s="1332"/>
      <c r="W1101" s="1332"/>
      <c r="X1101" s="1332"/>
      <c r="Y1101" s="1332"/>
      <c r="Z1101" s="1332"/>
      <c r="AA1101" s="1332"/>
      <c r="AB1101" s="1332"/>
      <c r="AC1101" s="1332"/>
      <c r="AD1101" s="1332"/>
      <c r="AE1101" s="1332"/>
      <c r="AF1101" s="1332"/>
      <c r="AG1101" s="1332"/>
      <c r="AH1101" s="1332"/>
      <c r="AI1101" s="1332"/>
      <c r="AJ1101" s="1332"/>
      <c r="AK1101" s="1332"/>
      <c r="AL1101" s="1332"/>
      <c r="AM1101" s="1332"/>
      <c r="AN1101" s="1332"/>
      <c r="AO1101" s="1332"/>
      <c r="AP1101" s="1332"/>
      <c r="AQ1101" s="1332"/>
      <c r="AR1101" s="1332"/>
    </row>
    <row r="1102" spans="1:45" ht="12.95" customHeight="1">
      <c r="A1102" s="1"/>
      <c r="B1102" s="1"/>
      <c r="C1102" s="199"/>
      <c r="D1102" s="1163"/>
      <c r="E1102" s="1163"/>
      <c r="F1102" s="1163"/>
      <c r="G1102" s="1163"/>
      <c r="H1102" s="1163"/>
      <c r="I1102" s="1163"/>
      <c r="J1102" s="1163"/>
      <c r="K1102" s="1163"/>
      <c r="L1102" s="1163"/>
      <c r="M1102" s="1163"/>
      <c r="N1102" s="1163"/>
      <c r="O1102" s="1163"/>
      <c r="P1102" s="1163"/>
      <c r="Q1102" s="1163"/>
      <c r="R1102" s="1163"/>
      <c r="S1102" s="1163"/>
      <c r="T1102" s="1163"/>
      <c r="U1102" s="1163"/>
      <c r="V1102" s="1163"/>
      <c r="W1102" s="1163"/>
      <c r="X1102" s="1163"/>
      <c r="Y1102" s="1163"/>
      <c r="Z1102" s="1163"/>
      <c r="AA1102" s="1163"/>
      <c r="AB1102" s="1163"/>
      <c r="AC1102" s="1163"/>
      <c r="AD1102" s="1163"/>
      <c r="AE1102" s="1163"/>
      <c r="AF1102" s="1163"/>
      <c r="AG1102" s="1163"/>
      <c r="AH1102" s="1163"/>
      <c r="AI1102" s="1163"/>
      <c r="AJ1102" s="1163"/>
      <c r="AK1102" s="1163"/>
    </row>
    <row r="1103" spans="1:45" ht="12.95" customHeight="1">
      <c r="A1103" s="1330" t="s">
        <v>591</v>
      </c>
      <c r="B1103" s="1330"/>
      <c r="C1103" s="1331">
        <v>11</v>
      </c>
      <c r="D1103" s="1331"/>
      <c r="E1103" s="1332" t="s">
        <v>2243</v>
      </c>
      <c r="F1103" s="1332"/>
      <c r="G1103" s="1332"/>
      <c r="H1103" s="1332"/>
      <c r="I1103" s="1332"/>
      <c r="J1103" s="1332"/>
      <c r="K1103" s="1332"/>
      <c r="L1103" s="1332"/>
      <c r="M1103" s="1332"/>
      <c r="N1103" s="1332"/>
      <c r="O1103" s="1332"/>
      <c r="P1103" s="1332"/>
      <c r="Q1103" s="1332"/>
      <c r="R1103" s="1332"/>
      <c r="S1103" s="1332"/>
      <c r="T1103" s="1332"/>
      <c r="U1103" s="1332"/>
      <c r="V1103" s="1332"/>
      <c r="W1103" s="1332"/>
      <c r="X1103" s="1332"/>
      <c r="Y1103" s="1332"/>
      <c r="Z1103" s="1332"/>
      <c r="AA1103" s="1332"/>
      <c r="AB1103" s="1332"/>
      <c r="AC1103" s="1332"/>
      <c r="AD1103" s="1332"/>
      <c r="AE1103" s="1332"/>
      <c r="AF1103" s="1332"/>
      <c r="AG1103" s="1332"/>
      <c r="AH1103" s="1332"/>
      <c r="AI1103" s="1332"/>
      <c r="AJ1103" s="1332"/>
      <c r="AK1103" s="1332"/>
      <c r="AL1103" s="1332"/>
      <c r="AM1103" s="1332"/>
      <c r="AN1103" s="1332"/>
      <c r="AO1103" s="1332"/>
      <c r="AP1103" s="1332"/>
      <c r="AQ1103" s="1332"/>
      <c r="AR1103" s="1332"/>
    </row>
    <row r="1104" spans="1:45" ht="12.95" customHeight="1">
      <c r="A1104" s="1"/>
      <c r="B1104" s="1"/>
      <c r="C1104" s="199"/>
      <c r="D1104" s="1163"/>
      <c r="E1104" s="1332"/>
      <c r="F1104" s="1332"/>
      <c r="G1104" s="1332"/>
      <c r="H1104" s="1332"/>
      <c r="I1104" s="1332"/>
      <c r="J1104" s="1332"/>
      <c r="K1104" s="1332"/>
      <c r="L1104" s="1332"/>
      <c r="M1104" s="1332"/>
      <c r="N1104" s="1332"/>
      <c r="O1104" s="1332"/>
      <c r="P1104" s="1332"/>
      <c r="Q1104" s="1332"/>
      <c r="R1104" s="1332"/>
      <c r="S1104" s="1332"/>
      <c r="T1104" s="1332"/>
      <c r="U1104" s="1332"/>
      <c r="V1104" s="1332"/>
      <c r="W1104" s="1332"/>
      <c r="X1104" s="1332"/>
      <c r="Y1104" s="1332"/>
      <c r="Z1104" s="1332"/>
      <c r="AA1104" s="1332"/>
      <c r="AB1104" s="1332"/>
      <c r="AC1104" s="1332"/>
      <c r="AD1104" s="1332"/>
      <c r="AE1104" s="1332"/>
      <c r="AF1104" s="1332"/>
      <c r="AG1104" s="1332"/>
      <c r="AH1104" s="1332"/>
      <c r="AI1104" s="1332"/>
      <c r="AJ1104" s="1332"/>
      <c r="AK1104" s="1332"/>
      <c r="AL1104" s="1332"/>
      <c r="AM1104" s="1332"/>
      <c r="AN1104" s="1332"/>
      <c r="AO1104" s="1332"/>
      <c r="AP1104" s="1332"/>
      <c r="AQ1104" s="1332"/>
      <c r="AR1104" s="1332"/>
    </row>
    <row r="1105" spans="1:37" ht="12.95" customHeight="1">
      <c r="A1105" s="1"/>
      <c r="B1105" s="1"/>
      <c r="C1105" s="199"/>
      <c r="D1105" s="1163"/>
      <c r="E1105" s="1163"/>
      <c r="F1105" s="1163"/>
      <c r="G1105" s="1163"/>
      <c r="H1105" s="1163"/>
      <c r="I1105" s="1163"/>
      <c r="J1105" s="1163"/>
      <c r="K1105" s="1163"/>
      <c r="L1105" s="1163"/>
      <c r="M1105" s="1163"/>
      <c r="N1105" s="1163"/>
      <c r="O1105" s="1163"/>
      <c r="P1105" s="1163"/>
      <c r="Q1105" s="1163"/>
      <c r="R1105" s="1163"/>
      <c r="S1105" s="1163"/>
      <c r="T1105" s="1163"/>
      <c r="U1105" s="1163"/>
      <c r="V1105" s="1163"/>
      <c r="W1105" s="1163"/>
      <c r="X1105" s="1163"/>
      <c r="Y1105" s="1163"/>
      <c r="Z1105" s="1163"/>
      <c r="AA1105" s="1163"/>
      <c r="AB1105" s="1163"/>
      <c r="AC1105" s="1163"/>
      <c r="AD1105" s="1163"/>
      <c r="AE1105" s="1163"/>
      <c r="AF1105" s="1163"/>
      <c r="AG1105" s="1163"/>
      <c r="AH1105" s="1163"/>
      <c r="AI1105" s="1163"/>
      <c r="AJ1105" s="1163"/>
      <c r="AK1105" s="1163"/>
    </row>
    <row r="1106" spans="1:37" ht="12.95" hidden="1" customHeight="1">
      <c r="A1106" s="1"/>
      <c r="B1106" s="1"/>
      <c r="C1106" s="199"/>
      <c r="D1106" s="1163"/>
      <c r="E1106" s="1163"/>
      <c r="F1106" s="1163"/>
      <c r="G1106" s="1163"/>
      <c r="H1106" s="1163"/>
      <c r="I1106" s="1163"/>
      <c r="J1106" s="1163"/>
      <c r="K1106" s="1163"/>
      <c r="L1106" s="1163"/>
      <c r="M1106" s="1163"/>
      <c r="N1106" s="1163"/>
      <c r="O1106" s="1163"/>
      <c r="P1106" s="1163"/>
      <c r="Q1106" s="1163"/>
      <c r="R1106" s="1163"/>
      <c r="S1106" s="1163"/>
      <c r="T1106" s="1163"/>
      <c r="U1106" s="1163"/>
      <c r="V1106" s="1163"/>
      <c r="W1106" s="1163"/>
      <c r="X1106" s="1163"/>
      <c r="Y1106" s="1163"/>
      <c r="Z1106" s="1163"/>
      <c r="AA1106" s="1163"/>
      <c r="AB1106" s="1163"/>
      <c r="AC1106" s="1163"/>
      <c r="AD1106" s="1163"/>
      <c r="AE1106" s="1163"/>
      <c r="AF1106" s="1163"/>
      <c r="AG1106" s="1163"/>
      <c r="AH1106" s="1163"/>
      <c r="AI1106" s="1163"/>
      <c r="AJ1106" s="1163"/>
      <c r="AK1106" s="1163"/>
    </row>
    <row r="1107" spans="1:37" ht="12.95" hidden="1" customHeight="1">
      <c r="A1107" s="1"/>
      <c r="B1107" s="1"/>
      <c r="C1107" s="199"/>
      <c r="D1107" s="1163"/>
      <c r="E1107" s="1163"/>
      <c r="F1107" s="1163"/>
      <c r="G1107" s="1163"/>
      <c r="H1107" s="1163"/>
      <c r="I1107" s="1163"/>
      <c r="J1107" s="1163"/>
      <c r="K1107" s="1163"/>
      <c r="L1107" s="1163"/>
      <c r="M1107" s="1163"/>
      <c r="N1107" s="1163"/>
      <c r="O1107" s="1163"/>
      <c r="P1107" s="1163"/>
      <c r="Q1107" s="1163"/>
      <c r="R1107" s="1163"/>
      <c r="S1107" s="1163"/>
      <c r="T1107" s="1163"/>
      <c r="U1107" s="1163"/>
      <c r="V1107" s="1163"/>
      <c r="W1107" s="1163"/>
      <c r="X1107" s="1163"/>
      <c r="Y1107" s="1163"/>
      <c r="Z1107" s="1163"/>
      <c r="AA1107" s="1163"/>
      <c r="AB1107" s="1163"/>
      <c r="AC1107" s="1163"/>
      <c r="AD1107" s="1163"/>
      <c r="AE1107" s="1163"/>
      <c r="AF1107" s="1163"/>
      <c r="AG1107" s="1163"/>
      <c r="AH1107" s="1163"/>
      <c r="AI1107" s="1163"/>
      <c r="AJ1107" s="1163"/>
      <c r="AK1107" s="1163"/>
    </row>
    <row r="1108" spans="1:37" ht="12.95" hidden="1" customHeight="1">
      <c r="A1108" s="1"/>
      <c r="B1108" s="1"/>
      <c r="C1108" s="199"/>
      <c r="D1108" s="1163"/>
      <c r="E1108" s="1163"/>
      <c r="F1108" s="1163"/>
      <c r="G1108" s="1163"/>
      <c r="H1108" s="1163"/>
      <c r="I1108" s="1163"/>
      <c r="J1108" s="1163"/>
      <c r="K1108" s="1163"/>
      <c r="L1108" s="1163"/>
      <c r="M1108" s="1163"/>
      <c r="N1108" s="1163"/>
      <c r="O1108" s="1163"/>
      <c r="P1108" s="1163"/>
      <c r="Q1108" s="1163"/>
      <c r="R1108" s="1163"/>
      <c r="S1108" s="1163"/>
      <c r="T1108" s="1163"/>
      <c r="U1108" s="1163"/>
      <c r="V1108" s="1163"/>
      <c r="W1108" s="1163"/>
      <c r="X1108" s="1163"/>
      <c r="Y1108" s="1163"/>
      <c r="Z1108" s="1163"/>
      <c r="AA1108" s="1163"/>
      <c r="AB1108" s="1163"/>
      <c r="AC1108" s="1163"/>
      <c r="AD1108" s="1163"/>
      <c r="AE1108" s="1163"/>
      <c r="AF1108" s="1163"/>
      <c r="AG1108" s="1163"/>
      <c r="AH1108" s="1163"/>
      <c r="AI1108" s="1163"/>
      <c r="AJ1108" s="1163"/>
      <c r="AK1108" s="1163"/>
    </row>
    <row r="1109" spans="1:37" ht="12.95" hidden="1" customHeight="1">
      <c r="A1109" s="1"/>
      <c r="B1109" s="1"/>
      <c r="C1109" s="199"/>
      <c r="D1109" s="1163"/>
      <c r="E1109" s="1163"/>
      <c r="F1109" s="1163"/>
      <c r="G1109" s="1163"/>
      <c r="H1109" s="1163"/>
      <c r="I1109" s="1163"/>
      <c r="J1109" s="1163"/>
      <c r="K1109" s="1163"/>
      <c r="L1109" s="1163"/>
      <c r="M1109" s="1163"/>
      <c r="N1109" s="1163"/>
      <c r="O1109" s="1163"/>
      <c r="P1109" s="1163"/>
      <c r="Q1109" s="1163"/>
      <c r="R1109" s="1163"/>
      <c r="S1109" s="1163"/>
      <c r="T1109" s="1163"/>
      <c r="U1109" s="1163"/>
      <c r="V1109" s="1163"/>
      <c r="W1109" s="1163"/>
      <c r="X1109" s="1163"/>
      <c r="Y1109" s="1163"/>
      <c r="Z1109" s="1163"/>
      <c r="AA1109" s="1163"/>
      <c r="AB1109" s="1163"/>
      <c r="AC1109" s="1163"/>
      <c r="AD1109" s="1163"/>
      <c r="AE1109" s="1163"/>
      <c r="AF1109" s="1163"/>
      <c r="AG1109" s="1163"/>
      <c r="AH1109" s="1163"/>
      <c r="AI1109" s="1163"/>
      <c r="AJ1109" s="1163"/>
      <c r="AK1109" s="1163"/>
    </row>
    <row r="1110" spans="1:37" ht="12.95" hidden="1" customHeight="1">
      <c r="A1110" s="1"/>
      <c r="B1110" s="1"/>
      <c r="C1110" s="199"/>
      <c r="D1110" s="1163"/>
      <c r="E1110" s="1163"/>
      <c r="F1110" s="1163"/>
      <c r="G1110" s="1163"/>
      <c r="H1110" s="1163"/>
      <c r="I1110" s="1163"/>
      <c r="J1110" s="1163"/>
      <c r="K1110" s="1163"/>
      <c r="L1110" s="1163"/>
      <c r="M1110" s="1163"/>
      <c r="N1110" s="1163"/>
      <c r="O1110" s="1163"/>
      <c r="P1110" s="1163"/>
      <c r="Q1110" s="1163"/>
      <c r="R1110" s="1163"/>
      <c r="S1110" s="1163"/>
      <c r="T1110" s="1163"/>
      <c r="U1110" s="1163"/>
      <c r="V1110" s="1163"/>
      <c r="W1110" s="1163"/>
      <c r="X1110" s="1163"/>
      <c r="Y1110" s="1163"/>
      <c r="Z1110" s="1163"/>
      <c r="AA1110" s="1163"/>
      <c r="AB1110" s="1163"/>
      <c r="AC1110" s="1163"/>
      <c r="AD1110" s="1163"/>
      <c r="AE1110" s="1163"/>
      <c r="AF1110" s="1163"/>
      <c r="AG1110" s="1163"/>
      <c r="AH1110" s="1163"/>
      <c r="AI1110" s="1163"/>
      <c r="AJ1110" s="1163"/>
      <c r="AK1110" s="1163"/>
    </row>
    <row r="1111" spans="1:37" ht="12.95" hidden="1" customHeight="1">
      <c r="A1111" s="1"/>
      <c r="B1111" s="1"/>
      <c r="C1111" s="199"/>
      <c r="D1111" s="1163"/>
      <c r="E1111" s="1163"/>
      <c r="F1111" s="1163"/>
      <c r="G1111" s="1163"/>
      <c r="H1111" s="1163"/>
      <c r="I1111" s="1163"/>
      <c r="J1111" s="1163"/>
      <c r="K1111" s="1163"/>
      <c r="L1111" s="1163"/>
      <c r="M1111" s="1163"/>
      <c r="N1111" s="1163"/>
      <c r="O1111" s="1163"/>
      <c r="P1111" s="1163"/>
      <c r="Q1111" s="1163"/>
      <c r="R1111" s="1163"/>
      <c r="S1111" s="1163"/>
      <c r="T1111" s="1163"/>
      <c r="U1111" s="1163"/>
      <c r="V1111" s="1163"/>
      <c r="W1111" s="1163"/>
      <c r="X1111" s="1163"/>
      <c r="Y1111" s="1163"/>
      <c r="Z1111" s="1163"/>
      <c r="AA1111" s="1163"/>
      <c r="AB1111" s="1163"/>
      <c r="AC1111" s="1163"/>
      <c r="AD1111" s="1163"/>
      <c r="AE1111" s="1163"/>
      <c r="AF1111" s="1163"/>
      <c r="AG1111" s="1163"/>
      <c r="AH1111" s="1163"/>
      <c r="AI1111" s="1163"/>
      <c r="AJ1111" s="1163"/>
      <c r="AK1111" s="1163"/>
    </row>
    <row r="1112" spans="1:37" ht="12.95" hidden="1" customHeight="1">
      <c r="A1112" s="1"/>
      <c r="B1112" s="1"/>
      <c r="C1112" s="199"/>
      <c r="D1112" s="1163"/>
      <c r="E1112" s="1163"/>
      <c r="F1112" s="1163"/>
      <c r="G1112" s="1163"/>
      <c r="H1112" s="1163"/>
      <c r="I1112" s="1163"/>
      <c r="J1112" s="1163"/>
      <c r="K1112" s="1163"/>
      <c r="L1112" s="1163"/>
      <c r="M1112" s="1163"/>
      <c r="N1112" s="1163"/>
      <c r="O1112" s="1163"/>
      <c r="P1112" s="1163"/>
      <c r="Q1112" s="1163"/>
      <c r="R1112" s="1163"/>
      <c r="S1112" s="1163"/>
      <c r="T1112" s="1163"/>
      <c r="U1112" s="1163"/>
      <c r="V1112" s="1163"/>
      <c r="W1112" s="1163"/>
      <c r="X1112" s="1163"/>
      <c r="Y1112" s="1163"/>
      <c r="Z1112" s="1163"/>
      <c r="AA1112" s="1163"/>
      <c r="AB1112" s="1163"/>
      <c r="AC1112" s="1163"/>
      <c r="AD1112" s="1163"/>
      <c r="AE1112" s="1163"/>
      <c r="AF1112" s="1163"/>
      <c r="AG1112" s="1163"/>
      <c r="AH1112" s="1163"/>
      <c r="AI1112" s="1163"/>
      <c r="AJ1112" s="1163"/>
      <c r="AK1112" s="1163"/>
    </row>
    <row r="1113" spans="1:37" ht="12.95" hidden="1" customHeight="1">
      <c r="A1113" s="1"/>
      <c r="B1113" s="1"/>
      <c r="C1113" s="199"/>
      <c r="D1113" s="1163"/>
      <c r="E1113" s="1163"/>
      <c r="F1113" s="1163"/>
      <c r="G1113" s="1163"/>
      <c r="H1113" s="1163"/>
      <c r="I1113" s="1163"/>
      <c r="J1113" s="1163"/>
      <c r="K1113" s="1163"/>
      <c r="L1113" s="1163"/>
      <c r="M1113" s="1163"/>
      <c r="N1113" s="1163"/>
      <c r="O1113" s="1163"/>
      <c r="P1113" s="1163"/>
      <c r="Q1113" s="1163"/>
      <c r="R1113" s="1163"/>
      <c r="S1113" s="1163"/>
      <c r="T1113" s="1163"/>
      <c r="U1113" s="1163"/>
      <c r="V1113" s="1163"/>
      <c r="W1113" s="1163"/>
      <c r="X1113" s="1163"/>
      <c r="Y1113" s="1163"/>
      <c r="Z1113" s="1163"/>
      <c r="AA1113" s="1163"/>
      <c r="AB1113" s="1163"/>
      <c r="AC1113" s="1163"/>
      <c r="AD1113" s="1163"/>
      <c r="AE1113" s="1163"/>
      <c r="AF1113" s="1163"/>
      <c r="AG1113" s="1163"/>
      <c r="AH1113" s="1163"/>
      <c r="AI1113" s="1163"/>
      <c r="AJ1113" s="1163"/>
      <c r="AK1113" s="1163"/>
    </row>
    <row r="1114" spans="1:37" ht="12.95" hidden="1" customHeight="1">
      <c r="A1114" s="1"/>
      <c r="B1114" s="1"/>
      <c r="C1114" s="199"/>
      <c r="D1114" s="1163"/>
      <c r="E1114" s="1163"/>
      <c r="F1114" s="1163"/>
      <c r="G1114" s="1163"/>
      <c r="H1114" s="1163"/>
      <c r="I1114" s="1163"/>
      <c r="J1114" s="1163"/>
      <c r="K1114" s="1163"/>
      <c r="L1114" s="1163"/>
      <c r="M1114" s="1163"/>
      <c r="N1114" s="1163"/>
      <c r="O1114" s="1163"/>
      <c r="P1114" s="1163"/>
      <c r="Q1114" s="1163"/>
      <c r="R1114" s="1163"/>
      <c r="S1114" s="1163"/>
      <c r="T1114" s="1163"/>
      <c r="U1114" s="1163"/>
      <c r="V1114" s="1163"/>
      <c r="W1114" s="1163"/>
      <c r="X1114" s="1163"/>
      <c r="Y1114" s="1163"/>
      <c r="Z1114" s="1163"/>
      <c r="AA1114" s="1163"/>
      <c r="AB1114" s="1163"/>
      <c r="AC1114" s="1163"/>
      <c r="AD1114" s="1163"/>
      <c r="AE1114" s="1163"/>
      <c r="AF1114" s="1163"/>
      <c r="AG1114" s="1163"/>
      <c r="AH1114" s="1163"/>
      <c r="AI1114" s="1163"/>
      <c r="AJ1114" s="1163"/>
      <c r="AK1114" s="1163"/>
    </row>
    <row r="1115" spans="1:37" ht="12.95" hidden="1" customHeight="1">
      <c r="A1115" s="1"/>
      <c r="B1115" s="1"/>
      <c r="C1115" s="199"/>
      <c r="D1115" s="1163"/>
      <c r="E1115" s="1163"/>
      <c r="F1115" s="1163"/>
      <c r="G1115" s="1163"/>
      <c r="H1115" s="1163"/>
      <c r="I1115" s="1163"/>
      <c r="J1115" s="1163"/>
      <c r="K1115" s="1163"/>
      <c r="L1115" s="1163"/>
      <c r="M1115" s="1163"/>
      <c r="N1115" s="1163"/>
      <c r="O1115" s="1163"/>
      <c r="P1115" s="1163"/>
      <c r="Q1115" s="1163"/>
      <c r="R1115" s="1163"/>
      <c r="S1115" s="1163"/>
      <c r="T1115" s="1163"/>
      <c r="U1115" s="1163"/>
      <c r="V1115" s="1163"/>
      <c r="W1115" s="1163"/>
      <c r="X1115" s="1163"/>
      <c r="Y1115" s="1163"/>
      <c r="Z1115" s="1163"/>
      <c r="AA1115" s="1163"/>
      <c r="AB1115" s="1163"/>
      <c r="AC1115" s="1163"/>
      <c r="AD1115" s="1163"/>
      <c r="AE1115" s="1163"/>
      <c r="AF1115" s="1163"/>
      <c r="AG1115" s="1163"/>
      <c r="AH1115" s="1163"/>
      <c r="AI1115" s="1163"/>
      <c r="AJ1115" s="1163"/>
      <c r="AK1115" s="1163"/>
    </row>
    <row r="1116" spans="1:37" ht="12.95" hidden="1" customHeight="1">
      <c r="A1116" s="1"/>
      <c r="B1116" s="1"/>
      <c r="C1116" s="199"/>
      <c r="D1116" s="1163"/>
      <c r="E1116" s="1163"/>
      <c r="F1116" s="1163"/>
      <c r="G1116" s="1163"/>
      <c r="H1116" s="1163"/>
      <c r="I1116" s="1163"/>
      <c r="J1116" s="1163"/>
      <c r="K1116" s="1163"/>
      <c r="L1116" s="1163"/>
      <c r="M1116" s="1163"/>
      <c r="N1116" s="1163"/>
      <c r="O1116" s="1163"/>
      <c r="P1116" s="1163"/>
      <c r="Q1116" s="1163"/>
      <c r="R1116" s="1163"/>
      <c r="S1116" s="1163"/>
      <c r="T1116" s="1163"/>
      <c r="U1116" s="1163"/>
      <c r="V1116" s="1163"/>
      <c r="W1116" s="1163"/>
      <c r="X1116" s="1163"/>
      <c r="Y1116" s="1163"/>
      <c r="Z1116" s="1163"/>
      <c r="AA1116" s="1163"/>
      <c r="AB1116" s="1163"/>
      <c r="AC1116" s="1163"/>
      <c r="AD1116" s="1163"/>
      <c r="AE1116" s="1163"/>
      <c r="AF1116" s="1163"/>
      <c r="AG1116" s="1163"/>
      <c r="AH1116" s="1163"/>
      <c r="AI1116" s="1163"/>
      <c r="AJ1116" s="1163"/>
      <c r="AK1116" s="1163"/>
    </row>
    <row r="1117" spans="1:37" ht="12.95" hidden="1" customHeight="1">
      <c r="A1117" s="1"/>
      <c r="B1117" s="1"/>
      <c r="C1117" s="199"/>
      <c r="D1117" s="1163"/>
      <c r="E1117" s="1163"/>
      <c r="F1117" s="1163"/>
      <c r="G1117" s="1163"/>
      <c r="H1117" s="1163"/>
      <c r="I1117" s="1163"/>
      <c r="J1117" s="1163"/>
      <c r="K1117" s="1163"/>
      <c r="L1117" s="1163"/>
      <c r="M1117" s="1163"/>
      <c r="N1117" s="1163"/>
      <c r="O1117" s="1163"/>
      <c r="P1117" s="1163"/>
      <c r="Q1117" s="1163"/>
      <c r="R1117" s="1163"/>
      <c r="S1117" s="1163"/>
      <c r="T1117" s="1163"/>
      <c r="U1117" s="1163"/>
      <c r="V1117" s="1163"/>
      <c r="W1117" s="1163"/>
      <c r="X1117" s="1163"/>
      <c r="Y1117" s="1163"/>
      <c r="Z1117" s="1163"/>
      <c r="AA1117" s="1163"/>
      <c r="AB1117" s="1163"/>
      <c r="AC1117" s="1163"/>
      <c r="AD1117" s="1163"/>
      <c r="AE1117" s="1163"/>
      <c r="AF1117" s="1163"/>
      <c r="AG1117" s="1163"/>
      <c r="AH1117" s="1163"/>
      <c r="AI1117" s="1163"/>
      <c r="AJ1117" s="1163"/>
      <c r="AK1117" s="1163"/>
    </row>
    <row r="1118" spans="1:37" ht="12.95" hidden="1" customHeight="1">
      <c r="A1118" s="1"/>
      <c r="B1118" s="1"/>
      <c r="C1118" s="199"/>
      <c r="D1118" s="1163"/>
      <c r="E1118" s="1163"/>
      <c r="F1118" s="1163"/>
      <c r="G1118" s="1163"/>
      <c r="H1118" s="1163"/>
      <c r="I1118" s="1163"/>
      <c r="J1118" s="1163"/>
      <c r="K1118" s="1163"/>
      <c r="L1118" s="1163"/>
      <c r="M1118" s="1163"/>
      <c r="N1118" s="1163"/>
      <c r="O1118" s="1163"/>
      <c r="P1118" s="1163"/>
      <c r="Q1118" s="1163"/>
      <c r="R1118" s="1163"/>
      <c r="S1118" s="1163"/>
      <c r="T1118" s="1163"/>
      <c r="U1118" s="1163"/>
      <c r="V1118" s="1163"/>
      <c r="W1118" s="1163"/>
      <c r="X1118" s="1163"/>
      <c r="Y1118" s="1163"/>
      <c r="Z1118" s="1163"/>
      <c r="AA1118" s="1163"/>
      <c r="AB1118" s="1163"/>
      <c r="AC1118" s="1163"/>
      <c r="AD1118" s="1163"/>
      <c r="AE1118" s="1163"/>
      <c r="AF1118" s="1163"/>
      <c r="AG1118" s="1163"/>
      <c r="AH1118" s="1163"/>
      <c r="AI1118" s="1163"/>
      <c r="AJ1118" s="1163"/>
      <c r="AK1118" s="1163"/>
    </row>
    <row r="1119" spans="1:37" ht="12.95" hidden="1" customHeight="1">
      <c r="A1119" s="1"/>
      <c r="B1119" s="1"/>
      <c r="C1119" s="199"/>
      <c r="D1119" s="1163"/>
      <c r="E1119" s="1163"/>
      <c r="F1119" s="1163"/>
      <c r="G1119" s="1163"/>
      <c r="H1119" s="1163"/>
      <c r="I1119" s="1163"/>
      <c r="J1119" s="1163"/>
      <c r="K1119" s="1163"/>
      <c r="L1119" s="1163"/>
      <c r="M1119" s="1163"/>
      <c r="N1119" s="1163"/>
      <c r="O1119" s="1163"/>
      <c r="P1119" s="1163"/>
      <c r="Q1119" s="1163"/>
      <c r="R1119" s="1163"/>
      <c r="S1119" s="1163"/>
      <c r="T1119" s="1163"/>
      <c r="U1119" s="1163"/>
      <c r="V1119" s="1163"/>
      <c r="W1119" s="1163"/>
      <c r="X1119" s="1163"/>
      <c r="Y1119" s="1163"/>
      <c r="Z1119" s="1163"/>
      <c r="AA1119" s="1163"/>
      <c r="AB1119" s="1163"/>
      <c r="AC1119" s="1163"/>
      <c r="AD1119" s="1163"/>
      <c r="AE1119" s="1163"/>
      <c r="AF1119" s="1163"/>
      <c r="AG1119" s="1163"/>
      <c r="AH1119" s="1163"/>
      <c r="AI1119" s="1163"/>
      <c r="AJ1119" s="1163"/>
      <c r="AK1119" s="1163"/>
    </row>
    <row r="1120" spans="1:37" ht="12.95" hidden="1" customHeight="1">
      <c r="A1120" s="1"/>
      <c r="B1120" s="1"/>
      <c r="C1120" s="199"/>
      <c r="D1120" s="1163"/>
      <c r="E1120" s="1163"/>
      <c r="F1120" s="1163"/>
      <c r="G1120" s="1163"/>
      <c r="H1120" s="1163"/>
      <c r="I1120" s="1163"/>
      <c r="J1120" s="1163"/>
      <c r="K1120" s="1163"/>
      <c r="L1120" s="1163"/>
      <c r="M1120" s="1163"/>
      <c r="N1120" s="1163"/>
      <c r="O1120" s="1163"/>
      <c r="P1120" s="1163"/>
      <c r="Q1120" s="1163"/>
      <c r="R1120" s="1163"/>
      <c r="S1120" s="1163"/>
      <c r="T1120" s="1163"/>
      <c r="U1120" s="1163"/>
      <c r="V1120" s="1163"/>
      <c r="W1120" s="1163"/>
      <c r="X1120" s="1163"/>
      <c r="Y1120" s="1163"/>
      <c r="Z1120" s="1163"/>
      <c r="AA1120" s="1163"/>
      <c r="AB1120" s="1163"/>
      <c r="AC1120" s="1163"/>
      <c r="AD1120" s="1163"/>
      <c r="AE1120" s="1163"/>
      <c r="AF1120" s="1163"/>
      <c r="AG1120" s="1163"/>
      <c r="AH1120" s="1163"/>
      <c r="AI1120" s="1163"/>
      <c r="AJ1120" s="1163"/>
      <c r="AK1120" s="1163"/>
    </row>
    <row r="1121" spans="1:37" ht="12.95" hidden="1" customHeight="1">
      <c r="A1121" s="1"/>
      <c r="B1121" s="1"/>
      <c r="C1121" s="199"/>
      <c r="D1121" s="1163"/>
      <c r="E1121" s="1163"/>
      <c r="F1121" s="1163"/>
      <c r="G1121" s="1163"/>
      <c r="H1121" s="1163"/>
      <c r="I1121" s="1163"/>
      <c r="J1121" s="1163"/>
      <c r="K1121" s="1163"/>
      <c r="L1121" s="1163"/>
      <c r="M1121" s="1163"/>
      <c r="N1121" s="1163"/>
      <c r="O1121" s="1163"/>
      <c r="P1121" s="1163"/>
      <c r="Q1121" s="1163"/>
      <c r="R1121" s="1163"/>
      <c r="S1121" s="1163"/>
      <c r="T1121" s="1163"/>
      <c r="U1121" s="1163"/>
      <c r="V1121" s="1163"/>
      <c r="W1121" s="1163"/>
      <c r="X1121" s="1163"/>
      <c r="Y1121" s="1163"/>
      <c r="Z1121" s="1163"/>
      <c r="AA1121" s="1163"/>
      <c r="AB1121" s="1163"/>
      <c r="AC1121" s="1163"/>
      <c r="AD1121" s="1163"/>
      <c r="AE1121" s="1163"/>
      <c r="AF1121" s="1163"/>
      <c r="AG1121" s="1163"/>
      <c r="AH1121" s="1163"/>
      <c r="AI1121" s="1163"/>
      <c r="AJ1121" s="1163"/>
      <c r="AK1121" s="1163"/>
    </row>
    <row r="1122" spans="1:37" ht="12.95" hidden="1" customHeight="1">
      <c r="A1122" s="1"/>
      <c r="B1122" s="1"/>
      <c r="C1122" s="199"/>
      <c r="D1122" s="1163"/>
      <c r="E1122" s="1163"/>
      <c r="F1122" s="1163"/>
      <c r="G1122" s="1163"/>
      <c r="H1122" s="1163"/>
      <c r="I1122" s="1163"/>
      <c r="J1122" s="1163"/>
      <c r="K1122" s="1163"/>
      <c r="L1122" s="1163"/>
      <c r="M1122" s="1163"/>
      <c r="N1122" s="1163"/>
      <c r="O1122" s="1163"/>
      <c r="P1122" s="1163"/>
      <c r="Q1122" s="1163"/>
      <c r="R1122" s="1163"/>
      <c r="S1122" s="1163"/>
      <c r="T1122" s="1163"/>
      <c r="U1122" s="1163"/>
      <c r="V1122" s="1163"/>
      <c r="W1122" s="1163"/>
      <c r="X1122" s="1163"/>
      <c r="Y1122" s="1163"/>
      <c r="Z1122" s="1163"/>
      <c r="AA1122" s="1163"/>
      <c r="AB1122" s="1163"/>
      <c r="AC1122" s="1163"/>
      <c r="AD1122" s="1163"/>
      <c r="AE1122" s="1163"/>
      <c r="AF1122" s="1163"/>
      <c r="AG1122" s="1163"/>
      <c r="AH1122" s="1163"/>
      <c r="AI1122" s="1163"/>
      <c r="AJ1122" s="1163"/>
      <c r="AK1122" s="1163"/>
    </row>
    <row r="1123" spans="1:37" ht="0" hidden="1" customHeight="1">
      <c r="A1123" s="1"/>
      <c r="B1123" s="1"/>
      <c r="C1123" s="199"/>
      <c r="D1123" s="1163"/>
      <c r="E1123" s="1163"/>
      <c r="F1123" s="1163"/>
      <c r="G1123" s="1163"/>
      <c r="H1123" s="1163"/>
      <c r="I1123" s="1163"/>
      <c r="J1123" s="1163"/>
      <c r="K1123" s="1163"/>
      <c r="L1123" s="1163"/>
      <c r="M1123" s="1163"/>
      <c r="N1123" s="1163"/>
      <c r="O1123" s="1163"/>
      <c r="P1123" s="1163"/>
      <c r="Q1123" s="1163"/>
      <c r="R1123" s="1163"/>
      <c r="S1123" s="1163"/>
      <c r="T1123" s="1163"/>
      <c r="U1123" s="1163"/>
      <c r="V1123" s="1163"/>
      <c r="W1123" s="1163"/>
      <c r="X1123" s="1163"/>
      <c r="Y1123" s="1163"/>
      <c r="Z1123" s="1163"/>
      <c r="AA1123" s="1163"/>
      <c r="AB1123" s="1163"/>
      <c r="AC1123" s="1163"/>
      <c r="AD1123" s="1163"/>
      <c r="AE1123" s="1163"/>
      <c r="AF1123" s="1163"/>
      <c r="AG1123" s="1163"/>
      <c r="AH1123" s="1163"/>
      <c r="AI1123" s="1163"/>
      <c r="AJ1123" s="1163"/>
      <c r="AK1123" s="1163"/>
    </row>
    <row r="1124" spans="1:37" ht="0" hidden="1" customHeight="1">
      <c r="A1124" s="35"/>
      <c r="B1124" s="25"/>
      <c r="C1124" s="199"/>
      <c r="D1124" s="1163"/>
      <c r="E1124" s="1163"/>
      <c r="F1124" s="1163"/>
      <c r="G1124" s="1163"/>
      <c r="H1124" s="1163"/>
      <c r="I1124" s="1163"/>
      <c r="J1124" s="1163"/>
      <c r="K1124" s="1163"/>
      <c r="L1124" s="1163"/>
      <c r="M1124" s="1163"/>
      <c r="N1124" s="1163"/>
      <c r="O1124" s="1163"/>
      <c r="P1124" s="1163"/>
      <c r="Q1124" s="1163"/>
      <c r="R1124" s="1163"/>
      <c r="S1124" s="1163"/>
      <c r="T1124" s="1163"/>
      <c r="U1124" s="1163"/>
      <c r="V1124" s="1163"/>
      <c r="W1124" s="1163"/>
      <c r="X1124" s="1163"/>
      <c r="Y1124" s="1163"/>
      <c r="Z1124" s="1163"/>
      <c r="AA1124" s="1163"/>
      <c r="AB1124" s="1163"/>
      <c r="AC1124" s="1163"/>
      <c r="AD1124" s="1163"/>
      <c r="AE1124" s="1163"/>
      <c r="AF1124" s="1163"/>
      <c r="AG1124" s="1163"/>
      <c r="AH1124" s="1163"/>
      <c r="AI1124" s="1163"/>
      <c r="AJ1124" s="1163"/>
      <c r="AK1124" s="1163"/>
    </row>
    <row r="1125" spans="1:37" ht="0" hidden="1" customHeight="1">
      <c r="A1125" s="1330" t="s">
        <v>591</v>
      </c>
      <c r="B1125" s="1330"/>
      <c r="C1125" s="199">
        <v>9</v>
      </c>
      <c r="D1125" s="1260" t="s">
        <v>1073</v>
      </c>
      <c r="E1125" s="1260"/>
      <c r="F1125" s="1260"/>
      <c r="G1125" s="1260"/>
      <c r="H1125" s="1260"/>
      <c r="I1125" s="1260"/>
      <c r="J1125" s="1260"/>
      <c r="K1125" s="1260"/>
      <c r="L1125" s="1260"/>
      <c r="M1125" s="1260"/>
      <c r="N1125" s="1260"/>
      <c r="O1125" s="1260"/>
      <c r="P1125" s="1260"/>
      <c r="Q1125" s="1260"/>
      <c r="R1125" s="1260"/>
      <c r="S1125" s="1260"/>
      <c r="T1125" s="1260"/>
      <c r="U1125" s="1260"/>
      <c r="V1125" s="1260"/>
      <c r="W1125" s="1260"/>
      <c r="X1125" s="1260"/>
      <c r="Y1125" s="1260"/>
      <c r="Z1125" s="1260"/>
      <c r="AA1125" s="1260"/>
      <c r="AB1125" s="1260"/>
      <c r="AC1125" s="1260"/>
      <c r="AD1125" s="1260"/>
      <c r="AE1125" s="1260"/>
      <c r="AF1125" s="1260"/>
      <c r="AG1125" s="1260"/>
      <c r="AH1125" s="1260"/>
      <c r="AI1125" s="1260"/>
      <c r="AJ1125" s="1260"/>
      <c r="AK1125" s="1260"/>
    </row>
    <row r="1126" spans="1:37" ht="0" hidden="1" customHeight="1">
      <c r="A1126" s="35"/>
      <c r="B1126" s="25"/>
      <c r="C1126" s="199"/>
      <c r="D1126" s="1260"/>
      <c r="E1126" s="1260"/>
      <c r="F1126" s="1260"/>
      <c r="G1126" s="1260"/>
      <c r="H1126" s="1260"/>
      <c r="I1126" s="1260"/>
      <c r="J1126" s="1260"/>
      <c r="K1126" s="1260"/>
      <c r="L1126" s="1260"/>
      <c r="M1126" s="1260"/>
      <c r="N1126" s="1260"/>
      <c r="O1126" s="1260"/>
      <c r="P1126" s="1260"/>
      <c r="Q1126" s="1260"/>
      <c r="R1126" s="1260"/>
      <c r="S1126" s="1260"/>
      <c r="T1126" s="1260"/>
      <c r="U1126" s="1260"/>
      <c r="V1126" s="1260"/>
      <c r="W1126" s="1260"/>
      <c r="X1126" s="1260"/>
      <c r="Y1126" s="1260"/>
      <c r="Z1126" s="1260"/>
      <c r="AA1126" s="1260"/>
      <c r="AB1126" s="1260"/>
      <c r="AC1126" s="1260"/>
      <c r="AD1126" s="1260"/>
      <c r="AE1126" s="1260"/>
      <c r="AF1126" s="1260"/>
      <c r="AG1126" s="1260"/>
      <c r="AH1126" s="1260"/>
      <c r="AI1126" s="1260"/>
      <c r="AJ1126" s="1260"/>
      <c r="AK1126" s="1260"/>
    </row>
    <row r="1127" spans="1:37" ht="0" hidden="1" customHeight="1">
      <c r="D1127" s="1260"/>
      <c r="E1127" s="1260"/>
      <c r="F1127" s="1260"/>
      <c r="G1127" s="1260"/>
      <c r="H1127" s="1260"/>
      <c r="I1127" s="1260"/>
      <c r="J1127" s="1260"/>
      <c r="K1127" s="1260"/>
      <c r="L1127" s="1260"/>
      <c r="M1127" s="1260"/>
      <c r="N1127" s="1260"/>
      <c r="O1127" s="1260"/>
      <c r="P1127" s="1260"/>
      <c r="Q1127" s="1260"/>
      <c r="R1127" s="1260"/>
      <c r="S1127" s="1260"/>
      <c r="T1127" s="1260"/>
      <c r="U1127" s="1260"/>
      <c r="V1127" s="1260"/>
      <c r="W1127" s="1260"/>
      <c r="X1127" s="1260"/>
      <c r="Y1127" s="1260"/>
      <c r="Z1127" s="1260"/>
      <c r="AA1127" s="1260"/>
      <c r="AB1127" s="1260"/>
      <c r="AC1127" s="1260"/>
      <c r="AD1127" s="1260"/>
      <c r="AE1127" s="1260"/>
      <c r="AF1127" s="1260"/>
      <c r="AG1127" s="1260"/>
      <c r="AH1127" s="1260"/>
      <c r="AI1127" s="1260"/>
      <c r="AJ1127" s="1260"/>
      <c r="AK1127" s="1260"/>
    </row>
    <row r="1137" ht="15" hidden="1" customHeight="1"/>
    <row r="2017" ht="9.9499999999999993" hidden="1" customHeight="1"/>
  </sheetData>
  <sheetProtection algorithmName="SHA-512" hashValue="fRifwatxOWk0bF3zLgCqFzKmVVX9Hcc/2Pz9lbWPU8fvCrBguP9yoQXBqyN77ZsvjxPm4gqc600/UTfXM5mL0Q==" saltValue="qD1cEgTHThDWDgTiXFL/sw=="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80">
    <mergeCell ref="EO796:ES796"/>
    <mergeCell ref="DU797:DY797"/>
    <mergeCell ref="EJ788:EN788"/>
    <mergeCell ref="EJ789:EN789"/>
    <mergeCell ref="EJ790:EN790"/>
    <mergeCell ref="EJ791:EN791"/>
    <mergeCell ref="EJ792:EN792"/>
    <mergeCell ref="EJ793:EN793"/>
    <mergeCell ref="EJ794:EN794"/>
    <mergeCell ref="EJ795:EN795"/>
    <mergeCell ref="EJ796:EN796"/>
    <mergeCell ref="EJ797:EN797"/>
    <mergeCell ref="EO787:ES787"/>
    <mergeCell ref="AC892:AH892"/>
    <mergeCell ref="EE787:EI787"/>
    <mergeCell ref="EE788:EI788"/>
    <mergeCell ref="EE789:EI789"/>
    <mergeCell ref="EE790:EI790"/>
    <mergeCell ref="EE791:EI791"/>
    <mergeCell ref="EE792:EI792"/>
    <mergeCell ref="EE793:EI793"/>
    <mergeCell ref="EE794:EI794"/>
    <mergeCell ref="EE795:EI795"/>
    <mergeCell ref="EE796:EI796"/>
    <mergeCell ref="EE797:EI797"/>
    <mergeCell ref="EO788:ES788"/>
    <mergeCell ref="EO789:ES789"/>
    <mergeCell ref="EO790:ES790"/>
    <mergeCell ref="EO791:ES791"/>
    <mergeCell ref="EO792:ES792"/>
    <mergeCell ref="EO793:ES793"/>
    <mergeCell ref="EO794:ES794"/>
    <mergeCell ref="EO795:ES795"/>
    <mergeCell ref="DO792:DS792"/>
    <mergeCell ref="AA1056:AF1056"/>
    <mergeCell ref="AA1057:AF1057"/>
    <mergeCell ref="G1058:AN1060"/>
    <mergeCell ref="ET787:EX787"/>
    <mergeCell ref="ET788:EX788"/>
    <mergeCell ref="ET789:EX789"/>
    <mergeCell ref="ET790:EX790"/>
    <mergeCell ref="ET791:EX791"/>
    <mergeCell ref="ET792:EX792"/>
    <mergeCell ref="ET793:EX793"/>
    <mergeCell ref="ET794:EX794"/>
    <mergeCell ref="ET795:EX795"/>
    <mergeCell ref="ET796:EX796"/>
    <mergeCell ref="ET797:EX797"/>
    <mergeCell ref="ET799:EX799"/>
    <mergeCell ref="CU802:CY802"/>
    <mergeCell ref="CZ802:DD802"/>
    <mergeCell ref="DE802:DI802"/>
    <mergeCell ref="DJ802:DN802"/>
    <mergeCell ref="DO802:DS802"/>
    <mergeCell ref="EJ787:EN787"/>
    <mergeCell ref="DU787:DY787"/>
    <mergeCell ref="DU788:DY788"/>
    <mergeCell ref="DU789:DY789"/>
    <mergeCell ref="DU790:DY790"/>
    <mergeCell ref="DU791:DY791"/>
    <mergeCell ref="DU792:DY792"/>
    <mergeCell ref="DU793:DY793"/>
    <mergeCell ref="DU794:DY794"/>
    <mergeCell ref="DU795:DY795"/>
    <mergeCell ref="DU796:DY796"/>
    <mergeCell ref="DE789:DI789"/>
    <mergeCell ref="EO797:ES797"/>
    <mergeCell ref="DZ787:ED787"/>
    <mergeCell ref="DZ788:ED788"/>
    <mergeCell ref="DZ789:ED789"/>
    <mergeCell ref="DZ790:ED790"/>
    <mergeCell ref="DZ791:ED791"/>
    <mergeCell ref="DZ792:ED792"/>
    <mergeCell ref="DZ793:ED793"/>
    <mergeCell ref="DZ794:ED794"/>
    <mergeCell ref="DZ795:ED795"/>
    <mergeCell ref="DZ796:ED796"/>
    <mergeCell ref="DZ797:ED797"/>
    <mergeCell ref="DE795:DI795"/>
    <mergeCell ref="DE796:DI796"/>
    <mergeCell ref="DE797:DI797"/>
    <mergeCell ref="DJ787:DN787"/>
    <mergeCell ref="DJ788:DN788"/>
    <mergeCell ref="DJ789:DN789"/>
    <mergeCell ref="DJ790:DN790"/>
    <mergeCell ref="DJ791:DN791"/>
    <mergeCell ref="DJ792:DN792"/>
    <mergeCell ref="DJ793:DN793"/>
    <mergeCell ref="DJ794:DN794"/>
    <mergeCell ref="DJ795:DN795"/>
    <mergeCell ref="DJ796:DN796"/>
    <mergeCell ref="DJ797:DN797"/>
    <mergeCell ref="DO787:DS787"/>
    <mergeCell ref="DO788:DS788"/>
    <mergeCell ref="DO789:DS789"/>
    <mergeCell ref="DO790:DS790"/>
    <mergeCell ref="DO791:DS791"/>
    <mergeCell ref="CI752:CJ752"/>
    <mergeCell ref="DO793:DS793"/>
    <mergeCell ref="DO794:DS794"/>
    <mergeCell ref="DO795:DS795"/>
    <mergeCell ref="DO796:DS796"/>
    <mergeCell ref="DO797:DS797"/>
    <mergeCell ref="DE718:DI718"/>
    <mergeCell ref="CK718:CL718"/>
    <mergeCell ref="CU787:CY787"/>
    <mergeCell ref="CU788:CY788"/>
    <mergeCell ref="CU789:CY789"/>
    <mergeCell ref="CU790:CY790"/>
    <mergeCell ref="CU791:CY791"/>
    <mergeCell ref="CU792:CY792"/>
    <mergeCell ref="CU793:CY793"/>
    <mergeCell ref="CU794:CY794"/>
    <mergeCell ref="CU795:CY795"/>
    <mergeCell ref="CU796:CY796"/>
    <mergeCell ref="CU797:CY797"/>
    <mergeCell ref="CZ787:DD787"/>
    <mergeCell ref="CZ788:DD788"/>
    <mergeCell ref="CZ789:DD789"/>
    <mergeCell ref="CZ790:DD790"/>
    <mergeCell ref="CZ791:DD791"/>
    <mergeCell ref="CZ792:DD792"/>
    <mergeCell ref="CZ793:DD793"/>
    <mergeCell ref="CZ794:DD794"/>
    <mergeCell ref="CZ795:DD795"/>
    <mergeCell ref="CZ796:DD796"/>
    <mergeCell ref="CZ797:DD797"/>
    <mergeCell ref="DE787:DI787"/>
    <mergeCell ref="DE788:DI788"/>
    <mergeCell ref="CI750:CJ750"/>
    <mergeCell ref="DE790:DI790"/>
    <mergeCell ref="DE791:DI791"/>
    <mergeCell ref="DE792:DI792"/>
    <mergeCell ref="DE793:DI793"/>
    <mergeCell ref="DE794:DI794"/>
    <mergeCell ref="AK743:AO743"/>
    <mergeCell ref="AK744:AO744"/>
    <mergeCell ref="X743:AB743"/>
    <mergeCell ref="X744:AB744"/>
    <mergeCell ref="AH743:AJ743"/>
    <mergeCell ref="AH744:AJ744"/>
    <mergeCell ref="G731:J731"/>
    <mergeCell ref="X738:AB738"/>
    <mergeCell ref="X729:AB729"/>
    <mergeCell ref="B729:F729"/>
    <mergeCell ref="CI748:CJ748"/>
    <mergeCell ref="CI742:CJ742"/>
    <mergeCell ref="CK742:CL742"/>
    <mergeCell ref="CZ744:DD744"/>
    <mergeCell ref="AK739:AO739"/>
    <mergeCell ref="B741:F741"/>
    <mergeCell ref="AK732:AO732"/>
    <mergeCell ref="AK733:AO733"/>
    <mergeCell ref="AK734:AO734"/>
    <mergeCell ref="CZ733:DD733"/>
    <mergeCell ref="CZ736:DD736"/>
    <mergeCell ref="CM731:CN731"/>
    <mergeCell ref="CI732:CJ732"/>
    <mergeCell ref="J779:K779"/>
    <mergeCell ref="J787:N787"/>
    <mergeCell ref="DE746:DI746"/>
    <mergeCell ref="AK747:AO747"/>
    <mergeCell ref="CU751:CY751"/>
    <mergeCell ref="CZ732:DD732"/>
    <mergeCell ref="G721:J721"/>
    <mergeCell ref="G722:J722"/>
    <mergeCell ref="CP746:CT746"/>
    <mergeCell ref="CU746:CY746"/>
    <mergeCell ref="DE741:DI741"/>
    <mergeCell ref="CK733:CL733"/>
    <mergeCell ref="CU744:CY744"/>
    <mergeCell ref="FJ753:FN753"/>
    <mergeCell ref="CK750:CL750"/>
    <mergeCell ref="CM750:CN750"/>
    <mergeCell ref="CG747:CH747"/>
    <mergeCell ref="CI747:CJ747"/>
    <mergeCell ref="CK747:CL747"/>
    <mergeCell ref="CM747:CN747"/>
    <mergeCell ref="CP742:CT742"/>
    <mergeCell ref="CP743:CT743"/>
    <mergeCell ref="DJ743:DN743"/>
    <mergeCell ref="DO743:DS743"/>
    <mergeCell ref="DO744:DS744"/>
    <mergeCell ref="CM745:CN745"/>
    <mergeCell ref="CG746:CH746"/>
    <mergeCell ref="CI746:CJ746"/>
    <mergeCell ref="DO750:DS750"/>
    <mergeCell ref="DJ745:DN745"/>
    <mergeCell ref="DO745:DS745"/>
    <mergeCell ref="CG750:CH750"/>
    <mergeCell ref="DJ733:DN733"/>
    <mergeCell ref="DU741:DY741"/>
    <mergeCell ref="FO753:FS753"/>
    <mergeCell ref="FE748:FI748"/>
    <mergeCell ref="FJ748:FN748"/>
    <mergeCell ref="FO748:FS748"/>
    <mergeCell ref="EZ745:FD745"/>
    <mergeCell ref="CU745:CY745"/>
    <mergeCell ref="EO747:ES747"/>
    <mergeCell ref="ET747:EX747"/>
    <mergeCell ref="DU748:DY748"/>
    <mergeCell ref="DZ748:ED748"/>
    <mergeCell ref="EE748:EI748"/>
    <mergeCell ref="EJ748:EN748"/>
    <mergeCell ref="EO748:ES748"/>
    <mergeCell ref="ET748:EX748"/>
    <mergeCell ref="ET741:EX741"/>
    <mergeCell ref="DU742:DY742"/>
    <mergeCell ref="DZ742:ED742"/>
    <mergeCell ref="ET742:EX742"/>
    <mergeCell ref="FE742:FI742"/>
    <mergeCell ref="FJ742:FN742"/>
    <mergeCell ref="FO742:FS742"/>
    <mergeCell ref="EE741:EI741"/>
    <mergeCell ref="EJ741:EN741"/>
    <mergeCell ref="EO741:ES741"/>
    <mergeCell ref="CU742:CY742"/>
    <mergeCell ref="CZ742:DD742"/>
    <mergeCell ref="DE742:DI742"/>
    <mergeCell ref="DJ742:DN742"/>
    <mergeCell ref="DO742:DS742"/>
    <mergeCell ref="CU743:CY743"/>
    <mergeCell ref="CZ743:DD743"/>
    <mergeCell ref="DE743:DI743"/>
    <mergeCell ref="FT753:FX753"/>
    <mergeCell ref="FY753:GC753"/>
    <mergeCell ref="DX635:EB635"/>
    <mergeCell ref="DX638:EB638"/>
    <mergeCell ref="EC638:EG638"/>
    <mergeCell ref="EH638:EL638"/>
    <mergeCell ref="EM638:EQ638"/>
    <mergeCell ref="ER638:EV638"/>
    <mergeCell ref="EC635:EG635"/>
    <mergeCell ref="EH635:EL635"/>
    <mergeCell ref="EM635:EQ635"/>
    <mergeCell ref="ER635:EV635"/>
    <mergeCell ref="EW635:FA635"/>
    <mergeCell ref="FY752:GC752"/>
    <mergeCell ref="EC636:EG636"/>
    <mergeCell ref="EH636:EL636"/>
    <mergeCell ref="DX636:EB636"/>
    <mergeCell ref="ER636:EV636"/>
    <mergeCell ref="EZ750:FD750"/>
    <mergeCell ref="FE750:FI750"/>
    <mergeCell ref="FJ750:FN750"/>
    <mergeCell ref="FO750:FS750"/>
    <mergeCell ref="EM659:EQ659"/>
    <mergeCell ref="ER659:EV659"/>
    <mergeCell ref="EW659:FA659"/>
    <mergeCell ref="DX660:EB660"/>
    <mergeCell ref="EC660:EG660"/>
    <mergeCell ref="EH660:EL660"/>
    <mergeCell ref="EM660:EQ660"/>
    <mergeCell ref="DX665:EB665"/>
    <mergeCell ref="FY747:GC747"/>
    <mergeCell ref="EZ748:FD748"/>
    <mergeCell ref="FY749:GC749"/>
    <mergeCell ref="FE746:FI746"/>
    <mergeCell ref="FJ746:FN746"/>
    <mergeCell ref="FO746:FS746"/>
    <mergeCell ref="FT750:FX750"/>
    <mergeCell ref="FY750:GC750"/>
    <mergeCell ref="DX658:EB658"/>
    <mergeCell ref="EC658:EG658"/>
    <mergeCell ref="EH658:EL658"/>
    <mergeCell ref="EM658:EQ658"/>
    <mergeCell ref="ER658:EV658"/>
    <mergeCell ref="EW658:FA658"/>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J745:EN745"/>
    <mergeCell ref="EZ741:FD741"/>
    <mergeCell ref="FE741:FI741"/>
    <mergeCell ref="FJ741:FN741"/>
    <mergeCell ref="FO741:FS741"/>
    <mergeCell ref="FY741:GC741"/>
    <mergeCell ref="EZ742:FD742"/>
    <mergeCell ref="EW636:FA636"/>
    <mergeCell ref="ER637:EV637"/>
    <mergeCell ref="ET749:EX749"/>
    <mergeCell ref="DU750:DY750"/>
    <mergeCell ref="DZ750:ED750"/>
    <mergeCell ref="EE750:EI750"/>
    <mergeCell ref="EJ750:EN750"/>
    <mergeCell ref="EO750:ES750"/>
    <mergeCell ref="ET750:EX750"/>
    <mergeCell ref="FY748:GC748"/>
    <mergeCell ref="EZ749:FD749"/>
    <mergeCell ref="FE749:FI749"/>
    <mergeCell ref="FJ749:FN749"/>
    <mergeCell ref="FO749:FS749"/>
    <mergeCell ref="FY745:GC745"/>
    <mergeCell ref="EZ746:FD746"/>
    <mergeCell ref="ET745:EX745"/>
    <mergeCell ref="DU746:DY746"/>
    <mergeCell ref="DZ746:ED746"/>
    <mergeCell ref="EE746:EI746"/>
    <mergeCell ref="EJ746:EN746"/>
    <mergeCell ref="EO746:ES746"/>
    <mergeCell ref="ET746:EX746"/>
    <mergeCell ref="DU747:DY747"/>
    <mergeCell ref="DZ747:ED747"/>
    <mergeCell ref="FT746:FX746"/>
    <mergeCell ref="FY746:GC746"/>
    <mergeCell ref="EZ747:FD747"/>
    <mergeCell ref="FE747:FI747"/>
    <mergeCell ref="FJ747:FN747"/>
    <mergeCell ref="FO747:FS747"/>
    <mergeCell ref="FT747:FX747"/>
    <mergeCell ref="FT742:FX742"/>
    <mergeCell ref="FY742:GC742"/>
    <mergeCell ref="EZ743:FD743"/>
    <mergeCell ref="FE743:FI743"/>
    <mergeCell ref="FJ743:FN743"/>
    <mergeCell ref="FO743:FS743"/>
    <mergeCell ref="FT743:FX743"/>
    <mergeCell ref="FY743:GC743"/>
    <mergeCell ref="EZ744:FD744"/>
    <mergeCell ref="FE744:FI744"/>
    <mergeCell ref="FJ744:FN744"/>
    <mergeCell ref="FO744:FS744"/>
    <mergeCell ref="FT744:FX744"/>
    <mergeCell ref="FY744:GC744"/>
    <mergeCell ref="DU743:DY743"/>
    <mergeCell ref="DZ743:ED743"/>
    <mergeCell ref="EE743:EI743"/>
    <mergeCell ref="EJ743:EN743"/>
    <mergeCell ref="EO743:ES743"/>
    <mergeCell ref="ET743:EX743"/>
    <mergeCell ref="DU744:DY744"/>
    <mergeCell ref="DZ744:ED744"/>
    <mergeCell ref="EE744:EI744"/>
    <mergeCell ref="EJ744:EN744"/>
    <mergeCell ref="EO744:ES744"/>
    <mergeCell ref="ET744:EX744"/>
    <mergeCell ref="FT741:FX741"/>
    <mergeCell ref="EE749:EI749"/>
    <mergeCell ref="EJ749:EN749"/>
    <mergeCell ref="EO749:ES749"/>
    <mergeCell ref="EE747:EI747"/>
    <mergeCell ref="EJ747:EN747"/>
    <mergeCell ref="EE742:EI742"/>
    <mergeCell ref="EJ742:EN742"/>
    <mergeCell ref="EO742:ES742"/>
    <mergeCell ref="FT748:FX748"/>
    <mergeCell ref="FT749:FX749"/>
    <mergeCell ref="DJ741:DN741"/>
    <mergeCell ref="DO741:DS741"/>
    <mergeCell ref="CI749:CJ749"/>
    <mergeCell ref="CK749:CL749"/>
    <mergeCell ref="CM749:CN749"/>
    <mergeCell ref="CP749:CT749"/>
    <mergeCell ref="CU749:CY749"/>
    <mergeCell ref="CZ749:DD749"/>
    <mergeCell ref="DE749:DI749"/>
    <mergeCell ref="DJ749:DN749"/>
    <mergeCell ref="DO749:DS749"/>
    <mergeCell ref="CZ748:DD748"/>
    <mergeCell ref="DE748:DI748"/>
    <mergeCell ref="DJ748:DN748"/>
    <mergeCell ref="DO748:DS748"/>
    <mergeCell ref="CU747:CY747"/>
    <mergeCell ref="CZ747:DD747"/>
    <mergeCell ref="DE747:DI747"/>
    <mergeCell ref="CP744:CT744"/>
    <mergeCell ref="DJ744:DN744"/>
    <mergeCell ref="CM742:CN742"/>
    <mergeCell ref="DZ741:ED741"/>
    <mergeCell ref="DJ747:DN747"/>
    <mergeCell ref="DO747:DS747"/>
    <mergeCell ref="CP748:CT748"/>
    <mergeCell ref="CU748:CY748"/>
    <mergeCell ref="DU745:DY745"/>
    <mergeCell ref="DZ745:ED745"/>
    <mergeCell ref="DX666:EB666"/>
    <mergeCell ref="EC666:EG666"/>
    <mergeCell ref="Q494:AK494"/>
    <mergeCell ref="AC455:AF455"/>
    <mergeCell ref="F457:AB458"/>
    <mergeCell ref="D466:V466"/>
    <mergeCell ref="Q491:AK491"/>
    <mergeCell ref="AH495:AK495"/>
    <mergeCell ref="D465:V465"/>
    <mergeCell ref="AC509:AF509"/>
    <mergeCell ref="Q485:AK485"/>
    <mergeCell ref="AC525:AF525"/>
    <mergeCell ref="W474:Y474"/>
    <mergeCell ref="AK742:AO742"/>
    <mergeCell ref="CP745:CT745"/>
    <mergeCell ref="X742:AB742"/>
    <mergeCell ref="AH742:AJ742"/>
    <mergeCell ref="B725:F725"/>
    <mergeCell ref="B724:F724"/>
    <mergeCell ref="CK748:CL748"/>
    <mergeCell ref="CM748:CN748"/>
    <mergeCell ref="AM554:AS554"/>
    <mergeCell ref="AO639:AS639"/>
    <mergeCell ref="AO629:AS629"/>
    <mergeCell ref="AO638:AS638"/>
    <mergeCell ref="D449:AF449"/>
    <mergeCell ref="B501:H502"/>
    <mergeCell ref="O523:AA523"/>
    <mergeCell ref="AC519:AF519"/>
    <mergeCell ref="AC524:AF524"/>
    <mergeCell ref="AH516:AK516"/>
    <mergeCell ref="Q554:S554"/>
    <mergeCell ref="AH529:AK529"/>
    <mergeCell ref="AH534:AK534"/>
    <mergeCell ref="AC510:AF510"/>
    <mergeCell ref="AH510:AK510"/>
    <mergeCell ref="AH506:AK506"/>
    <mergeCell ref="AH508:AK508"/>
    <mergeCell ref="AC540:AF540"/>
    <mergeCell ref="AH531:AK531"/>
    <mergeCell ref="AH540:AK540"/>
    <mergeCell ref="D472:V472"/>
    <mergeCell ref="AC505:AF505"/>
    <mergeCell ref="AH522:AK522"/>
    <mergeCell ref="AC541:AF541"/>
    <mergeCell ref="AC508:AF508"/>
    <mergeCell ref="AH537:AK537"/>
    <mergeCell ref="AC523:AF523"/>
    <mergeCell ref="AI551:AL553"/>
    <mergeCell ref="P687:R687"/>
    <mergeCell ref="AI557:AL557"/>
    <mergeCell ref="Q556:S556"/>
    <mergeCell ref="C558:L558"/>
    <mergeCell ref="AE561:AH561"/>
    <mergeCell ref="M560:P560"/>
    <mergeCell ref="Q563:S563"/>
    <mergeCell ref="Q562:S562"/>
    <mergeCell ref="AC533:AF533"/>
    <mergeCell ref="M551:P553"/>
    <mergeCell ref="AF630:AJ630"/>
    <mergeCell ref="W558:Y558"/>
    <mergeCell ref="AC514:AF514"/>
    <mergeCell ref="AI560:AL560"/>
    <mergeCell ref="T562:V562"/>
    <mergeCell ref="Q560:S560"/>
    <mergeCell ref="Q565:S565"/>
    <mergeCell ref="Q561:S561"/>
    <mergeCell ref="H606:R606"/>
    <mergeCell ref="W636:Y636"/>
    <mergeCell ref="Z634:AB634"/>
    <mergeCell ref="AI558:AL558"/>
    <mergeCell ref="G685:R685"/>
    <mergeCell ref="Z587:AK587"/>
    <mergeCell ref="M558:P558"/>
    <mergeCell ref="G571:R571"/>
    <mergeCell ref="Q559:S559"/>
    <mergeCell ref="Z580:AK580"/>
    <mergeCell ref="AF418:AH418"/>
    <mergeCell ref="AC456:AF456"/>
    <mergeCell ref="AC521:AF521"/>
    <mergeCell ref="CG724:CH724"/>
    <mergeCell ref="CG730:CH730"/>
    <mergeCell ref="CG728:CH728"/>
    <mergeCell ref="AM560:AS560"/>
    <mergeCell ref="AM557:AS557"/>
    <mergeCell ref="AE557:AH557"/>
    <mergeCell ref="AH503:AK503"/>
    <mergeCell ref="AC500:AF500"/>
    <mergeCell ref="AH532:AK532"/>
    <mergeCell ref="AC522:AF522"/>
    <mergeCell ref="T554:V554"/>
    <mergeCell ref="AH538:AK538"/>
    <mergeCell ref="Z551:AD553"/>
    <mergeCell ref="AH513:AK513"/>
    <mergeCell ref="AC531:AF531"/>
    <mergeCell ref="AG440:AJ440"/>
    <mergeCell ref="D443:AF443"/>
    <mergeCell ref="W471:Y471"/>
    <mergeCell ref="Q429:R429"/>
    <mergeCell ref="D448:AF448"/>
    <mergeCell ref="AG445:AJ445"/>
    <mergeCell ref="Z569:AK569"/>
    <mergeCell ref="M495:P495"/>
    <mergeCell ref="AC501:AF501"/>
    <mergeCell ref="B723:F723"/>
    <mergeCell ref="AG450:AJ450"/>
    <mergeCell ref="D467:V467"/>
    <mergeCell ref="B720:F720"/>
    <mergeCell ref="P581:R581"/>
    <mergeCell ref="AG377:AH377"/>
    <mergeCell ref="W472:Y472"/>
    <mergeCell ref="AI572:AK572"/>
    <mergeCell ref="AD411:AE411"/>
    <mergeCell ref="F427:AH428"/>
    <mergeCell ref="V377:W377"/>
    <mergeCell ref="S377:T377"/>
    <mergeCell ref="Q489:R490"/>
    <mergeCell ref="Q488:AK488"/>
    <mergeCell ref="AM555:AS555"/>
    <mergeCell ref="P348:Z348"/>
    <mergeCell ref="N373:AF374"/>
    <mergeCell ref="D437:AF437"/>
    <mergeCell ref="D442:AF442"/>
    <mergeCell ref="AF430:AG430"/>
    <mergeCell ref="AG437:AJ437"/>
    <mergeCell ref="J388:U388"/>
    <mergeCell ref="AC507:AF507"/>
    <mergeCell ref="AH535:AK535"/>
    <mergeCell ref="AC532:AF532"/>
    <mergeCell ref="O535:AA535"/>
    <mergeCell ref="AH523:AK523"/>
    <mergeCell ref="AE554:AH554"/>
    <mergeCell ref="I421:K421"/>
    <mergeCell ref="AH524:AK524"/>
    <mergeCell ref="AH525:AK525"/>
    <mergeCell ref="P418:R418"/>
    <mergeCell ref="Q492:AK492"/>
    <mergeCell ref="AG441:AJ441"/>
    <mergeCell ref="AG438:AJ438"/>
    <mergeCell ref="AE424:AF424"/>
    <mergeCell ref="AC515:AF515"/>
    <mergeCell ref="H336:R336"/>
    <mergeCell ref="D441:AF441"/>
    <mergeCell ref="AG447:AJ447"/>
    <mergeCell ref="AC454:AF454"/>
    <mergeCell ref="P425:Q425"/>
    <mergeCell ref="I418:K418"/>
    <mergeCell ref="S413:T413"/>
    <mergeCell ref="H338:R338"/>
    <mergeCell ref="AG393:AJ393"/>
    <mergeCell ref="AG391:AJ391"/>
    <mergeCell ref="K404:AJ404"/>
    <mergeCell ref="AC386:AJ386"/>
    <mergeCell ref="Q393:U393"/>
    <mergeCell ref="AG380:AH380"/>
    <mergeCell ref="M355:N355"/>
    <mergeCell ref="D439:AF439"/>
    <mergeCell ref="AI397:AJ397"/>
    <mergeCell ref="T399:AJ399"/>
    <mergeCell ref="D440:AF440"/>
    <mergeCell ref="AJ355:AK355"/>
    <mergeCell ref="AI339:AK339"/>
    <mergeCell ref="P345:AE345"/>
    <mergeCell ref="T398:AJ398"/>
    <mergeCell ref="S401:U401"/>
    <mergeCell ref="AG401:AJ401"/>
    <mergeCell ref="AC387:AJ387"/>
    <mergeCell ref="V388:AJ388"/>
    <mergeCell ref="AG395:AJ395"/>
    <mergeCell ref="AI392:AJ392"/>
    <mergeCell ref="R412:S412"/>
    <mergeCell ref="P349:AE349"/>
    <mergeCell ref="AC370:AF370"/>
    <mergeCell ref="T564:V564"/>
    <mergeCell ref="C565:L565"/>
    <mergeCell ref="AA582:AK582"/>
    <mergeCell ref="H573:R573"/>
    <mergeCell ref="B566:AL566"/>
    <mergeCell ref="AE560:AH560"/>
    <mergeCell ref="AG607:AH607"/>
    <mergeCell ref="Q564:S564"/>
    <mergeCell ref="C564:L564"/>
    <mergeCell ref="M564:P564"/>
    <mergeCell ref="P597:R597"/>
    <mergeCell ref="G597:L597"/>
    <mergeCell ref="AG591:AH591"/>
    <mergeCell ref="G602:R602"/>
    <mergeCell ref="N599:O599"/>
    <mergeCell ref="Z563:AD563"/>
    <mergeCell ref="T565:V565"/>
    <mergeCell ref="C560:L560"/>
    <mergeCell ref="Z560:AD560"/>
    <mergeCell ref="AI563:AL563"/>
    <mergeCell ref="G568:R568"/>
    <mergeCell ref="M574:R574"/>
    <mergeCell ref="G603:R603"/>
    <mergeCell ref="AA590:AK590"/>
    <mergeCell ref="AI589:AK589"/>
    <mergeCell ref="Z596:AK596"/>
    <mergeCell ref="H598:R598"/>
    <mergeCell ref="AG583:AH583"/>
    <mergeCell ref="G588:R588"/>
    <mergeCell ref="AI564:AL564"/>
    <mergeCell ref="N575:O575"/>
    <mergeCell ref="C632:L632"/>
    <mergeCell ref="Z628:AB628"/>
    <mergeCell ref="P572:R572"/>
    <mergeCell ref="C561:L561"/>
    <mergeCell ref="G569:R569"/>
    <mergeCell ref="H582:R582"/>
    <mergeCell ref="AM551:AS553"/>
    <mergeCell ref="O719:S719"/>
    <mergeCell ref="X724:AB724"/>
    <mergeCell ref="AH722:AJ722"/>
    <mergeCell ref="CP797:CT797"/>
    <mergeCell ref="CU776:CY776"/>
    <mergeCell ref="CP750:CT750"/>
    <mergeCell ref="CU750:CY750"/>
    <mergeCell ref="CZ750:DD750"/>
    <mergeCell ref="CZ775:DD775"/>
    <mergeCell ref="CZ776:DD776"/>
    <mergeCell ref="Z633:AB633"/>
    <mergeCell ref="CZ730:DD730"/>
    <mergeCell ref="AI679:AK679"/>
    <mergeCell ref="Z663:AE663"/>
    <mergeCell ref="Z643:AK643"/>
    <mergeCell ref="CZ717:DD717"/>
    <mergeCell ref="CI722:CJ722"/>
    <mergeCell ref="CG721:CH721"/>
    <mergeCell ref="CK720:CL720"/>
    <mergeCell ref="CG731:CH731"/>
    <mergeCell ref="CP722:CT722"/>
    <mergeCell ref="CP718:CT718"/>
    <mergeCell ref="CI718:CJ718"/>
    <mergeCell ref="AI597:AK597"/>
    <mergeCell ref="C562:L562"/>
    <mergeCell ref="CZ726:DD726"/>
    <mergeCell ref="CI743:CJ743"/>
    <mergeCell ref="N591:O591"/>
    <mergeCell ref="G661:R661"/>
    <mergeCell ref="CU737:CY737"/>
    <mergeCell ref="CP732:CT732"/>
    <mergeCell ref="CM729:CN729"/>
    <mergeCell ref="CZ738:DD738"/>
    <mergeCell ref="CM736:CN736"/>
    <mergeCell ref="CI738:CJ738"/>
    <mergeCell ref="CU736:CY736"/>
    <mergeCell ref="CK730:CL730"/>
    <mergeCell ref="CP731:CT731"/>
    <mergeCell ref="CI729:CJ729"/>
    <mergeCell ref="CZ734:DD734"/>
    <mergeCell ref="CI735:CJ735"/>
    <mergeCell ref="CM730:CN730"/>
    <mergeCell ref="CZ740:DD740"/>
    <mergeCell ref="CU741:CY741"/>
    <mergeCell ref="CU730:CY730"/>
    <mergeCell ref="CZ731:DD731"/>
    <mergeCell ref="CM740:CN740"/>
    <mergeCell ref="CP739:CT739"/>
    <mergeCell ref="CM738:CN738"/>
    <mergeCell ref="CK737:CL737"/>
    <mergeCell ref="H614:R614"/>
    <mergeCell ref="Z632:AB632"/>
    <mergeCell ref="G613:L613"/>
    <mergeCell ref="G596:R596"/>
    <mergeCell ref="Z595:AK595"/>
    <mergeCell ref="C630:L630"/>
    <mergeCell ref="C631:L631"/>
    <mergeCell ref="AI565:AL565"/>
    <mergeCell ref="AE562:AH562"/>
    <mergeCell ref="Z652:AK652"/>
    <mergeCell ref="CZ739:DD739"/>
    <mergeCell ref="CK734:CL734"/>
    <mergeCell ref="CM734:CN734"/>
    <mergeCell ref="CK738:CL738"/>
    <mergeCell ref="CM724:CN724"/>
    <mergeCell ref="CG741:CH741"/>
    <mergeCell ref="CI741:CJ741"/>
    <mergeCell ref="CK741:CL741"/>
    <mergeCell ref="CM741:CN741"/>
    <mergeCell ref="CP724:CT724"/>
    <mergeCell ref="CP727:CT727"/>
    <mergeCell ref="Z668:AK668"/>
    <mergeCell ref="CI727:CJ727"/>
    <mergeCell ref="CM719:CN719"/>
    <mergeCell ref="CM721:CN721"/>
    <mergeCell ref="CI719:CJ719"/>
    <mergeCell ref="Z653:AK653"/>
    <mergeCell ref="CZ727:DD727"/>
    <mergeCell ref="CP719:CT719"/>
    <mergeCell ref="CM733:CN733"/>
    <mergeCell ref="CI733:CJ733"/>
    <mergeCell ref="CG719:CH719"/>
    <mergeCell ref="CI721:CJ721"/>
    <mergeCell ref="CP717:CT717"/>
    <mergeCell ref="CK723:CL723"/>
    <mergeCell ref="CK721:CL721"/>
    <mergeCell ref="CM726:CN726"/>
    <mergeCell ref="CM718:CN718"/>
    <mergeCell ref="CI724:CJ724"/>
    <mergeCell ref="P346:AE346"/>
    <mergeCell ref="Q390:U390"/>
    <mergeCell ref="I410:AE410"/>
    <mergeCell ref="AI389:AJ389"/>
    <mergeCell ref="P347:Z347"/>
    <mergeCell ref="J386:U386"/>
    <mergeCell ref="J387:U387"/>
    <mergeCell ref="Y364:Z364"/>
    <mergeCell ref="N378:P378"/>
    <mergeCell ref="D446:AF446"/>
    <mergeCell ref="D447:AF447"/>
    <mergeCell ref="W466:Y466"/>
    <mergeCell ref="W418:Y418"/>
    <mergeCell ref="AG446:AJ446"/>
    <mergeCell ref="W467:Y467"/>
    <mergeCell ref="W470:Y470"/>
    <mergeCell ref="N371:Q371"/>
    <mergeCell ref="V382:W382"/>
    <mergeCell ref="J367:K367"/>
    <mergeCell ref="S405:AJ405"/>
    <mergeCell ref="K403:AJ403"/>
    <mergeCell ref="AG449:AJ449"/>
    <mergeCell ref="AG394:AJ394"/>
    <mergeCell ref="E420:AJ420"/>
    <mergeCell ref="AE402:AJ402"/>
    <mergeCell ref="AC385:AJ385"/>
    <mergeCell ref="E418:G418"/>
    <mergeCell ref="D470:V470"/>
    <mergeCell ref="AJ356:AK356"/>
    <mergeCell ref="AD377:AE377"/>
    <mergeCell ref="AC371:AF371"/>
    <mergeCell ref="Q389:U389"/>
    <mergeCell ref="AA332:AF332"/>
    <mergeCell ref="AA328:AK328"/>
    <mergeCell ref="V276:W276"/>
    <mergeCell ref="AA327:AK327"/>
    <mergeCell ref="H332:M332"/>
    <mergeCell ref="AI315:AK315"/>
    <mergeCell ref="AA312:AK312"/>
    <mergeCell ref="AA329:AK329"/>
    <mergeCell ref="P331:R331"/>
    <mergeCell ref="AA324:AF324"/>
    <mergeCell ref="H328:R328"/>
    <mergeCell ref="AI323:AK323"/>
    <mergeCell ref="AA320:AK320"/>
    <mergeCell ref="AA301:AK301"/>
    <mergeCell ref="H317:R317"/>
    <mergeCell ref="AA296:AK296"/>
    <mergeCell ref="P323:R323"/>
    <mergeCell ref="AA315:AF315"/>
    <mergeCell ref="H301:R301"/>
    <mergeCell ref="L277:AD277"/>
    <mergeCell ref="AA298:AK298"/>
    <mergeCell ref="AA292:AF292"/>
    <mergeCell ref="H313:R313"/>
    <mergeCell ref="AA295:AK295"/>
    <mergeCell ref="L279:AD279"/>
    <mergeCell ref="AA291:AF291"/>
    <mergeCell ref="AI291:AK291"/>
    <mergeCell ref="AA289:AK289"/>
    <mergeCell ref="H330:R330"/>
    <mergeCell ref="AI299:AK299"/>
    <mergeCell ref="H297:R297"/>
    <mergeCell ref="AA300:AF300"/>
    <mergeCell ref="AA293:AK293"/>
    <mergeCell ref="Y120:AK120"/>
    <mergeCell ref="O160:T160"/>
    <mergeCell ref="AI178:AK178"/>
    <mergeCell ref="M234:T234"/>
    <mergeCell ref="W234:X234"/>
    <mergeCell ref="T212:U212"/>
    <mergeCell ref="F150:T150"/>
    <mergeCell ref="J173:S173"/>
    <mergeCell ref="O155:AH155"/>
    <mergeCell ref="T195:U195"/>
    <mergeCell ref="E187:AE188"/>
    <mergeCell ref="I189:P189"/>
    <mergeCell ref="AH197:AI197"/>
    <mergeCell ref="Z205:AN205"/>
    <mergeCell ref="A222:AT223"/>
    <mergeCell ref="T200:U200"/>
    <mergeCell ref="X198:AT199"/>
    <mergeCell ref="AH194:AI194"/>
    <mergeCell ref="AC220:AQ220"/>
    <mergeCell ref="D205:M205"/>
    <mergeCell ref="J174:AB174"/>
    <mergeCell ref="O158:R158"/>
    <mergeCell ref="I184:AE184"/>
    <mergeCell ref="L280:AD280"/>
    <mergeCell ref="L275:AD275"/>
    <mergeCell ref="H290:R290"/>
    <mergeCell ref="L276:S276"/>
    <mergeCell ref="L278:Q278"/>
    <mergeCell ref="AH254:AK254"/>
    <mergeCell ref="AF259:AK259"/>
    <mergeCell ref="U175:V175"/>
    <mergeCell ref="A75:AT77"/>
    <mergeCell ref="A79:AT81"/>
    <mergeCell ref="AB215:AL215"/>
    <mergeCell ref="T198:U198"/>
    <mergeCell ref="Q212:R212"/>
    <mergeCell ref="D214:Z214"/>
    <mergeCell ref="AB216:AL216"/>
    <mergeCell ref="M236:R236"/>
    <mergeCell ref="Z236:AE236"/>
    <mergeCell ref="G113:H113"/>
    <mergeCell ref="C115:K115"/>
    <mergeCell ref="D164:AH164"/>
    <mergeCell ref="P204:U204"/>
    <mergeCell ref="AH195:AI195"/>
    <mergeCell ref="AH196:AI196"/>
    <mergeCell ref="U176:V176"/>
    <mergeCell ref="A83:AT84"/>
    <mergeCell ref="T199:U199"/>
    <mergeCell ref="AC234:AE234"/>
    <mergeCell ref="D208:M208"/>
    <mergeCell ref="M233:AE233"/>
    <mergeCell ref="N191:AE192"/>
    <mergeCell ref="D211:M211"/>
    <mergeCell ref="AI228:AJ228"/>
    <mergeCell ref="T189:AE189"/>
    <mergeCell ref="I185:AE185"/>
    <mergeCell ref="O159:T159"/>
    <mergeCell ref="O161:AH161"/>
    <mergeCell ref="A86:AT87"/>
    <mergeCell ref="A89:AT90"/>
    <mergeCell ref="A92:AT98"/>
    <mergeCell ref="A100:AT103"/>
    <mergeCell ref="Y117:AK117"/>
    <mergeCell ref="T190:AE190"/>
    <mergeCell ref="M232:AK232"/>
    <mergeCell ref="A105:AT106"/>
    <mergeCell ref="L113:O113"/>
    <mergeCell ref="W159:X159"/>
    <mergeCell ref="A169:AT170"/>
    <mergeCell ref="M249:T249"/>
    <mergeCell ref="Z247:AE247"/>
    <mergeCell ref="W245:X245"/>
    <mergeCell ref="U247:W247"/>
    <mergeCell ref="T196:U196"/>
    <mergeCell ref="D220:Z220"/>
    <mergeCell ref="T193:AI193"/>
    <mergeCell ref="AI227:AJ227"/>
    <mergeCell ref="Y123:AK123"/>
    <mergeCell ref="AF243:AK243"/>
    <mergeCell ref="M237:AE237"/>
    <mergeCell ref="O153:AH153"/>
    <mergeCell ref="O154:AH154"/>
    <mergeCell ref="O156:AH156"/>
    <mergeCell ref="O157:X157"/>
    <mergeCell ref="P113:S113"/>
    <mergeCell ref="AA249:AK249"/>
    <mergeCell ref="M248:AE248"/>
    <mergeCell ref="AH246:AK246"/>
    <mergeCell ref="X176:Y176"/>
    <mergeCell ref="AI226:AJ226"/>
    <mergeCell ref="X180:Y180"/>
    <mergeCell ref="AP205:AQ205"/>
    <mergeCell ref="AI229:AJ229"/>
    <mergeCell ref="M235:AE235"/>
    <mergeCell ref="R177:S177"/>
    <mergeCell ref="U236:W236"/>
    <mergeCell ref="M243:AE243"/>
    <mergeCell ref="D204:M204"/>
    <mergeCell ref="M238:T238"/>
    <mergeCell ref="T197:U197"/>
    <mergeCell ref="W253:X253"/>
    <mergeCell ref="M252:AE252"/>
    <mergeCell ref="W261:X261"/>
    <mergeCell ref="U263:W263"/>
    <mergeCell ref="M257:T257"/>
    <mergeCell ref="M256:AE256"/>
    <mergeCell ref="AC253:AE253"/>
    <mergeCell ref="Z263:AE263"/>
    <mergeCell ref="U255:W255"/>
    <mergeCell ref="AC261:AE261"/>
    <mergeCell ref="M262:AE262"/>
    <mergeCell ref="M259:AE259"/>
    <mergeCell ref="AF251:AK251"/>
    <mergeCell ref="M244:AE244"/>
    <mergeCell ref="M247:R247"/>
    <mergeCell ref="T278:V278"/>
    <mergeCell ref="P291:R291"/>
    <mergeCell ref="AA287:AK287"/>
    <mergeCell ref="P205:U205"/>
    <mergeCell ref="M239:AE239"/>
    <mergeCell ref="AF178:AG178"/>
    <mergeCell ref="I190:N190"/>
    <mergeCell ref="M245:T245"/>
    <mergeCell ref="M246:AE246"/>
    <mergeCell ref="AC245:AE245"/>
    <mergeCell ref="AA311:AK311"/>
    <mergeCell ref="AA306:AK306"/>
    <mergeCell ref="AA303:AK303"/>
    <mergeCell ref="H311:R311"/>
    <mergeCell ref="H308:M308"/>
    <mergeCell ref="P307:R307"/>
    <mergeCell ref="H305:R305"/>
    <mergeCell ref="AA288:AK288"/>
    <mergeCell ref="H287:R287"/>
    <mergeCell ref="P299:R299"/>
    <mergeCell ref="H293:R293"/>
    <mergeCell ref="Y278:AD278"/>
    <mergeCell ref="M263:R263"/>
    <mergeCell ref="M265:T265"/>
    <mergeCell ref="Z255:AE255"/>
    <mergeCell ref="M255:R255"/>
    <mergeCell ref="A282:AT283"/>
    <mergeCell ref="AA238:AK238"/>
    <mergeCell ref="M251:AE251"/>
    <mergeCell ref="AA323:AF323"/>
    <mergeCell ref="H320:R320"/>
    <mergeCell ref="H296:R296"/>
    <mergeCell ref="H323:M323"/>
    <mergeCell ref="AA330:AK330"/>
    <mergeCell ref="H324:M324"/>
    <mergeCell ref="AA325:AK325"/>
    <mergeCell ref="H315:M315"/>
    <mergeCell ref="H321:R321"/>
    <mergeCell ref="H322:R322"/>
    <mergeCell ref="AA331:AF331"/>
    <mergeCell ref="P315:R315"/>
    <mergeCell ref="N363:O363"/>
    <mergeCell ref="AA337:AK337"/>
    <mergeCell ref="H327:R327"/>
    <mergeCell ref="H306:R306"/>
    <mergeCell ref="AA304:AK304"/>
    <mergeCell ref="AA309:AK309"/>
    <mergeCell ref="AA307:AF307"/>
    <mergeCell ref="AA305:AK305"/>
    <mergeCell ref="AA317:AK317"/>
    <mergeCell ref="AA335:AK335"/>
    <mergeCell ref="AC347:AE347"/>
    <mergeCell ref="P343:AE343"/>
    <mergeCell ref="AA340:AF340"/>
    <mergeCell ref="P344:AE344"/>
    <mergeCell ref="AA338:AK338"/>
    <mergeCell ref="H337:R337"/>
    <mergeCell ref="AA321:AK321"/>
    <mergeCell ref="H325:R325"/>
    <mergeCell ref="H307:M307"/>
    <mergeCell ref="AA299:AF299"/>
    <mergeCell ref="AA314:AK314"/>
    <mergeCell ref="AA313:AK313"/>
    <mergeCell ref="H319:R319"/>
    <mergeCell ref="AA316:AF316"/>
    <mergeCell ref="AA297:AK297"/>
    <mergeCell ref="H288:R288"/>
    <mergeCell ref="M253:T253"/>
    <mergeCell ref="L274:AJ274"/>
    <mergeCell ref="H289:R289"/>
    <mergeCell ref="H291:M291"/>
    <mergeCell ref="H299:M299"/>
    <mergeCell ref="H300:M300"/>
    <mergeCell ref="AA257:AK257"/>
    <mergeCell ref="M260:AE260"/>
    <mergeCell ref="AA265:AK265"/>
    <mergeCell ref="H295:R295"/>
    <mergeCell ref="M261:T261"/>
    <mergeCell ref="H298:R298"/>
    <mergeCell ref="H312:R312"/>
    <mergeCell ref="AI307:AK307"/>
    <mergeCell ref="H304:R304"/>
    <mergeCell ref="H303:R303"/>
    <mergeCell ref="AA308:AF308"/>
    <mergeCell ref="M254:AE254"/>
    <mergeCell ref="AA290:AK290"/>
    <mergeCell ref="AH262:AK262"/>
    <mergeCell ref="T267:X267"/>
    <mergeCell ref="AA319:AK319"/>
    <mergeCell ref="D270:H270"/>
    <mergeCell ref="X270:AC270"/>
    <mergeCell ref="M264:AE264"/>
    <mergeCell ref="AB276:AD276"/>
    <mergeCell ref="H329:R329"/>
    <mergeCell ref="H314:R314"/>
    <mergeCell ref="H316:M316"/>
    <mergeCell ref="AA322:AK322"/>
    <mergeCell ref="H292:M292"/>
    <mergeCell ref="H309:R309"/>
    <mergeCell ref="O529:AA529"/>
    <mergeCell ref="AH533:AK533"/>
    <mergeCell ref="M356:N356"/>
    <mergeCell ref="B520:H542"/>
    <mergeCell ref="Z432:AA432"/>
    <mergeCell ref="Q487:AK487"/>
    <mergeCell ref="Q486:AK486"/>
    <mergeCell ref="AH502:AK502"/>
    <mergeCell ref="AC499:AK499"/>
    <mergeCell ref="W468:Y468"/>
    <mergeCell ref="B503:H508"/>
    <mergeCell ref="D450:AF450"/>
    <mergeCell ref="N370:Q370"/>
    <mergeCell ref="AH500:AK500"/>
    <mergeCell ref="H331:M331"/>
    <mergeCell ref="H341:R341"/>
    <mergeCell ref="H335:R335"/>
    <mergeCell ref="AA333:AK333"/>
    <mergeCell ref="H339:M339"/>
    <mergeCell ref="P339:R339"/>
    <mergeCell ref="AA341:AK341"/>
    <mergeCell ref="E368:AH369"/>
    <mergeCell ref="Q365:AG365"/>
    <mergeCell ref="H340:M340"/>
    <mergeCell ref="S402:U402"/>
    <mergeCell ref="AA339:AF339"/>
    <mergeCell ref="D471:V471"/>
    <mergeCell ref="AG439:AJ439"/>
    <mergeCell ref="AG443:AJ443"/>
    <mergeCell ref="AG444:AJ444"/>
    <mergeCell ref="O532:AA532"/>
    <mergeCell ref="AH504:AK504"/>
    <mergeCell ref="AH517:AK517"/>
    <mergeCell ref="AH505:AK505"/>
    <mergeCell ref="D438:AF438"/>
    <mergeCell ref="AC534:AF534"/>
    <mergeCell ref="AH542:AK542"/>
    <mergeCell ref="AH507:AK507"/>
    <mergeCell ref="AC538:AF538"/>
    <mergeCell ref="Z554:AD554"/>
    <mergeCell ref="AH527:AK527"/>
    <mergeCell ref="AC517:AF517"/>
    <mergeCell ref="D473:V473"/>
    <mergeCell ref="AC504:AF504"/>
    <mergeCell ref="AG442:AJ442"/>
    <mergeCell ref="AG448:AJ448"/>
    <mergeCell ref="AC536:AF536"/>
    <mergeCell ref="D468:V468"/>
    <mergeCell ref="AE551:AH553"/>
    <mergeCell ref="AC539:AF539"/>
    <mergeCell ref="L508:AB508"/>
    <mergeCell ref="S489:AK490"/>
    <mergeCell ref="B551:L553"/>
    <mergeCell ref="AC542:AF542"/>
    <mergeCell ref="B489:P490"/>
    <mergeCell ref="AC506:AF506"/>
    <mergeCell ref="O520:AA520"/>
    <mergeCell ref="AH518:AK518"/>
    <mergeCell ref="AA336:AK336"/>
    <mergeCell ref="H333:R333"/>
    <mergeCell ref="Q493:AK493"/>
    <mergeCell ref="AC502:AF502"/>
    <mergeCell ref="B514:H516"/>
    <mergeCell ref="B517:H519"/>
    <mergeCell ref="D406:AJ407"/>
    <mergeCell ref="D445:AF445"/>
    <mergeCell ref="D451:AJ452"/>
    <mergeCell ref="Q558:S558"/>
    <mergeCell ref="AH512:AK512"/>
    <mergeCell ref="M557:P557"/>
    <mergeCell ref="AH520:AK520"/>
    <mergeCell ref="AC537:AF537"/>
    <mergeCell ref="O526:AA526"/>
    <mergeCell ref="AC529:AF529"/>
    <mergeCell ref="AH530:AK530"/>
    <mergeCell ref="Z556:AD556"/>
    <mergeCell ref="AI555:AL555"/>
    <mergeCell ref="D469:V469"/>
    <mergeCell ref="W473:Y473"/>
    <mergeCell ref="Q394:U394"/>
    <mergeCell ref="AD412:AE412"/>
    <mergeCell ref="H414:AE415"/>
    <mergeCell ref="AE425:AF425"/>
    <mergeCell ref="T556:V556"/>
    <mergeCell ref="AC520:AF520"/>
    <mergeCell ref="AC527:AF527"/>
    <mergeCell ref="W551:Y553"/>
    <mergeCell ref="AH521:AK521"/>
    <mergeCell ref="AC530:AF530"/>
    <mergeCell ref="Z555:AD555"/>
    <mergeCell ref="Q551:S553"/>
    <mergeCell ref="T551:V553"/>
    <mergeCell ref="M555:P555"/>
    <mergeCell ref="Q557:S557"/>
    <mergeCell ref="Z557:AD557"/>
    <mergeCell ref="C555:L555"/>
    <mergeCell ref="C556:L556"/>
    <mergeCell ref="M556:P556"/>
    <mergeCell ref="C559:L559"/>
    <mergeCell ref="M559:P559"/>
    <mergeCell ref="AH528:AK528"/>
    <mergeCell ref="M561:P561"/>
    <mergeCell ref="AE558:AH558"/>
    <mergeCell ref="T560:V560"/>
    <mergeCell ref="Z561:AD561"/>
    <mergeCell ref="W560:Y560"/>
    <mergeCell ref="AC503:AF503"/>
    <mergeCell ref="AC513:AF513"/>
    <mergeCell ref="AC528:AF528"/>
    <mergeCell ref="AC512:AF512"/>
    <mergeCell ref="C554:L554"/>
    <mergeCell ref="AE555:AH555"/>
    <mergeCell ref="AH514:AK514"/>
    <mergeCell ref="Q555:S555"/>
    <mergeCell ref="AH539:AK539"/>
    <mergeCell ref="AH541:AK541"/>
    <mergeCell ref="AC535:AF535"/>
    <mergeCell ref="AI554:AL554"/>
    <mergeCell ref="W557:Y557"/>
    <mergeCell ref="AC526:AF526"/>
    <mergeCell ref="G609:R609"/>
    <mergeCell ref="N615:O615"/>
    <mergeCell ref="M628:P628"/>
    <mergeCell ref="AA606:AK606"/>
    <mergeCell ref="P605:R605"/>
    <mergeCell ref="C628:L628"/>
    <mergeCell ref="Z578:AK578"/>
    <mergeCell ref="N583:O583"/>
    <mergeCell ref="Z611:AK611"/>
    <mergeCell ref="N607:O607"/>
    <mergeCell ref="AF628:AJ628"/>
    <mergeCell ref="G593:R593"/>
    <mergeCell ref="W630:Y630"/>
    <mergeCell ref="G610:R610"/>
    <mergeCell ref="Z603:AK603"/>
    <mergeCell ref="Z570:AK570"/>
    <mergeCell ref="M627:P627"/>
    <mergeCell ref="G589:L589"/>
    <mergeCell ref="G570:R570"/>
    <mergeCell ref="G586:R586"/>
    <mergeCell ref="Z577:AK577"/>
    <mergeCell ref="AF574:AK574"/>
    <mergeCell ref="Z585:AK585"/>
    <mergeCell ref="Z581:AE581"/>
    <mergeCell ref="Z586:AK586"/>
    <mergeCell ref="H590:R590"/>
    <mergeCell ref="G585:R585"/>
    <mergeCell ref="M827:P827"/>
    <mergeCell ref="J797:N797"/>
    <mergeCell ref="J795:N795"/>
    <mergeCell ref="AC774:AG774"/>
    <mergeCell ref="X777:AB777"/>
    <mergeCell ref="O723:S723"/>
    <mergeCell ref="X723:AB723"/>
    <mergeCell ref="T719:W719"/>
    <mergeCell ref="O724:S724"/>
    <mergeCell ref="T725:W725"/>
    <mergeCell ref="G724:J724"/>
    <mergeCell ref="AG665:AH665"/>
    <mergeCell ref="T729:W729"/>
    <mergeCell ref="AH728:AJ728"/>
    <mergeCell ref="J794:N794"/>
    <mergeCell ref="J789:N789"/>
    <mergeCell ref="X722:AB722"/>
    <mergeCell ref="Z685:AK685"/>
    <mergeCell ref="AE698:AI698"/>
    <mergeCell ref="AC714:AG717"/>
    <mergeCell ref="X714:AB717"/>
    <mergeCell ref="AE694:AF694"/>
    <mergeCell ref="A709:AT711"/>
    <mergeCell ref="B718:F718"/>
    <mergeCell ref="G720:J720"/>
    <mergeCell ref="B753:F753"/>
    <mergeCell ref="O752:S752"/>
    <mergeCell ref="AH726:AJ726"/>
    <mergeCell ref="O718:S718"/>
    <mergeCell ref="X740:AB740"/>
    <mergeCell ref="AK748:AO748"/>
    <mergeCell ref="O775:S775"/>
    <mergeCell ref="T790:W790"/>
    <mergeCell ref="T793:W793"/>
    <mergeCell ref="AC749:AG749"/>
    <mergeCell ref="AO631:AS631"/>
    <mergeCell ref="Z613:AE613"/>
    <mergeCell ref="AO624:AS626"/>
    <mergeCell ref="M629:P629"/>
    <mergeCell ref="W624:Y626"/>
    <mergeCell ref="W628:Y628"/>
    <mergeCell ref="X718:AB718"/>
    <mergeCell ref="T720:W720"/>
    <mergeCell ref="K714:N717"/>
    <mergeCell ref="C635:L635"/>
    <mergeCell ref="AF636:AJ636"/>
    <mergeCell ref="AF637:AJ637"/>
    <mergeCell ref="AC636:AE636"/>
    <mergeCell ref="Z647:AE647"/>
    <mergeCell ref="AC720:AG720"/>
    <mergeCell ref="AG689:AH689"/>
    <mergeCell ref="R705:T705"/>
    <mergeCell ref="Q638:S638"/>
    <mergeCell ref="Z635:AB635"/>
    <mergeCell ref="AH720:AJ720"/>
    <mergeCell ref="P663:R663"/>
    <mergeCell ref="AA664:AK664"/>
    <mergeCell ref="AK624:AN626"/>
    <mergeCell ref="G686:R686"/>
    <mergeCell ref="N689:O689"/>
    <mergeCell ref="Q630:S630"/>
    <mergeCell ref="AC637:AE637"/>
    <mergeCell ref="G660:R660"/>
    <mergeCell ref="T634:V634"/>
    <mergeCell ref="AH745:AJ745"/>
    <mergeCell ref="AH746:AJ746"/>
    <mergeCell ref="AH747:AJ747"/>
    <mergeCell ref="AH748:AJ748"/>
    <mergeCell ref="M828:P828"/>
    <mergeCell ref="T796:W796"/>
    <mergeCell ref="X795:AB795"/>
    <mergeCell ref="Z813:AE813"/>
    <mergeCell ref="C798:AN799"/>
    <mergeCell ref="J793:N793"/>
    <mergeCell ref="G752:J752"/>
    <mergeCell ref="Y801:AC801"/>
    <mergeCell ref="Y800:AC800"/>
    <mergeCell ref="T741:W741"/>
    <mergeCell ref="AC796:AG796"/>
    <mergeCell ref="AC788:AG788"/>
    <mergeCell ref="G738:J738"/>
    <mergeCell ref="O783:S786"/>
    <mergeCell ref="M825:P825"/>
    <mergeCell ref="AK746:AO746"/>
    <mergeCell ref="T738:W738"/>
    <mergeCell ref="C825:H825"/>
    <mergeCell ref="M823:P824"/>
    <mergeCell ref="Z817:AE817"/>
    <mergeCell ref="B742:F742"/>
    <mergeCell ref="B743:F743"/>
    <mergeCell ref="M826:P826"/>
    <mergeCell ref="Q825:T825"/>
    <mergeCell ref="Q823:T824"/>
    <mergeCell ref="Z809:AE809"/>
    <mergeCell ref="O791:S791"/>
    <mergeCell ref="J783:N786"/>
    <mergeCell ref="AK731:AO731"/>
    <mergeCell ref="AK738:AO738"/>
    <mergeCell ref="G730:J730"/>
    <mergeCell ref="X730:AB730"/>
    <mergeCell ref="O742:S742"/>
    <mergeCell ref="T733:W733"/>
    <mergeCell ref="B728:F728"/>
    <mergeCell ref="T727:W727"/>
    <mergeCell ref="O727:S727"/>
    <mergeCell ref="B730:F730"/>
    <mergeCell ref="O729:S729"/>
    <mergeCell ref="X727:AB727"/>
    <mergeCell ref="G728:J728"/>
    <mergeCell ref="O737:S737"/>
    <mergeCell ref="T724:W724"/>
    <mergeCell ref="AK730:AO730"/>
    <mergeCell ref="B727:F727"/>
    <mergeCell ref="O735:S735"/>
    <mergeCell ref="AZ851:BA851"/>
    <mergeCell ref="AC890:AH890"/>
    <mergeCell ref="Q830:T830"/>
    <mergeCell ref="AG831:AJ831"/>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AC777:AG777"/>
    <mergeCell ref="T794:W794"/>
    <mergeCell ref="T792:W792"/>
    <mergeCell ref="O777:S777"/>
    <mergeCell ref="X788:AB788"/>
    <mergeCell ref="O797:S797"/>
    <mergeCell ref="Q827:T827"/>
    <mergeCell ref="O793:S793"/>
    <mergeCell ref="J790:N790"/>
    <mergeCell ref="AC789:AG789"/>
    <mergeCell ref="AC790:AG790"/>
    <mergeCell ref="Z818:AE818"/>
    <mergeCell ref="T795:W795"/>
    <mergeCell ref="T776:W776"/>
    <mergeCell ref="T774:W774"/>
    <mergeCell ref="M830:P830"/>
    <mergeCell ref="C832:L832"/>
    <mergeCell ref="W857:AC857"/>
    <mergeCell ref="M874:V874"/>
    <mergeCell ref="Y831:AB831"/>
    <mergeCell ref="W851:AC851"/>
    <mergeCell ref="W855:AC855"/>
    <mergeCell ref="W852:AC852"/>
    <mergeCell ref="W854:AC854"/>
    <mergeCell ref="W874:AC874"/>
    <mergeCell ref="C837:AJ837"/>
    <mergeCell ref="Y830:AB830"/>
    <mergeCell ref="U940:Z940"/>
    <mergeCell ref="AA938:AF938"/>
    <mergeCell ref="U923:Z923"/>
    <mergeCell ref="BD902:BE902"/>
    <mergeCell ref="BD900:BE900"/>
    <mergeCell ref="W875:AC875"/>
    <mergeCell ref="T858:V858"/>
    <mergeCell ref="T860:V860"/>
    <mergeCell ref="W867:AC867"/>
    <mergeCell ref="W862:AC862"/>
    <mergeCell ref="M876:V876"/>
    <mergeCell ref="W868:AC868"/>
    <mergeCell ref="AC893:AH893"/>
    <mergeCell ref="W872:AC872"/>
    <mergeCell ref="AC884:AH884"/>
    <mergeCell ref="M875:V875"/>
    <mergeCell ref="W877:AC877"/>
    <mergeCell ref="W871:AC871"/>
    <mergeCell ref="BD899:BE899"/>
    <mergeCell ref="BD901:BE901"/>
    <mergeCell ref="M846:V846"/>
    <mergeCell ref="J849:V849"/>
    <mergeCell ref="W846:AC846"/>
    <mergeCell ref="AC886:AH886"/>
    <mergeCell ref="AA931:AF931"/>
    <mergeCell ref="U932:Z932"/>
    <mergeCell ref="AA932:AF932"/>
    <mergeCell ref="F938:T938"/>
    <mergeCell ref="W866:AC866"/>
    <mergeCell ref="W859:AC859"/>
    <mergeCell ref="U927:Z927"/>
    <mergeCell ref="AA927:AF927"/>
    <mergeCell ref="F929:T929"/>
    <mergeCell ref="AC887:AH887"/>
    <mergeCell ref="AA924:AF924"/>
    <mergeCell ref="M871:V871"/>
    <mergeCell ref="M878:V878"/>
    <mergeCell ref="F932:T932"/>
    <mergeCell ref="AG830:AJ830"/>
    <mergeCell ref="U832:X832"/>
    <mergeCell ref="M832:P832"/>
    <mergeCell ref="AC826:AF826"/>
    <mergeCell ref="AC827:AF827"/>
    <mergeCell ref="B734:F734"/>
    <mergeCell ref="X789:AB789"/>
    <mergeCell ref="O788:S788"/>
    <mergeCell ref="C828:H828"/>
    <mergeCell ref="Q829:T829"/>
    <mergeCell ref="AE956:AK956"/>
    <mergeCell ref="BD904:BE904"/>
    <mergeCell ref="BD906:BF906"/>
    <mergeCell ref="BD905:BF905"/>
    <mergeCell ref="BD910:BE910"/>
    <mergeCell ref="BD903:BE903"/>
    <mergeCell ref="AC889:AH889"/>
    <mergeCell ref="AC894:AH894"/>
    <mergeCell ref="Z899:AE899"/>
    <mergeCell ref="AC888:AH888"/>
    <mergeCell ref="F937:T937"/>
    <mergeCell ref="U937:Z937"/>
    <mergeCell ref="AA937:AF937"/>
    <mergeCell ref="F942:T942"/>
    <mergeCell ref="U942:Z942"/>
    <mergeCell ref="AA942:AF942"/>
    <mergeCell ref="C892:AB892"/>
    <mergeCell ref="U924:Z924"/>
    <mergeCell ref="U933:Z933"/>
    <mergeCell ref="U934:Z934"/>
    <mergeCell ref="P945:T945"/>
    <mergeCell ref="W876:AC876"/>
    <mergeCell ref="U829:X829"/>
    <mergeCell ref="X752:AB752"/>
    <mergeCell ref="Q828:T828"/>
    <mergeCell ref="T728:W728"/>
    <mergeCell ref="AC740:AG740"/>
    <mergeCell ref="AC741:AG741"/>
    <mergeCell ref="AC737:AG737"/>
    <mergeCell ref="J769:N772"/>
    <mergeCell ref="AG823:AJ824"/>
    <mergeCell ref="AC797:AG797"/>
    <mergeCell ref="AC787:AG787"/>
    <mergeCell ref="AC753:AG753"/>
    <mergeCell ref="O753:S753"/>
    <mergeCell ref="B736:F736"/>
    <mergeCell ref="B733:F733"/>
    <mergeCell ref="B731:F731"/>
    <mergeCell ref="T791:W791"/>
    <mergeCell ref="T787:W787"/>
    <mergeCell ref="T788:W788"/>
    <mergeCell ref="T789:W789"/>
    <mergeCell ref="O795:S795"/>
    <mergeCell ref="AC791:AG791"/>
    <mergeCell ref="K729:N729"/>
    <mergeCell ref="U828:X828"/>
    <mergeCell ref="AG828:AJ828"/>
    <mergeCell ref="Z807:AE807"/>
    <mergeCell ref="O774:S774"/>
    <mergeCell ref="O794:S794"/>
    <mergeCell ref="X769:AB772"/>
    <mergeCell ref="T737:W737"/>
    <mergeCell ref="Z814:AE814"/>
    <mergeCell ref="X794:AB794"/>
    <mergeCell ref="B752:F752"/>
    <mergeCell ref="O750:S750"/>
    <mergeCell ref="T742:W742"/>
    <mergeCell ref="X745:AB745"/>
    <mergeCell ref="X746:AB746"/>
    <mergeCell ref="K724:N724"/>
    <mergeCell ref="AI655:AK655"/>
    <mergeCell ref="G662:R662"/>
    <mergeCell ref="AG681:AH681"/>
    <mergeCell ref="AI687:AK687"/>
    <mergeCell ref="J705:O705"/>
    <mergeCell ref="Z655:AE655"/>
    <mergeCell ref="O739:S739"/>
    <mergeCell ref="AC750:AG750"/>
    <mergeCell ref="AG657:AH657"/>
    <mergeCell ref="G727:J727"/>
    <mergeCell ref="N673:O673"/>
    <mergeCell ref="G687:L687"/>
    <mergeCell ref="T722:W722"/>
    <mergeCell ref="Z677:AK677"/>
    <mergeCell ref="O714:S717"/>
    <mergeCell ref="AC721:AG721"/>
    <mergeCell ref="AG673:AH673"/>
    <mergeCell ref="X719:AB719"/>
    <mergeCell ref="B722:F722"/>
    <mergeCell ref="AC722:AG722"/>
    <mergeCell ref="AK722:AO722"/>
    <mergeCell ref="AC743:AG743"/>
    <mergeCell ref="O747:S747"/>
    <mergeCell ref="T747:W747"/>
    <mergeCell ref="AC748:AG748"/>
    <mergeCell ref="O740:S740"/>
    <mergeCell ref="CM739:CN739"/>
    <mergeCell ref="X731:AB731"/>
    <mergeCell ref="AH732:AJ732"/>
    <mergeCell ref="Z675:AK675"/>
    <mergeCell ref="CG739:CH739"/>
    <mergeCell ref="G659:R659"/>
    <mergeCell ref="CK752:CL752"/>
    <mergeCell ref="AO640:AS640"/>
    <mergeCell ref="CP747:CT747"/>
    <mergeCell ref="CG748:CH748"/>
    <mergeCell ref="CG734:CH734"/>
    <mergeCell ref="CP728:CT728"/>
    <mergeCell ref="CP734:CT734"/>
    <mergeCell ref="CK743:CL743"/>
    <mergeCell ref="CM743:CN743"/>
    <mergeCell ref="CP740:CT740"/>
    <mergeCell ref="CK722:CL722"/>
    <mergeCell ref="CK732:CL732"/>
    <mergeCell ref="CP736:CT736"/>
    <mergeCell ref="CM737:CN737"/>
    <mergeCell ref="CG749:CH749"/>
    <mergeCell ref="CG744:CH744"/>
    <mergeCell ref="CI744:CJ744"/>
    <mergeCell ref="CP723:CT723"/>
    <mergeCell ref="CP741:CT741"/>
    <mergeCell ref="Z669:AK669"/>
    <mergeCell ref="E707:AK707"/>
    <mergeCell ref="W706:AK706"/>
    <mergeCell ref="O722:S722"/>
    <mergeCell ref="H648:R648"/>
    <mergeCell ref="H680:R680"/>
    <mergeCell ref="Z659:AK659"/>
    <mergeCell ref="AH733:AJ733"/>
    <mergeCell ref="O726:S726"/>
    <mergeCell ref="B721:F721"/>
    <mergeCell ref="X728:AB728"/>
    <mergeCell ref="CK728:CL728"/>
    <mergeCell ref="CK731:CL731"/>
    <mergeCell ref="CK729:CL729"/>
    <mergeCell ref="CG743:CH743"/>
    <mergeCell ref="G675:R675"/>
    <mergeCell ref="Z661:AK661"/>
    <mergeCell ref="CP729:CT729"/>
    <mergeCell ref="CK725:CL725"/>
    <mergeCell ref="CK739:CL739"/>
    <mergeCell ref="Z654:AK654"/>
    <mergeCell ref="G654:R654"/>
    <mergeCell ref="G653:R653"/>
    <mergeCell ref="AE696:AI696"/>
    <mergeCell ref="K718:N718"/>
    <mergeCell ref="G736:J736"/>
    <mergeCell ref="P671:R671"/>
    <mergeCell ref="Z679:AE679"/>
    <mergeCell ref="AC724:AG724"/>
    <mergeCell ref="AE693:AF693"/>
    <mergeCell ref="X725:AB725"/>
    <mergeCell ref="K726:N726"/>
    <mergeCell ref="H672:R672"/>
    <mergeCell ref="T721:W721"/>
    <mergeCell ref="K720:N720"/>
    <mergeCell ref="T718:W718"/>
    <mergeCell ref="O721:S721"/>
    <mergeCell ref="K722:N722"/>
    <mergeCell ref="CI731:CJ731"/>
    <mergeCell ref="CP751:CT751"/>
    <mergeCell ref="CM751:CN751"/>
    <mergeCell ref="CZ725:DD725"/>
    <mergeCell ref="DE722:DI722"/>
    <mergeCell ref="K725:N725"/>
    <mergeCell ref="X720:AB720"/>
    <mergeCell ref="CM735:CN735"/>
    <mergeCell ref="K751:N751"/>
    <mergeCell ref="O751:S751"/>
    <mergeCell ref="CM720:CN720"/>
    <mergeCell ref="CP720:CT720"/>
    <mergeCell ref="CI720:CJ720"/>
    <mergeCell ref="CU720:CY720"/>
    <mergeCell ref="CU723:CY723"/>
    <mergeCell ref="CM722:CN722"/>
    <mergeCell ref="CG722:CH722"/>
    <mergeCell ref="DE727:DI727"/>
    <mergeCell ref="CZ741:DD741"/>
    <mergeCell ref="AC736:AG736"/>
    <mergeCell ref="CG729:CH729"/>
    <mergeCell ref="CG723:CH723"/>
    <mergeCell ref="CG720:CH720"/>
    <mergeCell ref="CU733:CY733"/>
    <mergeCell ref="CP737:CT737"/>
    <mergeCell ref="CM728:CN728"/>
    <mergeCell ref="AC742:AG742"/>
    <mergeCell ref="CK724:CL724"/>
    <mergeCell ref="DE730:DI730"/>
    <mergeCell ref="CK746:CL746"/>
    <mergeCell ref="CM746:CN746"/>
    <mergeCell ref="CM723:CN723"/>
    <mergeCell ref="AK729:AO729"/>
    <mergeCell ref="DE739:DI739"/>
    <mergeCell ref="AH750:AJ750"/>
    <mergeCell ref="DE726:DI726"/>
    <mergeCell ref="DE719:DI719"/>
    <mergeCell ref="CZ720:DD720"/>
    <mergeCell ref="DE721:DI721"/>
    <mergeCell ref="DE723:DI723"/>
    <mergeCell ref="CZ724:DD724"/>
    <mergeCell ref="CK736:CL736"/>
    <mergeCell ref="DE734:DI734"/>
    <mergeCell ref="CG737:CH737"/>
    <mergeCell ref="CZ729:DD729"/>
    <mergeCell ref="CG733:CH733"/>
    <mergeCell ref="CI734:CJ734"/>
    <mergeCell ref="AH721:AJ721"/>
    <mergeCell ref="AK719:AO719"/>
    <mergeCell ref="AK750:AO750"/>
    <mergeCell ref="CK744:CL744"/>
    <mergeCell ref="CM744:CN744"/>
    <mergeCell ref="AK727:AO727"/>
    <mergeCell ref="AH724:AJ724"/>
    <mergeCell ref="DE728:DI728"/>
    <mergeCell ref="CU729:CY729"/>
    <mergeCell ref="CP733:CT733"/>
    <mergeCell ref="CK735:CL735"/>
    <mergeCell ref="CU740:CY740"/>
    <mergeCell ref="CI739:CJ739"/>
    <mergeCell ref="DE731:DI731"/>
    <mergeCell ref="CK727:CL727"/>
    <mergeCell ref="CG742:CH742"/>
    <mergeCell ref="CG740:CH740"/>
    <mergeCell ref="AH740:AJ740"/>
    <mergeCell ref="DE737:DI737"/>
    <mergeCell ref="DJ727:DN727"/>
    <mergeCell ref="DJ726:DN726"/>
    <mergeCell ref="CU724:CY724"/>
    <mergeCell ref="CU725:CY725"/>
    <mergeCell ref="CI725:CJ725"/>
    <mergeCell ref="CP730:CT730"/>
    <mergeCell ref="CU731:CY731"/>
    <mergeCell ref="CI726:CJ726"/>
    <mergeCell ref="CG726:CH726"/>
    <mergeCell ref="CM727:CN727"/>
    <mergeCell ref="CK726:CL726"/>
    <mergeCell ref="DE732:DI732"/>
    <mergeCell ref="CM732:CN732"/>
    <mergeCell ref="DJ725:DN725"/>
    <mergeCell ref="DE725:DI725"/>
    <mergeCell ref="CP726:CT726"/>
    <mergeCell ref="DE729:DI729"/>
    <mergeCell ref="CU727:CY727"/>
    <mergeCell ref="DJ729:DN729"/>
    <mergeCell ref="DJ731:DN731"/>
    <mergeCell ref="CG735:CH735"/>
    <mergeCell ref="CI737:CJ737"/>
    <mergeCell ref="DJ728:DN728"/>
    <mergeCell ref="DJ737:DN737"/>
    <mergeCell ref="CG732:CH732"/>
    <mergeCell ref="CP735:CT735"/>
    <mergeCell ref="DJ736:DN736"/>
    <mergeCell ref="DE736:DI736"/>
    <mergeCell ref="CZ728:DD728"/>
    <mergeCell ref="CZ735:DD735"/>
    <mergeCell ref="CU734:CY734"/>
    <mergeCell ref="AJ357:AK357"/>
    <mergeCell ref="D444:AF444"/>
    <mergeCell ref="M554:P554"/>
    <mergeCell ref="W465:Y465"/>
    <mergeCell ref="M358:N358"/>
    <mergeCell ref="T563:V563"/>
    <mergeCell ref="Z564:AD564"/>
    <mergeCell ref="Z565:AD565"/>
    <mergeCell ref="Z572:AE572"/>
    <mergeCell ref="AI562:AL562"/>
    <mergeCell ref="Z558:AD558"/>
    <mergeCell ref="G579:R579"/>
    <mergeCell ref="Z559:AD559"/>
    <mergeCell ref="Z562:AD562"/>
    <mergeCell ref="C557:L557"/>
    <mergeCell ref="Z579:AK579"/>
    <mergeCell ref="G577:R577"/>
    <mergeCell ref="G572:L572"/>
    <mergeCell ref="M565:P565"/>
    <mergeCell ref="AE556:AH556"/>
    <mergeCell ref="AE559:AH559"/>
    <mergeCell ref="AI559:AL559"/>
    <mergeCell ref="T558:V558"/>
    <mergeCell ref="W561:Y561"/>
    <mergeCell ref="W562:Y562"/>
    <mergeCell ref="AI556:AL556"/>
    <mergeCell ref="AH501:AK501"/>
    <mergeCell ref="T559:V559"/>
    <mergeCell ref="G474:V474"/>
    <mergeCell ref="AH526:AK526"/>
    <mergeCell ref="T557:V557"/>
    <mergeCell ref="AC518:AF518"/>
    <mergeCell ref="AM565:AS565"/>
    <mergeCell ref="AE563:AH563"/>
    <mergeCell ref="AM563:AS563"/>
    <mergeCell ref="W703:AK703"/>
    <mergeCell ref="G678:R678"/>
    <mergeCell ref="P679:R679"/>
    <mergeCell ref="Z676:AK676"/>
    <mergeCell ref="W700:AK700"/>
    <mergeCell ref="Z683:AK683"/>
    <mergeCell ref="AA688:AK688"/>
    <mergeCell ref="AC719:AG719"/>
    <mergeCell ref="G677:R677"/>
    <mergeCell ref="Z678:AK678"/>
    <mergeCell ref="G605:L605"/>
    <mergeCell ref="G604:R604"/>
    <mergeCell ref="AF629:AJ629"/>
    <mergeCell ref="AI613:AK613"/>
    <mergeCell ref="AA614:AK614"/>
    <mergeCell ref="AC624:AE626"/>
    <mergeCell ref="T630:V630"/>
    <mergeCell ref="T631:V631"/>
    <mergeCell ref="P589:R589"/>
    <mergeCell ref="Z588:AK588"/>
    <mergeCell ref="AF633:AJ633"/>
    <mergeCell ref="G683:R683"/>
    <mergeCell ref="G651:R651"/>
    <mergeCell ref="G652:R652"/>
    <mergeCell ref="G644:R644"/>
    <mergeCell ref="P655:R655"/>
    <mergeCell ref="J704:X704"/>
    <mergeCell ref="T714:W717"/>
    <mergeCell ref="H664:R664"/>
    <mergeCell ref="AG575:AH575"/>
    <mergeCell ref="T635:V635"/>
    <mergeCell ref="T636:V636"/>
    <mergeCell ref="T637:V637"/>
    <mergeCell ref="N372:Q372"/>
    <mergeCell ref="P424:Q424"/>
    <mergeCell ref="C563:L563"/>
    <mergeCell ref="AE565:AH565"/>
    <mergeCell ref="G587:R587"/>
    <mergeCell ref="G578:R578"/>
    <mergeCell ref="M562:P562"/>
    <mergeCell ref="M563:P563"/>
    <mergeCell ref="AI561:AL561"/>
    <mergeCell ref="W563:Y563"/>
    <mergeCell ref="W564:Y564"/>
    <mergeCell ref="W565:Y565"/>
    <mergeCell ref="R411:S411"/>
    <mergeCell ref="AC635:AE635"/>
    <mergeCell ref="W635:Y635"/>
    <mergeCell ref="Z597:AE597"/>
    <mergeCell ref="AH519:AK519"/>
    <mergeCell ref="G581:L581"/>
    <mergeCell ref="W554:Y554"/>
    <mergeCell ref="AH536:AK536"/>
    <mergeCell ref="Z571:AK571"/>
    <mergeCell ref="W555:Y555"/>
    <mergeCell ref="G580:R580"/>
    <mergeCell ref="W631:Y631"/>
    <mergeCell ref="AG615:AH615"/>
    <mergeCell ref="G612:R612"/>
    <mergeCell ref="AF634:AJ634"/>
    <mergeCell ref="W637:Y637"/>
    <mergeCell ref="EC652:EG652"/>
    <mergeCell ref="EH652:EL652"/>
    <mergeCell ref="ER650:EV650"/>
    <mergeCell ref="EM650:EQ650"/>
    <mergeCell ref="DX653:EB653"/>
    <mergeCell ref="EC653:EG653"/>
    <mergeCell ref="T561:V561"/>
    <mergeCell ref="AG379:AH379"/>
    <mergeCell ref="AM558:AS558"/>
    <mergeCell ref="AM566:AS566"/>
    <mergeCell ref="AM556:AS556"/>
    <mergeCell ref="Z434:AA434"/>
    <mergeCell ref="DO717:DS717"/>
    <mergeCell ref="DO718:DS718"/>
    <mergeCell ref="DO719:DS719"/>
    <mergeCell ref="T638:V638"/>
    <mergeCell ref="T628:V628"/>
    <mergeCell ref="AK628:AN628"/>
    <mergeCell ref="AM564:AS564"/>
    <mergeCell ref="AI581:AK581"/>
    <mergeCell ref="Z601:AK601"/>
    <mergeCell ref="W556:Y556"/>
    <mergeCell ref="AE564:AH564"/>
    <mergeCell ref="W469:Y469"/>
    <mergeCell ref="AH515:AK515"/>
    <mergeCell ref="AC516:AF516"/>
    <mergeCell ref="AH509:AK509"/>
    <mergeCell ref="S392:U392"/>
    <mergeCell ref="Z589:AE589"/>
    <mergeCell ref="Q624:S626"/>
    <mergeCell ref="Z568:AK568"/>
    <mergeCell ref="AG599:AH599"/>
    <mergeCell ref="AO636:AS636"/>
    <mergeCell ref="AO641:AS641"/>
    <mergeCell ref="Z651:AK651"/>
    <mergeCell ref="AK638:AN638"/>
    <mergeCell ref="Q632:S632"/>
    <mergeCell ref="G719:J719"/>
    <mergeCell ref="AO632:AS632"/>
    <mergeCell ref="AC628:AE628"/>
    <mergeCell ref="C629:L629"/>
    <mergeCell ref="G676:R676"/>
    <mergeCell ref="A617:AT618"/>
    <mergeCell ref="B624:L626"/>
    <mergeCell ref="Z604:AK604"/>
    <mergeCell ref="Z610:AK610"/>
    <mergeCell ref="AC629:AE629"/>
    <mergeCell ref="AO633:AS633"/>
    <mergeCell ref="AO628:AS628"/>
    <mergeCell ref="AC632:AE632"/>
    <mergeCell ref="AC630:AE630"/>
    <mergeCell ref="N681:O681"/>
    <mergeCell ref="G670:R670"/>
    <mergeCell ref="G684:R684"/>
    <mergeCell ref="AK627:AN627"/>
    <mergeCell ref="AA648:AK648"/>
    <mergeCell ref="AK637:AN637"/>
    <mergeCell ref="M634:P634"/>
    <mergeCell ref="Q634:S634"/>
    <mergeCell ref="M637:P637"/>
    <mergeCell ref="W638:Y638"/>
    <mergeCell ref="P647:R647"/>
    <mergeCell ref="AI647:AK647"/>
    <mergeCell ref="G718:J718"/>
    <mergeCell ref="AM561:AS561"/>
    <mergeCell ref="Z631:AB631"/>
    <mergeCell ref="AF624:AJ626"/>
    <mergeCell ref="AG390:AJ390"/>
    <mergeCell ref="DX652:EB652"/>
    <mergeCell ref="AK721:AO721"/>
    <mergeCell ref="Q391:U391"/>
    <mergeCell ref="AM559:AS559"/>
    <mergeCell ref="CG725:CH725"/>
    <mergeCell ref="DJ723:DN723"/>
    <mergeCell ref="DJ724:DN724"/>
    <mergeCell ref="G646:R646"/>
    <mergeCell ref="AA680:AK680"/>
    <mergeCell ref="G714:J717"/>
    <mergeCell ref="G668:R668"/>
    <mergeCell ref="W633:Y633"/>
    <mergeCell ref="Z630:AB630"/>
    <mergeCell ref="AE702:AF702"/>
    <mergeCell ref="G645:R645"/>
    <mergeCell ref="AI663:AK663"/>
    <mergeCell ref="AK634:AN634"/>
    <mergeCell ref="AK635:AN635"/>
    <mergeCell ref="AK636:AN636"/>
    <mergeCell ref="C637:L637"/>
    <mergeCell ref="G679:L679"/>
    <mergeCell ref="Z662:AK662"/>
    <mergeCell ref="AC638:AE638"/>
    <mergeCell ref="G723:J723"/>
    <mergeCell ref="O725:S725"/>
    <mergeCell ref="G647:L647"/>
    <mergeCell ref="C638:L638"/>
    <mergeCell ref="Z686:AK686"/>
    <mergeCell ref="AM562:AS562"/>
    <mergeCell ref="T633:V633"/>
    <mergeCell ref="Z670:AK670"/>
    <mergeCell ref="AK728:AO728"/>
    <mergeCell ref="AF631:AJ631"/>
    <mergeCell ref="AK633:AN633"/>
    <mergeCell ref="Z645:AK645"/>
    <mergeCell ref="Z629:AB629"/>
    <mergeCell ref="AE699:AI699"/>
    <mergeCell ref="DE720:DI720"/>
    <mergeCell ref="DE724:DI724"/>
    <mergeCell ref="AA672:AK672"/>
    <mergeCell ref="Z684:AK684"/>
    <mergeCell ref="Z687:AE687"/>
    <mergeCell ref="AH718:AJ718"/>
    <mergeCell ref="AC718:AG718"/>
    <mergeCell ref="AK714:AO717"/>
    <mergeCell ref="AK718:AO718"/>
    <mergeCell ref="AK630:AN630"/>
    <mergeCell ref="AK631:AN631"/>
    <mergeCell ref="AK632:AN632"/>
    <mergeCell ref="AI671:AK671"/>
    <mergeCell ref="AE695:AI695"/>
    <mergeCell ref="Z644:AK644"/>
    <mergeCell ref="CI723:CJ723"/>
    <mergeCell ref="CG718:CH718"/>
    <mergeCell ref="CG727:CH727"/>
    <mergeCell ref="CZ721:DD721"/>
    <mergeCell ref="CZ719:DD719"/>
    <mergeCell ref="CI717:CJ717"/>
    <mergeCell ref="Z671:AE671"/>
    <mergeCell ref="X721:AB721"/>
    <mergeCell ref="ET721:EX721"/>
    <mergeCell ref="EE720:EI720"/>
    <mergeCell ref="CM717:CN717"/>
    <mergeCell ref="CK719:CL719"/>
    <mergeCell ref="CZ723:DD723"/>
    <mergeCell ref="DZ718:ED718"/>
    <mergeCell ref="EE718:EI718"/>
    <mergeCell ref="EJ718:EN718"/>
    <mergeCell ref="DJ718:DN718"/>
    <mergeCell ref="DJ719:DN719"/>
    <mergeCell ref="CU717:CY717"/>
    <mergeCell ref="DJ720:DN720"/>
    <mergeCell ref="DJ717:DN717"/>
    <mergeCell ref="DJ722:DN722"/>
    <mergeCell ref="EJ717:EN717"/>
    <mergeCell ref="EO720:ES720"/>
    <mergeCell ref="EO722:ES722"/>
    <mergeCell ref="EO717:ES717"/>
    <mergeCell ref="DE717:DI717"/>
    <mergeCell ref="CU721:CY721"/>
    <mergeCell ref="CZ722:DD722"/>
    <mergeCell ref="ET718:EX718"/>
    <mergeCell ref="DU723:DY723"/>
    <mergeCell ref="DZ723:ED723"/>
    <mergeCell ref="EE719:EI719"/>
    <mergeCell ref="DZ720:ED720"/>
    <mergeCell ref="EJ719:EN719"/>
    <mergeCell ref="DZ719:ED719"/>
    <mergeCell ref="ET720:EX720"/>
    <mergeCell ref="DO722:DS722"/>
    <mergeCell ref="DO723:DS723"/>
    <mergeCell ref="DJ721:DN721"/>
    <mergeCell ref="EO725:ES725"/>
    <mergeCell ref="EJ724:EN724"/>
    <mergeCell ref="EO723:ES723"/>
    <mergeCell ref="DZ734:ED734"/>
    <mergeCell ref="DU726:DY726"/>
    <mergeCell ref="DU734:DY734"/>
    <mergeCell ref="EO728:ES728"/>
    <mergeCell ref="ET728:EX728"/>
    <mergeCell ref="EJ729:EN729"/>
    <mergeCell ref="DZ731:ED731"/>
    <mergeCell ref="ET731:EX731"/>
    <mergeCell ref="EJ727:EN727"/>
    <mergeCell ref="EO729:ES729"/>
    <mergeCell ref="EO732:ES732"/>
    <mergeCell ref="EJ722:EN722"/>
    <mergeCell ref="EO724:ES724"/>
    <mergeCell ref="ET724:EX724"/>
    <mergeCell ref="EO726:ES726"/>
    <mergeCell ref="ET726:EX726"/>
    <mergeCell ref="ET722:EX722"/>
    <mergeCell ref="EJ734:EN734"/>
    <mergeCell ref="EE733:EI733"/>
    <mergeCell ref="ET732:EX732"/>
    <mergeCell ref="DU725:DY725"/>
    <mergeCell ref="DZ725:ED725"/>
    <mergeCell ref="ET725:EX725"/>
    <mergeCell ref="DU724:DY724"/>
    <mergeCell ref="EO730:ES730"/>
    <mergeCell ref="ET730:EX730"/>
    <mergeCell ref="EE722:EI722"/>
    <mergeCell ref="ET729:EX729"/>
    <mergeCell ref="DU727:DY727"/>
    <mergeCell ref="J792:N792"/>
    <mergeCell ref="CU774:CY774"/>
    <mergeCell ref="X783:AB786"/>
    <mergeCell ref="X787:AB787"/>
    <mergeCell ref="X796:AB796"/>
    <mergeCell ref="Y829:AB829"/>
    <mergeCell ref="AC829:AF829"/>
    <mergeCell ref="Y826:AB826"/>
    <mergeCell ref="P816:Y816"/>
    <mergeCell ref="EE728:EI728"/>
    <mergeCell ref="EJ728:EN728"/>
    <mergeCell ref="EO727:ES727"/>
    <mergeCell ref="EJ733:EN733"/>
    <mergeCell ref="DZ729:ED729"/>
    <mergeCell ref="ET727:EX727"/>
    <mergeCell ref="DZ727:ED727"/>
    <mergeCell ref="EE727:EI727"/>
    <mergeCell ref="ET736:EX736"/>
    <mergeCell ref="EE735:EI735"/>
    <mergeCell ref="ET752:EX752"/>
    <mergeCell ref="EO751:ES751"/>
    <mergeCell ref="CZ752:DD752"/>
    <mergeCell ref="ET753:EX753"/>
    <mergeCell ref="K727:N727"/>
    <mergeCell ref="AC729:AG729"/>
    <mergeCell ref="O728:S728"/>
    <mergeCell ref="K730:N730"/>
    <mergeCell ref="DO727:DS727"/>
    <mergeCell ref="DO728:DS728"/>
    <mergeCell ref="DO730:DS730"/>
    <mergeCell ref="DO731:DS731"/>
    <mergeCell ref="DO729:DS729"/>
    <mergeCell ref="U825:X825"/>
    <mergeCell ref="CG738:CH738"/>
    <mergeCell ref="G734:J734"/>
    <mergeCell ref="Y827:AB827"/>
    <mergeCell ref="AG827:AJ827"/>
    <mergeCell ref="U823:X824"/>
    <mergeCell ref="G739:J739"/>
    <mergeCell ref="DJ735:DN735"/>
    <mergeCell ref="DG122:DM122"/>
    <mergeCell ref="CU122:CV122"/>
    <mergeCell ref="AH714:AJ717"/>
    <mergeCell ref="AH725:AJ725"/>
    <mergeCell ref="BI841:BL841"/>
    <mergeCell ref="AC823:AF824"/>
    <mergeCell ref="Z816:AE816"/>
    <mergeCell ref="AC773:AG773"/>
    <mergeCell ref="AC725:AG725"/>
    <mergeCell ref="AC726:AG726"/>
    <mergeCell ref="AC830:AF830"/>
    <mergeCell ref="Y828:AB828"/>
    <mergeCell ref="AC769:AG772"/>
    <mergeCell ref="Y832:AB832"/>
    <mergeCell ref="DJ739:DN739"/>
    <mergeCell ref="CK740:CL740"/>
    <mergeCell ref="DE752:DI752"/>
    <mergeCell ref="AF627:AJ627"/>
    <mergeCell ref="CG752:CH752"/>
    <mergeCell ref="AC831:AF831"/>
    <mergeCell ref="AH734:AJ734"/>
    <mergeCell ref="X737:AB737"/>
    <mergeCell ref="X790:AB790"/>
    <mergeCell ref="U831:X831"/>
    <mergeCell ref="C829:H829"/>
    <mergeCell ref="U949:Z949"/>
    <mergeCell ref="C830:H830"/>
    <mergeCell ref="F831:L831"/>
    <mergeCell ref="U827:X827"/>
    <mergeCell ref="C827:H827"/>
    <mergeCell ref="I949:T949"/>
    <mergeCell ref="U938:Z938"/>
    <mergeCell ref="M955:S955"/>
    <mergeCell ref="U928:Z928"/>
    <mergeCell ref="U948:Z948"/>
    <mergeCell ref="AA935:AF935"/>
    <mergeCell ref="AA918:AF918"/>
    <mergeCell ref="W870:AC870"/>
    <mergeCell ref="O790:S790"/>
    <mergeCell ref="DO739:DS739"/>
    <mergeCell ref="CG736:CH736"/>
    <mergeCell ref="CI740:CJ740"/>
    <mergeCell ref="BG848:BL848"/>
    <mergeCell ref="CP802:CT802"/>
    <mergeCell ref="CP788:CT788"/>
    <mergeCell ref="U830:X830"/>
    <mergeCell ref="J796:N796"/>
    <mergeCell ref="J777:N777"/>
    <mergeCell ref="CU777:CY777"/>
    <mergeCell ref="CU753:CY753"/>
    <mergeCell ref="CM752:CN752"/>
    <mergeCell ref="CP752:CT752"/>
    <mergeCell ref="CP774:CT774"/>
    <mergeCell ref="CG751:CH751"/>
    <mergeCell ref="CU738:CY738"/>
    <mergeCell ref="O796:S796"/>
    <mergeCell ref="M968:S968"/>
    <mergeCell ref="AA939:AF939"/>
    <mergeCell ref="AA940:AF940"/>
    <mergeCell ref="W853:AC853"/>
    <mergeCell ref="AC828:AF828"/>
    <mergeCell ref="AG829:AJ829"/>
    <mergeCell ref="AG826:AJ826"/>
    <mergeCell ref="AG825:AJ825"/>
    <mergeCell ref="I948:T948"/>
    <mergeCell ref="AC895:AH895"/>
    <mergeCell ref="AA933:AF933"/>
    <mergeCell ref="Z900:AE900"/>
    <mergeCell ref="Y825:AB825"/>
    <mergeCell ref="AC825:AF825"/>
    <mergeCell ref="AA941:AF941"/>
    <mergeCell ref="AA929:AF929"/>
    <mergeCell ref="U930:Z930"/>
    <mergeCell ref="AA930:AF930"/>
    <mergeCell ref="U826:X826"/>
    <mergeCell ref="F930:T930"/>
    <mergeCell ref="U944:Z944"/>
    <mergeCell ref="F940:T940"/>
    <mergeCell ref="U939:Z939"/>
    <mergeCell ref="A910:AT911"/>
    <mergeCell ref="F936:T936"/>
    <mergeCell ref="AA947:AF947"/>
    <mergeCell ref="U922:Z922"/>
    <mergeCell ref="W849:AC849"/>
    <mergeCell ref="M877:V877"/>
    <mergeCell ref="W869:AC869"/>
    <mergeCell ref="W842:AC842"/>
    <mergeCell ref="W847:AC847"/>
    <mergeCell ref="AA949:AF949"/>
    <mergeCell ref="E885:AB885"/>
    <mergeCell ref="M831:P831"/>
    <mergeCell ref="Q831:T831"/>
    <mergeCell ref="M960:S960"/>
    <mergeCell ref="Z901:AE901"/>
    <mergeCell ref="W878:AC878"/>
    <mergeCell ref="U931:Z931"/>
    <mergeCell ref="F915:T915"/>
    <mergeCell ref="I946:T946"/>
    <mergeCell ref="AA946:AF946"/>
    <mergeCell ref="AA944:AF944"/>
    <mergeCell ref="AA928:AF928"/>
    <mergeCell ref="AA936:AF936"/>
    <mergeCell ref="U943:Z943"/>
    <mergeCell ref="U941:Z941"/>
    <mergeCell ref="AA943:AF943"/>
    <mergeCell ref="AC885:AH885"/>
    <mergeCell ref="W861:AC861"/>
    <mergeCell ref="U946:Z946"/>
    <mergeCell ref="C895:AB895"/>
    <mergeCell ref="F946:H946"/>
    <mergeCell ref="U915:Z917"/>
    <mergeCell ref="U950:Z950"/>
    <mergeCell ref="W843:AC843"/>
    <mergeCell ref="Q832:T832"/>
    <mergeCell ref="F931:T931"/>
    <mergeCell ref="U936:Z936"/>
    <mergeCell ref="F944:T944"/>
    <mergeCell ref="U920:Z920"/>
    <mergeCell ref="M861:V861"/>
    <mergeCell ref="W845:AC845"/>
    <mergeCell ref="A1125:B1125"/>
    <mergeCell ref="G725:J725"/>
    <mergeCell ref="B732:F732"/>
    <mergeCell ref="T745:W745"/>
    <mergeCell ref="AH730:AJ730"/>
    <mergeCell ref="AC723:AG723"/>
    <mergeCell ref="AC794:AG794"/>
    <mergeCell ref="AC795:AG795"/>
    <mergeCell ref="BG976:BL976"/>
    <mergeCell ref="AA950:AF950"/>
    <mergeCell ref="BD907:BE907"/>
    <mergeCell ref="BD908:BE908"/>
    <mergeCell ref="U947:Z947"/>
    <mergeCell ref="U919:Z919"/>
    <mergeCell ref="U945:Z945"/>
    <mergeCell ref="AA934:AF934"/>
    <mergeCell ref="U921:Z921"/>
    <mergeCell ref="AA921:AF921"/>
    <mergeCell ref="AC883:AH883"/>
    <mergeCell ref="Z902:AE902"/>
    <mergeCell ref="W863:AC863"/>
    <mergeCell ref="AC891:AH891"/>
    <mergeCell ref="C894:AB894"/>
    <mergeCell ref="AG832:AJ832"/>
    <mergeCell ref="W844:AC844"/>
    <mergeCell ref="AC832:AF832"/>
    <mergeCell ref="U935:Z935"/>
    <mergeCell ref="AA923:AF923"/>
    <mergeCell ref="AB917:AE917"/>
    <mergeCell ref="AA922:AF922"/>
    <mergeCell ref="M958:S958"/>
    <mergeCell ref="AA972:AG972"/>
    <mergeCell ref="D1125:AK1127"/>
    <mergeCell ref="X726:AB726"/>
    <mergeCell ref="AH723:AJ723"/>
    <mergeCell ref="A1097:B1097"/>
    <mergeCell ref="AE960:AK960"/>
    <mergeCell ref="AE961:AK961"/>
    <mergeCell ref="AA948:AF948"/>
    <mergeCell ref="T730:W730"/>
    <mergeCell ref="M967:S967"/>
    <mergeCell ref="O792:S792"/>
    <mergeCell ref="T726:W726"/>
    <mergeCell ref="A1100:B1100"/>
    <mergeCell ref="G733:J733"/>
    <mergeCell ref="A1094:B1094"/>
    <mergeCell ref="K732:N732"/>
    <mergeCell ref="AJ991:AQ991"/>
    <mergeCell ref="W865:AC865"/>
    <mergeCell ref="W879:AC879"/>
    <mergeCell ref="G726:J726"/>
    <mergeCell ref="K733:N733"/>
    <mergeCell ref="O748:S748"/>
    <mergeCell ref="T775:W775"/>
    <mergeCell ref="C763:AR765"/>
    <mergeCell ref="AC752:AG752"/>
    <mergeCell ref="T749:W749"/>
    <mergeCell ref="K750:N750"/>
    <mergeCell ref="X748:AB748"/>
    <mergeCell ref="X749:AB749"/>
    <mergeCell ref="X750:AB750"/>
    <mergeCell ref="C826:H826"/>
    <mergeCell ref="K752:N752"/>
    <mergeCell ref="O738:S738"/>
    <mergeCell ref="Z806:AE806"/>
    <mergeCell ref="X791:AB791"/>
    <mergeCell ref="X739:AB739"/>
    <mergeCell ref="G740:J740"/>
    <mergeCell ref="O756:R756"/>
    <mergeCell ref="AG756:AJ756"/>
    <mergeCell ref="AC744:AG744"/>
    <mergeCell ref="AC745:AG745"/>
    <mergeCell ref="AC746:AG746"/>
    <mergeCell ref="T769:W772"/>
    <mergeCell ref="AC793:AG793"/>
    <mergeCell ref="X775:AB775"/>
    <mergeCell ref="X776:AB776"/>
    <mergeCell ref="AC775:AG775"/>
    <mergeCell ref="AC783:AG786"/>
    <mergeCell ref="J791:N791"/>
    <mergeCell ref="X792:AB792"/>
    <mergeCell ref="T748:W748"/>
    <mergeCell ref="O776:S776"/>
    <mergeCell ref="O769:S772"/>
    <mergeCell ref="B754:AH755"/>
    <mergeCell ref="K745:N745"/>
    <mergeCell ref="B740:F740"/>
    <mergeCell ref="AD759:AF759"/>
    <mergeCell ref="O746:S746"/>
    <mergeCell ref="T746:W746"/>
    <mergeCell ref="K747:N747"/>
    <mergeCell ref="T740:W740"/>
    <mergeCell ref="G741:J741"/>
    <mergeCell ref="T739:W739"/>
    <mergeCell ref="K740:N740"/>
    <mergeCell ref="X774:AB774"/>
    <mergeCell ref="J788:N788"/>
    <mergeCell ref="T773:W773"/>
    <mergeCell ref="AC747:AG747"/>
    <mergeCell ref="J773:N773"/>
    <mergeCell ref="O773:S773"/>
    <mergeCell ref="T752:W752"/>
    <mergeCell ref="J776:N776"/>
    <mergeCell ref="C766:AR768"/>
    <mergeCell ref="AC738:AG738"/>
    <mergeCell ref="AH753:AJ753"/>
    <mergeCell ref="AK745:AO745"/>
    <mergeCell ref="AH741:AJ741"/>
    <mergeCell ref="AK740:AO740"/>
    <mergeCell ref="AK741:AO741"/>
    <mergeCell ref="AK752:AO752"/>
    <mergeCell ref="O741:S741"/>
    <mergeCell ref="T744:W744"/>
    <mergeCell ref="K749:N749"/>
    <mergeCell ref="O749:S749"/>
    <mergeCell ref="X751:AB751"/>
    <mergeCell ref="B744:F744"/>
    <mergeCell ref="B745:F745"/>
    <mergeCell ref="AC751:AG751"/>
    <mergeCell ref="O745:S745"/>
    <mergeCell ref="X747:AB747"/>
    <mergeCell ref="AH752:AJ752"/>
    <mergeCell ref="AH751:AJ751"/>
    <mergeCell ref="G753:J753"/>
    <mergeCell ref="AH749:AJ749"/>
    <mergeCell ref="J774:N774"/>
    <mergeCell ref="AK751:AO751"/>
    <mergeCell ref="AH739:AJ739"/>
    <mergeCell ref="G737:J737"/>
    <mergeCell ref="G735:J735"/>
    <mergeCell ref="K743:N743"/>
    <mergeCell ref="O743:S743"/>
    <mergeCell ref="T743:W743"/>
    <mergeCell ref="K744:N744"/>
    <mergeCell ref="O744:S744"/>
    <mergeCell ref="K728:N728"/>
    <mergeCell ref="K746:N746"/>
    <mergeCell ref="T751:W751"/>
    <mergeCell ref="K748:N748"/>
    <mergeCell ref="AC739:AG739"/>
    <mergeCell ref="X732:AB732"/>
    <mergeCell ref="K734:N734"/>
    <mergeCell ref="O731:S731"/>
    <mergeCell ref="B737:F737"/>
    <mergeCell ref="B735:F735"/>
    <mergeCell ref="B738:F738"/>
    <mergeCell ref="K737:N737"/>
    <mergeCell ref="O730:S730"/>
    <mergeCell ref="X741:AB741"/>
    <mergeCell ref="T732:W732"/>
    <mergeCell ref="T731:W731"/>
    <mergeCell ref="K741:N741"/>
    <mergeCell ref="O736:S736"/>
    <mergeCell ref="K738:N738"/>
    <mergeCell ref="K723:N723"/>
    <mergeCell ref="T723:W723"/>
    <mergeCell ref="K721:N721"/>
    <mergeCell ref="G667:R667"/>
    <mergeCell ref="AC731:AG731"/>
    <mergeCell ref="T736:W736"/>
    <mergeCell ref="O720:S720"/>
    <mergeCell ref="O733:S733"/>
    <mergeCell ref="K719:N719"/>
    <mergeCell ref="K731:N731"/>
    <mergeCell ref="AA945:AF945"/>
    <mergeCell ref="U918:Z918"/>
    <mergeCell ref="B641:AN641"/>
    <mergeCell ref="G643:R643"/>
    <mergeCell ref="X735:AB735"/>
    <mergeCell ref="X736:AB736"/>
    <mergeCell ref="T735:W735"/>
    <mergeCell ref="T734:W734"/>
    <mergeCell ref="AC727:AG727"/>
    <mergeCell ref="AC728:AG728"/>
    <mergeCell ref="AC732:AG732"/>
    <mergeCell ref="X733:AB733"/>
    <mergeCell ref="G732:J732"/>
    <mergeCell ref="AH735:AJ735"/>
    <mergeCell ref="X734:AB734"/>
    <mergeCell ref="AK735:AO735"/>
    <mergeCell ref="B739:F739"/>
    <mergeCell ref="K735:N735"/>
    <mergeCell ref="K736:N736"/>
    <mergeCell ref="AH731:AJ731"/>
    <mergeCell ref="B751:F751"/>
    <mergeCell ref="O732:S732"/>
    <mergeCell ref="T973:Z973"/>
    <mergeCell ref="I947:T947"/>
    <mergeCell ref="D1001:AE1001"/>
    <mergeCell ref="D1002:AE1006"/>
    <mergeCell ref="D1011:AE1011"/>
    <mergeCell ref="D1012:AE1012"/>
    <mergeCell ref="AF1027:AI1028"/>
    <mergeCell ref="M962:S962"/>
    <mergeCell ref="AA925:AF925"/>
    <mergeCell ref="AE958:AK958"/>
    <mergeCell ref="F916:T917"/>
    <mergeCell ref="F939:T939"/>
    <mergeCell ref="AB988:AI988"/>
    <mergeCell ref="R986:AA986"/>
    <mergeCell ref="M959:S959"/>
    <mergeCell ref="B991:AA991"/>
    <mergeCell ref="D994:AE994"/>
    <mergeCell ref="D1000:AE1000"/>
    <mergeCell ref="AA920:AF920"/>
    <mergeCell ref="AA919:AF919"/>
    <mergeCell ref="U925:Z925"/>
    <mergeCell ref="AA967:AG967"/>
    <mergeCell ref="F926:T926"/>
    <mergeCell ref="F927:T927"/>
    <mergeCell ref="F928:T928"/>
    <mergeCell ref="U926:Z926"/>
    <mergeCell ref="AA926:AF926"/>
    <mergeCell ref="D989:Q989"/>
    <mergeCell ref="R988:AA988"/>
    <mergeCell ref="M969:S969"/>
    <mergeCell ref="AA975:AG975"/>
    <mergeCell ref="AA969:AG969"/>
    <mergeCell ref="AJ1041:AQ1044"/>
    <mergeCell ref="D1030:AE1031"/>
    <mergeCell ref="B993:AE993"/>
    <mergeCell ref="D1045:AE1045"/>
    <mergeCell ref="D1014:AE1015"/>
    <mergeCell ref="AG1045:AH1045"/>
    <mergeCell ref="D1017:AE1019"/>
    <mergeCell ref="AG1032:AH1032"/>
    <mergeCell ref="D1036:AE1036"/>
    <mergeCell ref="AG1041:AH1041"/>
    <mergeCell ref="AG1036:AH1036"/>
    <mergeCell ref="D1026:AE1028"/>
    <mergeCell ref="AJ1029:AQ1031"/>
    <mergeCell ref="D1029:AE1029"/>
    <mergeCell ref="D1007:AE1007"/>
    <mergeCell ref="R990:AA990"/>
    <mergeCell ref="AB990:AI990"/>
    <mergeCell ref="AJ1045:AQ1048"/>
    <mergeCell ref="D1046:AE1047"/>
    <mergeCell ref="D1042:AE1044"/>
    <mergeCell ref="M972:S972"/>
    <mergeCell ref="D1053:AI1053"/>
    <mergeCell ref="D1049:AE1049"/>
    <mergeCell ref="D1032:AE1032"/>
    <mergeCell ref="D1050:AE1051"/>
    <mergeCell ref="X1048:Y1048"/>
    <mergeCell ref="X1052:Y1052"/>
    <mergeCell ref="I1048:J1048"/>
    <mergeCell ref="I1052:J1052"/>
    <mergeCell ref="AG1049:AH1049"/>
    <mergeCell ref="AG1025:AH1025"/>
    <mergeCell ref="AA973:AG973"/>
    <mergeCell ref="R985:AA985"/>
    <mergeCell ref="A979:AT981"/>
    <mergeCell ref="AJ985:AQ985"/>
    <mergeCell ref="AJ1013:AQ1015"/>
    <mergeCell ref="AJ1016:AQ1019"/>
    <mergeCell ref="AJ1025:AQ1028"/>
    <mergeCell ref="AJ987:AQ987"/>
    <mergeCell ref="AJ988:AQ988"/>
    <mergeCell ref="B992:AI992"/>
    <mergeCell ref="R987:AA987"/>
    <mergeCell ref="D1022:AE1023"/>
    <mergeCell ref="D988:Q988"/>
    <mergeCell ref="AJ1053:AQ1053"/>
    <mergeCell ref="D990:Q990"/>
    <mergeCell ref="AB989:AI989"/>
    <mergeCell ref="O974:P974"/>
    <mergeCell ref="AG1029:AH1029"/>
    <mergeCell ref="D1037:AE1040"/>
    <mergeCell ref="AJ1036:AQ1040"/>
    <mergeCell ref="D1041:AE1041"/>
    <mergeCell ref="FT721:FX721"/>
    <mergeCell ref="D1033:AE1035"/>
    <mergeCell ref="AJ1032:AQ1035"/>
    <mergeCell ref="AJ994:AQ1000"/>
    <mergeCell ref="AJ1007:AQ1010"/>
    <mergeCell ref="AJ1011:AQ1012"/>
    <mergeCell ref="AJ986:AQ986"/>
    <mergeCell ref="AJ1001:AQ1006"/>
    <mergeCell ref="AJ1020:AQ1024"/>
    <mergeCell ref="D1020:AE1021"/>
    <mergeCell ref="AB991:AI991"/>
    <mergeCell ref="D1025:AE1025"/>
    <mergeCell ref="AF1026:AI1026"/>
    <mergeCell ref="AA968:AG968"/>
    <mergeCell ref="AE955:AK955"/>
    <mergeCell ref="I950:T950"/>
    <mergeCell ref="D995:AE998"/>
    <mergeCell ref="D999:AE999"/>
    <mergeCell ref="M971:S971"/>
    <mergeCell ref="M956:S956"/>
    <mergeCell ref="EZ728:FD728"/>
    <mergeCell ref="FE728:FI728"/>
    <mergeCell ref="FJ728:FN728"/>
    <mergeCell ref="FO728:FS728"/>
    <mergeCell ref="FT728:FX728"/>
    <mergeCell ref="FJ725:FN725"/>
    <mergeCell ref="FO725:FS725"/>
    <mergeCell ref="FT725:FX725"/>
    <mergeCell ref="EZ721:FD721"/>
    <mergeCell ref="FE721:FI721"/>
    <mergeCell ref="EZ725:FD725"/>
    <mergeCell ref="FE725:FI725"/>
    <mergeCell ref="FT717:FX717"/>
    <mergeCell ref="FY717:GC717"/>
    <mergeCell ref="EZ718:FD718"/>
    <mergeCell ref="FE718:FI718"/>
    <mergeCell ref="FJ718:FN718"/>
    <mergeCell ref="FO718:FS718"/>
    <mergeCell ref="FT718:FX718"/>
    <mergeCell ref="FY718:GC718"/>
    <mergeCell ref="EZ719:FD719"/>
    <mergeCell ref="FE719:FI719"/>
    <mergeCell ref="FJ719:FN719"/>
    <mergeCell ref="FO719:FS719"/>
    <mergeCell ref="FT719:FX719"/>
    <mergeCell ref="FY719:GC719"/>
    <mergeCell ref="J1024:AE1024"/>
    <mergeCell ref="FY720:GC720"/>
    <mergeCell ref="AJ992:AQ992"/>
    <mergeCell ref="AJ993:AQ993"/>
    <mergeCell ref="D1013:AE1013"/>
    <mergeCell ref="AF993:AI993"/>
    <mergeCell ref="AG994:AH994"/>
    <mergeCell ref="AG1001:AH1001"/>
    <mergeCell ref="AG1007:AH1007"/>
    <mergeCell ref="AG1011:AH1011"/>
    <mergeCell ref="AG1013:AH1013"/>
    <mergeCell ref="AG1016:AH1016"/>
    <mergeCell ref="AG1020:AH1020"/>
    <mergeCell ref="D1016:AE1016"/>
    <mergeCell ref="D1008:AE1010"/>
    <mergeCell ref="AF1021:AI1022"/>
    <mergeCell ref="FO730:FS730"/>
    <mergeCell ref="FT730:FX730"/>
    <mergeCell ref="FT720:FX720"/>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1:GC721"/>
    <mergeCell ref="EZ722:FD722"/>
    <mergeCell ref="FE722:FI722"/>
    <mergeCell ref="FJ722:FN722"/>
    <mergeCell ref="FO722:FS722"/>
    <mergeCell ref="FT722:FX722"/>
    <mergeCell ref="FY722:GC722"/>
    <mergeCell ref="EZ723:FD723"/>
    <mergeCell ref="FE723:FI723"/>
    <mergeCell ref="FJ723:FN723"/>
    <mergeCell ref="FO723:FS723"/>
    <mergeCell ref="FT723:FX723"/>
    <mergeCell ref="FY723:GC723"/>
    <mergeCell ref="EZ724:FD724"/>
    <mergeCell ref="FT724:FX724"/>
    <mergeCell ref="FY724:GC724"/>
    <mergeCell ref="FJ724:FN724"/>
    <mergeCell ref="FO724:FS724"/>
    <mergeCell ref="FY738:GC738"/>
    <mergeCell ref="FY730:GC730"/>
    <mergeCell ref="EZ731:FD731"/>
    <mergeCell ref="FE731:FI731"/>
    <mergeCell ref="FJ731:FN731"/>
    <mergeCell ref="FO731:FS731"/>
    <mergeCell ref="FT731:FX731"/>
    <mergeCell ref="FY731:GC731"/>
    <mergeCell ref="EZ732:FD732"/>
    <mergeCell ref="FE732:FI732"/>
    <mergeCell ref="FJ732:FN732"/>
    <mergeCell ref="FO732:FS732"/>
    <mergeCell ref="FT732:FX732"/>
    <mergeCell ref="FY732:GC732"/>
    <mergeCell ref="FO736:FS736"/>
    <mergeCell ref="FT736:FX736"/>
    <mergeCell ref="FY736:GC736"/>
    <mergeCell ref="EZ737:FD737"/>
    <mergeCell ref="FE737:FI737"/>
    <mergeCell ref="FJ737:FN737"/>
    <mergeCell ref="FO737:FS737"/>
    <mergeCell ref="FJ734:FN734"/>
    <mergeCell ref="FO734:FS734"/>
    <mergeCell ref="FT734:FX734"/>
    <mergeCell ref="FY734:GC734"/>
    <mergeCell ref="EZ735:FD735"/>
    <mergeCell ref="FE735:FI735"/>
    <mergeCell ref="FT737:FX737"/>
    <mergeCell ref="FE730:FI730"/>
    <mergeCell ref="FJ730:FN730"/>
    <mergeCell ref="FY728:GC728"/>
    <mergeCell ref="EZ729:FD729"/>
    <mergeCell ref="FE729:FI729"/>
    <mergeCell ref="FJ729:FN729"/>
    <mergeCell ref="FO729:FS729"/>
    <mergeCell ref="FT729:FX729"/>
    <mergeCell ref="FY729:GC729"/>
    <mergeCell ref="FY737:GC737"/>
    <mergeCell ref="FT751:FX751"/>
    <mergeCell ref="FY751:GC751"/>
    <mergeCell ref="EZ752:FD752"/>
    <mergeCell ref="FE752:FI752"/>
    <mergeCell ref="FJ752:FN752"/>
    <mergeCell ref="FO752:FS752"/>
    <mergeCell ref="FT752:FX752"/>
    <mergeCell ref="EZ730:FD730"/>
    <mergeCell ref="EZ751:FD751"/>
    <mergeCell ref="EZ740:FD740"/>
    <mergeCell ref="FE740:FI740"/>
    <mergeCell ref="FE745:FI745"/>
    <mergeCell ref="FJ745:FN745"/>
    <mergeCell ref="FO745:FS745"/>
    <mergeCell ref="FT745:FX745"/>
    <mergeCell ref="FY733:GC733"/>
    <mergeCell ref="FY739:GC739"/>
    <mergeCell ref="EZ734:FD734"/>
    <mergeCell ref="FE734:FI734"/>
    <mergeCell ref="EZ738:FD738"/>
    <mergeCell ref="FE738:FI738"/>
    <mergeCell ref="FJ738:FN738"/>
    <mergeCell ref="FO738:FS738"/>
    <mergeCell ref="FT738:FX738"/>
    <mergeCell ref="FT739:FX739"/>
    <mergeCell ref="EW638:FA638"/>
    <mergeCell ref="ER648:EV648"/>
    <mergeCell ref="ER647:EV647"/>
    <mergeCell ref="EH645:EL645"/>
    <mergeCell ref="EM645:EQ645"/>
    <mergeCell ref="EH640:EL640"/>
    <mergeCell ref="EM640:EQ640"/>
    <mergeCell ref="DX639:EB639"/>
    <mergeCell ref="FY740:GC740"/>
    <mergeCell ref="DX646:EB646"/>
    <mergeCell ref="EC646:EG646"/>
    <mergeCell ref="EH646:EL646"/>
    <mergeCell ref="EM667:EQ667"/>
    <mergeCell ref="ER667:EV667"/>
    <mergeCell ref="EW667:FA667"/>
    <mergeCell ref="EM661:EQ661"/>
    <mergeCell ref="ER670:EV670"/>
    <mergeCell ref="DX669:EB669"/>
    <mergeCell ref="EC670:EG670"/>
    <mergeCell ref="EH670:EL670"/>
    <mergeCell ref="ER656:EV656"/>
    <mergeCell ref="EC669:EG669"/>
    <mergeCell ref="EH669:EL669"/>
    <mergeCell ref="EM669:EQ669"/>
    <mergeCell ref="FJ735:FN735"/>
    <mergeCell ref="FO735:FS735"/>
    <mergeCell ref="FT735:FX735"/>
    <mergeCell ref="FY735:GC735"/>
    <mergeCell ref="EZ736:FD736"/>
    <mergeCell ref="FE736:FI736"/>
    <mergeCell ref="FJ736:FN736"/>
    <mergeCell ref="FE751:FI751"/>
    <mergeCell ref="FJ751:FN751"/>
    <mergeCell ref="FO751:FS751"/>
    <mergeCell ref="DX664:EB664"/>
    <mergeCell ref="EC664:EG664"/>
    <mergeCell ref="EH664:EL664"/>
    <mergeCell ref="EZ739:FD739"/>
    <mergeCell ref="FE739:FI739"/>
    <mergeCell ref="FJ739:FN739"/>
    <mergeCell ref="FO739:FS739"/>
    <mergeCell ref="DZ730:ED730"/>
    <mergeCell ref="EE730:EI730"/>
    <mergeCell ref="EJ730:EN730"/>
    <mergeCell ref="ET733:EX733"/>
    <mergeCell ref="EO733:ES733"/>
    <mergeCell ref="EO734:ES734"/>
    <mergeCell ref="ET734:EX734"/>
    <mergeCell ref="DZ736:ED736"/>
    <mergeCell ref="EE736:EI736"/>
    <mergeCell ref="EJ736:EN736"/>
    <mergeCell ref="ET735:EX735"/>
    <mergeCell ref="FE724:FI724"/>
    <mergeCell ref="EE731:EI731"/>
    <mergeCell ref="EJ731:EN731"/>
    <mergeCell ref="DU732:DY732"/>
    <mergeCell ref="DZ732:ED732"/>
    <mergeCell ref="EE732:EI732"/>
    <mergeCell ref="EJ732:EN732"/>
    <mergeCell ref="EE737:EI737"/>
    <mergeCell ref="EJ737:EN737"/>
    <mergeCell ref="DU736:DY736"/>
    <mergeCell ref="DU733:DY733"/>
    <mergeCell ref="EW637:FA637"/>
    <mergeCell ref="EC645:EG645"/>
    <mergeCell ref="ER645:EV645"/>
    <mergeCell ref="EW645:FA645"/>
    <mergeCell ref="EM637:EQ637"/>
    <mergeCell ref="EM644:EQ644"/>
    <mergeCell ref="ER644:EV644"/>
    <mergeCell ref="EM646:EQ646"/>
    <mergeCell ref="EW642:FA642"/>
    <mergeCell ref="EW643:FA643"/>
    <mergeCell ref="EC649:EG649"/>
    <mergeCell ref="EC639:EG639"/>
    <mergeCell ref="EH639:EL639"/>
    <mergeCell ref="EM639:EQ639"/>
    <mergeCell ref="ER646:EV646"/>
    <mergeCell ref="EW646:FA646"/>
    <mergeCell ref="EW653:FA653"/>
    <mergeCell ref="EH649:EL649"/>
    <mergeCell ref="EC647:EG647"/>
    <mergeCell ref="ER641:EV641"/>
    <mergeCell ref="EH641:EL641"/>
    <mergeCell ref="EW644:FA644"/>
    <mergeCell ref="EC641:EG641"/>
    <mergeCell ref="EC643:EG643"/>
    <mergeCell ref="EH643:EL643"/>
    <mergeCell ref="EM643:EQ643"/>
    <mergeCell ref="EC648:EG648"/>
    <mergeCell ref="EW639:FA639"/>
    <mergeCell ref="EC640:EG640"/>
    <mergeCell ref="EW640:FA640"/>
    <mergeCell ref="ER643:EV643"/>
    <mergeCell ref="ER640:EV640"/>
    <mergeCell ref="FJ721:FN721"/>
    <mergeCell ref="FO721:FS721"/>
    <mergeCell ref="EO718:ES718"/>
    <mergeCell ref="DU720:DY720"/>
    <mergeCell ref="EM668:EQ668"/>
    <mergeCell ref="DX670:EB670"/>
    <mergeCell ref="EM664:EQ664"/>
    <mergeCell ref="ER664:EV664"/>
    <mergeCell ref="EC667:EG667"/>
    <mergeCell ref="EH667:EL667"/>
    <mergeCell ref="EM666:EQ666"/>
    <mergeCell ref="ER666:EV666"/>
    <mergeCell ref="DX649:EB649"/>
    <mergeCell ref="DX655:EB655"/>
    <mergeCell ref="EE734:EI734"/>
    <mergeCell ref="DU731:DY731"/>
    <mergeCell ref="DJ738:DN738"/>
    <mergeCell ref="EO737:ES737"/>
    <mergeCell ref="DU737:DY737"/>
    <mergeCell ref="DU735:DY735"/>
    <mergeCell ref="DO737:DS737"/>
    <mergeCell ref="DO738:DS738"/>
    <mergeCell ref="EZ720:FD720"/>
    <mergeCell ref="FE720:FI720"/>
    <mergeCell ref="FJ720:FN720"/>
    <mergeCell ref="FO720:FS720"/>
    <mergeCell ref="EZ717:FD717"/>
    <mergeCell ref="FE717:FI717"/>
    <mergeCell ref="FJ717:FN717"/>
    <mergeCell ref="FO717:FS717"/>
    <mergeCell ref="EW670:FA670"/>
    <mergeCell ref="EW656:FA656"/>
    <mergeCell ref="DX643:EB643"/>
    <mergeCell ref="DX640:EB640"/>
    <mergeCell ref="ER639:EV639"/>
    <mergeCell ref="DX644:EB644"/>
    <mergeCell ref="DX642:EB642"/>
    <mergeCell ref="ER651:EV651"/>
    <mergeCell ref="ER652:EV652"/>
    <mergeCell ref="DZ733:ED733"/>
    <mergeCell ref="DX662:EB662"/>
    <mergeCell ref="EC662:EG662"/>
    <mergeCell ref="EH662:EL662"/>
    <mergeCell ref="DX659:EB659"/>
    <mergeCell ref="ER660:EV660"/>
    <mergeCell ref="EH666:EL666"/>
    <mergeCell ref="EC654:EG654"/>
    <mergeCell ref="EH654:EL654"/>
    <mergeCell ref="EH668:EL668"/>
    <mergeCell ref="DX657:EB657"/>
    <mergeCell ref="EC657:EG657"/>
    <mergeCell ref="EH657:EL657"/>
    <mergeCell ref="EM657:EQ657"/>
    <mergeCell ref="ET717:EX717"/>
    <mergeCell ref="EE729:EI729"/>
    <mergeCell ref="EO731:ES731"/>
    <mergeCell ref="DZ724:ED724"/>
    <mergeCell ref="ET723:EX723"/>
    <mergeCell ref="EE725:EI725"/>
    <mergeCell ref="EJ725:EN725"/>
    <mergeCell ref="DZ728:ED728"/>
    <mergeCell ref="EE724:EI724"/>
    <mergeCell ref="DX668:EB668"/>
    <mergeCell ref="DU730:DY730"/>
    <mergeCell ref="DJ730:DN730"/>
    <mergeCell ref="G671:L671"/>
    <mergeCell ref="EO740:ES740"/>
    <mergeCell ref="ER669:EV669"/>
    <mergeCell ref="ER668:EV668"/>
    <mergeCell ref="EW668:FA668"/>
    <mergeCell ref="EW664:FA664"/>
    <mergeCell ref="EW666:FA666"/>
    <mergeCell ref="EW654:FA654"/>
    <mergeCell ref="CI736:CJ736"/>
    <mergeCell ref="CZ737:DD737"/>
    <mergeCell ref="DE733:DI733"/>
    <mergeCell ref="CU735:CY735"/>
    <mergeCell ref="DO725:DS725"/>
    <mergeCell ref="DO721:DS721"/>
    <mergeCell ref="CP721:CT721"/>
    <mergeCell ref="CM725:CN725"/>
    <mergeCell ref="CI728:CJ728"/>
    <mergeCell ref="CP725:CT725"/>
    <mergeCell ref="CU728:CY728"/>
    <mergeCell ref="EO719:ES719"/>
    <mergeCell ref="ET719:EX719"/>
    <mergeCell ref="EW660:FA660"/>
    <mergeCell ref="DX661:EB661"/>
    <mergeCell ref="DX654:EB654"/>
    <mergeCell ref="ER661:EV661"/>
    <mergeCell ref="EO738:ES738"/>
    <mergeCell ref="Z667:AK667"/>
    <mergeCell ref="EJ739:EN739"/>
    <mergeCell ref="EW661:FA661"/>
    <mergeCell ref="EM662:EQ662"/>
    <mergeCell ref="G669:R669"/>
    <mergeCell ref="EM649:EQ649"/>
    <mergeCell ref="EM654:EQ654"/>
    <mergeCell ref="ER654:EV654"/>
    <mergeCell ref="EM652:EQ652"/>
    <mergeCell ref="DX650:EB650"/>
    <mergeCell ref="EC650:EG650"/>
    <mergeCell ref="EC655:EG655"/>
    <mergeCell ref="DX667:EB667"/>
    <mergeCell ref="EC668:EG668"/>
    <mergeCell ref="FT740:FX740"/>
    <mergeCell ref="FT733:FX733"/>
    <mergeCell ref="Z627:AB627"/>
    <mergeCell ref="DO777:DS777"/>
    <mergeCell ref="DE773:DI773"/>
    <mergeCell ref="CZ777:DD777"/>
    <mergeCell ref="DE777:DI777"/>
    <mergeCell ref="DE775:DI775"/>
    <mergeCell ref="EE751:EI751"/>
    <mergeCell ref="DU751:DY751"/>
    <mergeCell ref="DZ751:ED751"/>
    <mergeCell ref="DU752:DY752"/>
    <mergeCell ref="DZ752:ED752"/>
    <mergeCell ref="DJ752:DN752"/>
    <mergeCell ref="EZ753:FD753"/>
    <mergeCell ref="FE753:FI753"/>
    <mergeCell ref="EJ735:EN735"/>
    <mergeCell ref="EO735:ES735"/>
    <mergeCell ref="DZ735:ED735"/>
    <mergeCell ref="EM670:EQ670"/>
    <mergeCell ref="FJ740:FN740"/>
    <mergeCell ref="ET737:EX737"/>
    <mergeCell ref="AC730:AG730"/>
    <mergeCell ref="EJ753:EN753"/>
    <mergeCell ref="DO740:DS740"/>
    <mergeCell ref="DJ740:DN740"/>
    <mergeCell ref="DO754:DS754"/>
    <mergeCell ref="DE753:DI753"/>
    <mergeCell ref="DO751:DS751"/>
    <mergeCell ref="DO752:DS752"/>
    <mergeCell ref="DE751:DI751"/>
    <mergeCell ref="EE752:EI752"/>
    <mergeCell ref="CG745:CH745"/>
    <mergeCell ref="CI745:CJ745"/>
    <mergeCell ref="FO740:FS740"/>
    <mergeCell ref="EC637:EG637"/>
    <mergeCell ref="EH637:EL637"/>
    <mergeCell ref="T624:V626"/>
    <mergeCell ref="ET751:EX751"/>
    <mergeCell ref="EJ751:EN751"/>
    <mergeCell ref="EO739:ES739"/>
    <mergeCell ref="ET739:EX739"/>
    <mergeCell ref="T627:V627"/>
    <mergeCell ref="EM641:EQ641"/>
    <mergeCell ref="ER655:EV655"/>
    <mergeCell ref="EH648:EL648"/>
    <mergeCell ref="EH651:EL651"/>
    <mergeCell ref="EH650:EL650"/>
    <mergeCell ref="AK736:AO736"/>
    <mergeCell ref="EO736:ES736"/>
    <mergeCell ref="CI730:CJ730"/>
    <mergeCell ref="DO735:DS735"/>
    <mergeCell ref="DO736:DS736"/>
    <mergeCell ref="CZ751:DD751"/>
    <mergeCell ref="CI751:CJ751"/>
    <mergeCell ref="DJ773:DN773"/>
    <mergeCell ref="DJ777:DN777"/>
    <mergeCell ref="CZ774:DD774"/>
    <mergeCell ref="AO634:AS634"/>
    <mergeCell ref="CZ773:DD773"/>
    <mergeCell ref="DJ774:DN774"/>
    <mergeCell ref="AF635:AJ635"/>
    <mergeCell ref="AO635:AS635"/>
    <mergeCell ref="EZ733:FD733"/>
    <mergeCell ref="FE733:FI733"/>
    <mergeCell ref="FJ733:FN733"/>
    <mergeCell ref="FO733:FS733"/>
    <mergeCell ref="ET740:EX740"/>
    <mergeCell ref="Z636:AB636"/>
    <mergeCell ref="Z637:AB637"/>
    <mergeCell ref="Z638:AB638"/>
    <mergeCell ref="W627:Y627"/>
    <mergeCell ref="AO627:AS627"/>
    <mergeCell ref="EO752:ES752"/>
    <mergeCell ref="EJ752:EN752"/>
    <mergeCell ref="ET738:EX738"/>
    <mergeCell ref="DU738:DY738"/>
    <mergeCell ref="CK745:CL745"/>
    <mergeCell ref="CI753:CJ753"/>
    <mergeCell ref="CM753:CN753"/>
    <mergeCell ref="CP753:CT753"/>
    <mergeCell ref="DO732:DS732"/>
    <mergeCell ref="CK751:CL751"/>
    <mergeCell ref="CP775:CT775"/>
    <mergeCell ref="CP776:CT776"/>
    <mergeCell ref="DJ734:DN734"/>
    <mergeCell ref="AO637:AS637"/>
    <mergeCell ref="CP789:CT789"/>
    <mergeCell ref="DU739:DY739"/>
    <mergeCell ref="DZ739:ED739"/>
    <mergeCell ref="EE739:EI739"/>
    <mergeCell ref="DO753:DS753"/>
    <mergeCell ref="DO773:DS773"/>
    <mergeCell ref="DJ751:DN751"/>
    <mergeCell ref="CP777:CT777"/>
    <mergeCell ref="CP773:CT773"/>
    <mergeCell ref="CU752:CY752"/>
    <mergeCell ref="CZ745:DD745"/>
    <mergeCell ref="DE745:DI745"/>
    <mergeCell ref="CU773:CY773"/>
    <mergeCell ref="CP738:CT738"/>
    <mergeCell ref="DZ737:ED737"/>
    <mergeCell ref="EE753:EI753"/>
    <mergeCell ref="EO753:ES753"/>
    <mergeCell ref="DJ776:DN776"/>
    <mergeCell ref="DO776:DS776"/>
    <mergeCell ref="DO775:DS775"/>
    <mergeCell ref="DJ753:DN753"/>
    <mergeCell ref="CP787:CT787"/>
    <mergeCell ref="DE740:DI740"/>
    <mergeCell ref="DU740:DY740"/>
    <mergeCell ref="DZ740:ED740"/>
    <mergeCell ref="EE740:EI740"/>
    <mergeCell ref="EJ740:EN740"/>
    <mergeCell ref="CU775:CY775"/>
    <mergeCell ref="EE745:EI745"/>
    <mergeCell ref="EO745:ES745"/>
    <mergeCell ref="DU749:DY749"/>
    <mergeCell ref="DZ749:ED749"/>
    <mergeCell ref="EE726:EI726"/>
    <mergeCell ref="EJ726:EN726"/>
    <mergeCell ref="DO720:DS720"/>
    <mergeCell ref="AH729:AJ729"/>
    <mergeCell ref="DU718:DY718"/>
    <mergeCell ref="DU721:DY721"/>
    <mergeCell ref="EE721:EI721"/>
    <mergeCell ref="EJ721:EN721"/>
    <mergeCell ref="DZ721:ED721"/>
    <mergeCell ref="DZ722:ED722"/>
    <mergeCell ref="DU717:DY717"/>
    <mergeCell ref="DU719:DY719"/>
    <mergeCell ref="EE717:EI717"/>
    <mergeCell ref="EJ720:EN720"/>
    <mergeCell ref="AK726:AO726"/>
    <mergeCell ref="DZ717:ED717"/>
    <mergeCell ref="DZ726:ED726"/>
    <mergeCell ref="DU728:DY728"/>
    <mergeCell ref="DU722:DY722"/>
    <mergeCell ref="DU729:DY729"/>
    <mergeCell ref="AH727:AJ727"/>
    <mergeCell ref="EE723:EI723"/>
    <mergeCell ref="EJ723:EN723"/>
    <mergeCell ref="DO724:DS724"/>
    <mergeCell ref="DO726:DS726"/>
    <mergeCell ref="AK720:AO720"/>
    <mergeCell ref="CU719:CY719"/>
    <mergeCell ref="CU718:CY718"/>
    <mergeCell ref="CZ718:DD718"/>
    <mergeCell ref="CU722:CY722"/>
    <mergeCell ref="AH719:AJ719"/>
    <mergeCell ref="CU726:CY726"/>
    <mergeCell ref="DJ732:DN732"/>
    <mergeCell ref="CU732:CY732"/>
    <mergeCell ref="DO733:DS733"/>
    <mergeCell ref="DO734:DS734"/>
    <mergeCell ref="EO721:ES721"/>
    <mergeCell ref="DX645:EB645"/>
    <mergeCell ref="EW641:FA641"/>
    <mergeCell ref="EC642:EG642"/>
    <mergeCell ref="EH642:EL642"/>
    <mergeCell ref="EM642:EQ642"/>
    <mergeCell ref="ER642:EV642"/>
    <mergeCell ref="DX641:EB641"/>
    <mergeCell ref="EC644:EG644"/>
    <mergeCell ref="EH644:EL644"/>
    <mergeCell ref="DX656:EB656"/>
    <mergeCell ref="EC656:EG656"/>
    <mergeCell ref="EH656:EL656"/>
    <mergeCell ref="EM656:EQ656"/>
    <mergeCell ref="EW669:FA669"/>
    <mergeCell ref="EH653:EL653"/>
    <mergeCell ref="EM653:EQ653"/>
    <mergeCell ref="ER653:EV653"/>
    <mergeCell ref="EW647:FA647"/>
    <mergeCell ref="EW655:FA655"/>
    <mergeCell ref="EW650:FA650"/>
    <mergeCell ref="EW648:FA648"/>
    <mergeCell ref="EW651:FA651"/>
    <mergeCell ref="EW649:FA649"/>
    <mergeCell ref="EW652:FA652"/>
    <mergeCell ref="ER657:EV657"/>
    <mergeCell ref="ER662:EV662"/>
    <mergeCell ref="EW657:FA657"/>
    <mergeCell ref="EH659:EL659"/>
    <mergeCell ref="EC661:EG661"/>
    <mergeCell ref="EH661:EL661"/>
    <mergeCell ref="EM651:EQ651"/>
    <mergeCell ref="ER649:EV649"/>
    <mergeCell ref="DX647:EB647"/>
    <mergeCell ref="CP794:CT794"/>
    <mergeCell ref="CP795:CT795"/>
    <mergeCell ref="CP796:CT796"/>
    <mergeCell ref="CP793:CT793"/>
    <mergeCell ref="CP792:CT792"/>
    <mergeCell ref="CP791:CT791"/>
    <mergeCell ref="CP790:CT790"/>
    <mergeCell ref="AK723:AO723"/>
    <mergeCell ref="AK724:AO724"/>
    <mergeCell ref="AK725:AO725"/>
    <mergeCell ref="CZ753:DD753"/>
    <mergeCell ref="DJ775:DN775"/>
    <mergeCell ref="CU739:CY739"/>
    <mergeCell ref="EH655:EL655"/>
    <mergeCell ref="EM655:EQ655"/>
    <mergeCell ref="EH647:EL647"/>
    <mergeCell ref="EM647:EQ647"/>
    <mergeCell ref="DX648:EB648"/>
    <mergeCell ref="DX651:EB651"/>
    <mergeCell ref="EC651:EG651"/>
    <mergeCell ref="EM648:EQ648"/>
    <mergeCell ref="DE776:DI776"/>
    <mergeCell ref="DJ746:DN746"/>
    <mergeCell ref="DO746:DS746"/>
    <mergeCell ref="CZ746:DD746"/>
    <mergeCell ref="DE744:DI744"/>
    <mergeCell ref="DE750:DI750"/>
    <mergeCell ref="DJ750:DN750"/>
    <mergeCell ref="DO774:DS774"/>
    <mergeCell ref="DU753:DY753"/>
    <mergeCell ref="DZ753:ED753"/>
    <mergeCell ref="DE774:DI774"/>
    <mergeCell ref="AA573:AK573"/>
    <mergeCell ref="DZ738:ED738"/>
    <mergeCell ref="EE738:EI738"/>
    <mergeCell ref="EJ738:EN738"/>
    <mergeCell ref="EM636:EQ636"/>
    <mergeCell ref="DX637:EB637"/>
    <mergeCell ref="AC633:AE633"/>
    <mergeCell ref="B639:AN639"/>
    <mergeCell ref="B640:AN640"/>
    <mergeCell ref="B719:F719"/>
    <mergeCell ref="DE735:DI735"/>
    <mergeCell ref="AH737:AJ737"/>
    <mergeCell ref="AH738:AJ738"/>
    <mergeCell ref="AH736:AJ736"/>
    <mergeCell ref="AK737:AO737"/>
    <mergeCell ref="O734:S734"/>
    <mergeCell ref="K739:N739"/>
    <mergeCell ref="AC734:AG734"/>
    <mergeCell ref="AC735:AG735"/>
    <mergeCell ref="B714:F717"/>
    <mergeCell ref="G729:J729"/>
    <mergeCell ref="B726:F726"/>
    <mergeCell ref="AC733:AG733"/>
    <mergeCell ref="H688:R688"/>
    <mergeCell ref="DE738:DI738"/>
    <mergeCell ref="Z646:AK646"/>
    <mergeCell ref="Q636:S636"/>
    <mergeCell ref="Q637:S637"/>
    <mergeCell ref="C636:L636"/>
    <mergeCell ref="N665:O665"/>
    <mergeCell ref="G611:R611"/>
    <mergeCell ref="Z602:AK602"/>
    <mergeCell ref="Z612:AK612"/>
    <mergeCell ref="AC627:AE627"/>
    <mergeCell ref="AA656:AK656"/>
    <mergeCell ref="G655:L655"/>
    <mergeCell ref="H656:R656"/>
    <mergeCell ref="AG649:AH649"/>
    <mergeCell ref="AF638:AJ638"/>
    <mergeCell ref="M638:P638"/>
    <mergeCell ref="G594:R594"/>
    <mergeCell ref="AF632:AJ632"/>
    <mergeCell ref="M633:P633"/>
    <mergeCell ref="AC631:AE631"/>
    <mergeCell ref="Z605:AE605"/>
    <mergeCell ref="Z609:AK609"/>
    <mergeCell ref="G595:R595"/>
    <mergeCell ref="T629:V629"/>
    <mergeCell ref="Z594:AK594"/>
    <mergeCell ref="AA598:AK598"/>
    <mergeCell ref="AI605:AK605"/>
    <mergeCell ref="M635:P635"/>
    <mergeCell ref="M636:P636"/>
    <mergeCell ref="N657:O657"/>
    <mergeCell ref="Z660:AK660"/>
    <mergeCell ref="G663:L663"/>
    <mergeCell ref="N649:O649"/>
    <mergeCell ref="C627:L627"/>
    <mergeCell ref="A351:AT352"/>
    <mergeCell ref="I392:N392"/>
    <mergeCell ref="M357:N357"/>
    <mergeCell ref="J385:U385"/>
    <mergeCell ref="Q635:S635"/>
    <mergeCell ref="Z593:AK593"/>
    <mergeCell ref="AK629:AN629"/>
    <mergeCell ref="C633:L633"/>
    <mergeCell ref="AI331:AK331"/>
    <mergeCell ref="Z624:AB626"/>
    <mergeCell ref="P613:R613"/>
    <mergeCell ref="W632:Y632"/>
    <mergeCell ref="Q627:S627"/>
    <mergeCell ref="Q628:S628"/>
    <mergeCell ref="Q629:S629"/>
    <mergeCell ref="P421:R421"/>
    <mergeCell ref="C634:L634"/>
    <mergeCell ref="M624:P626"/>
    <mergeCell ref="G601:R601"/>
    <mergeCell ref="W634:Y634"/>
    <mergeCell ref="W629:Y629"/>
    <mergeCell ref="M630:P630"/>
    <mergeCell ref="M631:P631"/>
    <mergeCell ref="M632:P632"/>
    <mergeCell ref="Q633:S633"/>
    <mergeCell ref="AC634:AE634"/>
    <mergeCell ref="Q631:S631"/>
    <mergeCell ref="T632:V632"/>
    <mergeCell ref="V381:W381"/>
    <mergeCell ref="T555:V555"/>
    <mergeCell ref="W559:Y559"/>
    <mergeCell ref="AO630:AS630"/>
    <mergeCell ref="J957:S957"/>
    <mergeCell ref="AJ990:AQ990"/>
    <mergeCell ref="AE959:AK959"/>
    <mergeCell ref="W974:AG974"/>
    <mergeCell ref="M973:S973"/>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A13:AT14"/>
    <mergeCell ref="A69:AT70"/>
    <mergeCell ref="A72:AT73"/>
    <mergeCell ref="A544:AT545"/>
    <mergeCell ref="A480:AT481"/>
    <mergeCell ref="A1089:B1089"/>
    <mergeCell ref="A1085:B1085"/>
    <mergeCell ref="C1085:D1085"/>
    <mergeCell ref="C1087:D1087"/>
    <mergeCell ref="C1088:D1088"/>
    <mergeCell ref="C1089:D1089"/>
    <mergeCell ref="AJ1049:AQ1052"/>
    <mergeCell ref="U929:Z929"/>
    <mergeCell ref="B746:F746"/>
    <mergeCell ref="B747:F747"/>
    <mergeCell ref="B748:F748"/>
    <mergeCell ref="B749:F749"/>
    <mergeCell ref="B750:F750"/>
    <mergeCell ref="T750:W750"/>
    <mergeCell ref="AE962:AK962"/>
    <mergeCell ref="M961:S961"/>
    <mergeCell ref="F975:L975"/>
    <mergeCell ref="M975:S975"/>
    <mergeCell ref="D985:Q985"/>
    <mergeCell ref="D986:Q986"/>
    <mergeCell ref="AB985:AI985"/>
    <mergeCell ref="AB986:AI986"/>
    <mergeCell ref="AB987:AI987"/>
    <mergeCell ref="D987:Q987"/>
    <mergeCell ref="R989:AA989"/>
    <mergeCell ref="AJ989:AQ989"/>
    <mergeCell ref="AB957:AK957"/>
    <mergeCell ref="AA970:AG970"/>
    <mergeCell ref="AF1023:AI1024"/>
    <mergeCell ref="M970:S970"/>
    <mergeCell ref="AA971:AG971"/>
    <mergeCell ref="T972:Z972"/>
    <mergeCell ref="A1061:AQ1061"/>
    <mergeCell ref="AF1017:AI1019"/>
    <mergeCell ref="AF1014:AI1015"/>
    <mergeCell ref="C757:AM758"/>
    <mergeCell ref="G742:J742"/>
    <mergeCell ref="G743:J743"/>
    <mergeCell ref="G744:J744"/>
    <mergeCell ref="G745:J745"/>
    <mergeCell ref="G746:J746"/>
    <mergeCell ref="G747:J747"/>
    <mergeCell ref="G748:J748"/>
    <mergeCell ref="G749:J749"/>
    <mergeCell ref="G750:J750"/>
    <mergeCell ref="G751:J751"/>
    <mergeCell ref="K742:N742"/>
    <mergeCell ref="A1081:B1081"/>
    <mergeCell ref="A1075:B1075"/>
    <mergeCell ref="A1070:B1070"/>
    <mergeCell ref="A1065:B1065"/>
    <mergeCell ref="C1065:D1065"/>
    <mergeCell ref="C1066:D1066"/>
    <mergeCell ref="C1067:D1067"/>
    <mergeCell ref="C1068:D1068"/>
    <mergeCell ref="C1069:D1069"/>
    <mergeCell ref="C1070:D1070"/>
    <mergeCell ref="C1071:D1071"/>
    <mergeCell ref="C1072:D1072"/>
    <mergeCell ref="C1073:D1073"/>
    <mergeCell ref="C1074:D1074"/>
    <mergeCell ref="C1075:D1075"/>
    <mergeCell ref="C1076:D1076"/>
    <mergeCell ref="AK749:AO749"/>
    <mergeCell ref="A1103:B1103"/>
    <mergeCell ref="C1103:D1103"/>
    <mergeCell ref="E1103:AR1104"/>
    <mergeCell ref="C1092:D1092"/>
    <mergeCell ref="C1093:D1093"/>
    <mergeCell ref="C1094:D1094"/>
    <mergeCell ref="C1095:D1095"/>
    <mergeCell ref="C1096:D1096"/>
    <mergeCell ref="C1097:D1097"/>
    <mergeCell ref="C1098:D1098"/>
    <mergeCell ref="C1099:D1099"/>
    <mergeCell ref="C1100:D1100"/>
    <mergeCell ref="E1067:AR1068"/>
    <mergeCell ref="E1070:AR1073"/>
    <mergeCell ref="E1075:AR1079"/>
    <mergeCell ref="E1081:AR1083"/>
    <mergeCell ref="E1085:AR1087"/>
    <mergeCell ref="E1089:AR1091"/>
    <mergeCell ref="E1094:AR1095"/>
    <mergeCell ref="E1097:AR1098"/>
    <mergeCell ref="E1100:AR1101"/>
    <mergeCell ref="C1077:D1077"/>
    <mergeCell ref="C1078:D1078"/>
    <mergeCell ref="C1079:D1079"/>
    <mergeCell ref="C1080:D1080"/>
    <mergeCell ref="C1081:D1081"/>
    <mergeCell ref="C1082:D1082"/>
    <mergeCell ref="C1083:D1083"/>
    <mergeCell ref="C1084:D1084"/>
    <mergeCell ref="C1090:D1090"/>
    <mergeCell ref="C1091:D1091"/>
    <mergeCell ref="A1067:B1067"/>
  </mergeCells>
  <phoneticPr fontId="0" type="noConversion"/>
  <conditionalFormatting sqref="B1060:F1060 AO1060:AP1060">
    <cfRule type="expression" dxfId="106" priority="5">
      <formula>0=$B$1060</formula>
    </cfRule>
  </conditionalFormatting>
  <conditionalFormatting sqref="C555:C565 Q555:AS565 Q628:Z638 AC628:AS638">
    <cfRule type="expression" dxfId="105" priority="22">
      <formula>$AT555="!"</formula>
    </cfRule>
  </conditionalFormatting>
  <conditionalFormatting sqref="C628:C638">
    <cfRule type="expression" dxfId="104" priority="21">
      <formula>$AT628="!"</formula>
    </cfRule>
  </conditionalFormatting>
  <conditionalFormatting sqref="C894:T895">
    <cfRule type="expression" dxfId="103" priority="7">
      <formula>AND(AC894&lt;&gt;"",OR(C894="Other (Specify):",C894=""))</formula>
    </cfRule>
  </conditionalFormatting>
  <conditionalFormatting sqref="D213">
    <cfRule type="expression" dxfId="102" priority="263">
      <formula>AND($Q$212&gt;0,$T$212&lt;75%)</formula>
    </cfRule>
  </conditionalFormatting>
  <conditionalFormatting sqref="D216">
    <cfRule type="expression" dxfId="101" priority="30">
      <formula>NOT($D$211="At-Risk")</formula>
    </cfRule>
  </conditionalFormatting>
  <conditionalFormatting sqref="D215:U215">
    <cfRule type="expression" dxfId="100" priority="34">
      <formula>NOT(OR($D$214="Seniors",$D$211="Seniors"))</formula>
    </cfRule>
  </conditionalFormatting>
  <conditionalFormatting sqref="D214:Z214">
    <cfRule type="expression" dxfId="99" priority="264">
      <formula>AND($Q$212&gt;0,$T$212&lt;75%)</formula>
    </cfRule>
  </conditionalFormatting>
  <conditionalFormatting sqref="E707:AK707">
    <cfRule type="expression" dxfId="98" priority="20">
      <formula>AND($W$706="Other",OR($E$707="(specify here)",$E$707=""))</formula>
    </cfRule>
  </conditionalFormatting>
  <conditionalFormatting sqref="F831:L831">
    <cfRule type="expression" dxfId="97" priority="15">
      <formula>AND(OR(M831&lt;&gt;"",$Q$811&lt;&gt;"",$U$811&lt;&gt;"",$Y$811&lt;&gt;"",$AC$811&lt;&gt;"",$AG$811&lt;&gt;"",SUM($M$831:$AJ$831)&gt;0),OR(F831="(specify here)",F831=""))</formula>
    </cfRule>
  </conditionalFormatting>
  <conditionalFormatting sqref="F457:AB458">
    <cfRule type="expression" dxfId="96" priority="4">
      <formula>$AC$454=""</formula>
    </cfRule>
  </conditionalFormatting>
  <conditionalFormatting sqref="G1055:AN1060">
    <cfRule type="expression" dxfId="95" priority="1">
      <formula>OR($Z$205="15% set-aside",$Z$205="15% set-aside with qualifying low value rehab")</formula>
    </cfRule>
  </conditionalFormatting>
  <conditionalFormatting sqref="L508:X508">
    <cfRule type="expression" dxfId="94" priority="29">
      <formula>AND(NOT(AC508="N/A"),AH508&lt;&gt;"",OR(L508="(specify here)",L508=""))</formula>
    </cfRule>
  </conditionalFormatting>
  <conditionalFormatting sqref="M846:V846">
    <cfRule type="expression" dxfId="93" priority="14">
      <formula>AND(W846&lt;&gt;"",OR(M846="(specify here)",M846=""))</formula>
    </cfRule>
  </conditionalFormatting>
  <conditionalFormatting sqref="M861:V861">
    <cfRule type="expression" dxfId="92" priority="13">
      <formula>AND(W861&lt;&gt;"",OR(M861="(specify here)",M861=""))</formula>
    </cfRule>
  </conditionalFormatting>
  <conditionalFormatting sqref="M871:V871">
    <cfRule type="expression" dxfId="91" priority="12">
      <formula>AND(W871&lt;&gt;"",OR(M871="(specify here)",M871=""))</formula>
    </cfRule>
  </conditionalFormatting>
  <conditionalFormatting sqref="M874:V878">
    <cfRule type="expression" dxfId="90" priority="11">
      <formula>AND(W874&lt;&gt;"",OR(M874="(specify here)",M874=""))</formula>
    </cfRule>
  </conditionalFormatting>
  <conditionalFormatting sqref="O520:AA520">
    <cfRule type="expression" dxfId="89" priority="28">
      <formula>AND(OR(AND(NOT(AC520="N/A"),AH520&lt;&gt;""),AND(NOT(AC521="N/A"),AH521&lt;&gt;""),AND(NOT(AC522="N/A"),AH522&lt;&gt;"")),OR(O520="(specify here)",O520=""))</formula>
    </cfRule>
  </conditionalFormatting>
  <conditionalFormatting sqref="O523:AA523">
    <cfRule type="expression" dxfId="88" priority="27">
      <formula>AND(OR(AND(NOT(AC523="N/A"),AH523&lt;&gt;""),AND(NOT(AC524="N/A"),AH524&lt;&gt;""),AND(NOT(AC525="N/A"),AH525&lt;&gt;"")),OR(O523="(specify here)",O523=""))</formula>
    </cfRule>
  </conditionalFormatting>
  <conditionalFormatting sqref="O526:AA526">
    <cfRule type="expression" dxfId="87" priority="26">
      <formula>AND(OR(AND(NOT(AC526="N/A"),AH526&lt;&gt;""),AND(NOT(AC527="N/A"),AH527&lt;&gt;""),AND(NOT(AC528="N/A"),AH528&lt;&gt;"")),OR(O526="(specify here)",O526=""))</formula>
    </cfRule>
  </conditionalFormatting>
  <conditionalFormatting sqref="O529:AA529">
    <cfRule type="expression" dxfId="86" priority="25">
      <formula>AND(OR(AND(NOT(AC529="N/A"),AH529&lt;&gt;""),AND(NOT(AC530="N/A"),AH530&lt;&gt;""),AND(NOT(AC531="N/A"),AH531&lt;&gt;"")),OR(O529="(specify here)",O529=""))</formula>
    </cfRule>
  </conditionalFormatting>
  <conditionalFormatting sqref="O532:AA532">
    <cfRule type="expression" dxfId="85" priority="24">
      <formula>AND(OR(AND(NOT(AC532="N/A"),AH532&lt;&gt;""),AND(NOT(AC533="N/A"),AH533&lt;&gt;""),AND(NOT(AC534="N/A"),AH534&lt;&gt;"")),OR(O532="(specify here)",O532=""))</formula>
    </cfRule>
  </conditionalFormatting>
  <conditionalFormatting sqref="O535:AA535">
    <cfRule type="expression" dxfId="84" priority="23">
      <formula>AND(OR(AND(NOT(AC535="N/A"),AH535&lt;&gt;""),AND(NOT(AC536="N/A"),AH536&lt;&gt;""),AND(NOT(AC537="N/A"),AH537&lt;&gt;"")),OR(O535="(specify here)",O535=""))</formula>
    </cfRule>
  </conditionalFormatting>
  <conditionalFormatting sqref="P816:Y816">
    <cfRule type="expression" dxfId="83" priority="16">
      <formula>AND(Z816&lt;&gt;"",OR(P816="(specify here)",P816=""))</formula>
    </cfRule>
  </conditionalFormatting>
  <conditionalFormatting sqref="T212:U212">
    <cfRule type="expression" dxfId="82" priority="3">
      <formula>AND($T$212=0,$Q$212="")</formula>
    </cfRule>
  </conditionalFormatting>
  <conditionalFormatting sqref="U894:U895">
    <cfRule type="expression" dxfId="81" priority="260">
      <formula>AND(AU878&lt;&gt;"",OR(U894="Other (Specify):",U894=""))</formula>
    </cfRule>
  </conditionalFormatting>
  <conditionalFormatting sqref="V894:AB895">
    <cfRule type="expression" dxfId="80" priority="261">
      <formula>AND(AV888&lt;&gt;"",OR(V894="Other (Specify):",V894=""))</formula>
    </cfRule>
  </conditionalFormatting>
  <conditionalFormatting sqref="W974:AG974">
    <cfRule type="expression" dxfId="79" priority="6">
      <formula>AND($AA$953&lt;&gt;"",OR($W$952="",$W$952="(specify here)"))</formula>
    </cfRule>
  </conditionalFormatting>
  <conditionalFormatting sqref="Y508:AB508">
    <cfRule type="expression" dxfId="78" priority="262">
      <formula>AND(NOT(AP508="N/A"),AU507&lt;&gt;"",OR(Y508="(specify here)",Y508=""))</formula>
    </cfRule>
  </conditionalFormatting>
  <conditionalFormatting sqref="AA1057:AF1057">
    <cfRule type="expression" dxfId="77" priority="2">
      <formula>OR($Z$205="15% set-aside",$Z$205="15% set-aside with qualifying low value rehab")</formula>
    </cfRule>
  </conditionalFormatting>
  <conditionalFormatting sqref="AA215:AO215">
    <cfRule type="expression" dxfId="76" priority="35">
      <formula>NOT(OR($D$214="Seniors",$D$211="Seniors"))</formula>
    </cfRule>
  </conditionalFormatting>
  <conditionalFormatting sqref="AB216:AM216">
    <cfRule type="expression" dxfId="75" priority="31">
      <formula>NOT($D$211="At-Risk")</formula>
    </cfRule>
  </conditionalFormatting>
  <conditionalFormatting sqref="AF1021">
    <cfRule type="cellIs" dxfId="74" priority="41" stopIfTrue="1" operator="equal">
      <formula>"Please Enter Amount:"</formula>
    </cfRule>
  </conditionalFormatting>
  <conditionalFormatting sqref="AF1026">
    <cfRule type="cellIs" dxfId="73" priority="38" stopIfTrue="1" operator="equal">
      <formula>"Please Enter Amount:"</formula>
    </cfRule>
  </conditionalFormatting>
  <conditionalFormatting sqref="AF1033">
    <cfRule type="cellIs" dxfId="72" priority="39" stopIfTrue="1" operator="equal">
      <formula>"Please Enter Amount:"</formula>
    </cfRule>
  </conditionalFormatting>
  <conditionalFormatting sqref="AG441:AJ441">
    <cfRule type="expression" dxfId="71" priority="45" stopIfTrue="1">
      <formula>"iserror(d31)"</formula>
    </cfRule>
  </conditionalFormatting>
  <conditionalFormatting sqref="AJ1045">
    <cfRule type="cellIs" dxfId="70" priority="44" stopIfTrue="1" operator="equal">
      <formula>"#DIV/0!"</formula>
    </cfRule>
  </conditionalFormatting>
  <dataValidations xWindow="329" yWindow="269" count="59">
    <dataValidation type="list" allowBlank="1" showInputMessage="1" showErrorMessage="1" sqref="S413:T413 A1081:B1081 AE425:AF425 A1103:B1103 M355:N358 A1125:B1125 A1097:B1097 A1070:B1070 A1075:B1075 R411:S412 A1089:B1089 A1094:B1094 A1100:B1100 A1065:B1065 A1067:B1067 A1085:B1085" xr:uid="{00000000-0002-0000-0400-000000000000}">
      <formula1>"N/A, Yes"</formula1>
    </dataValidation>
    <dataValidation type="list" allowBlank="1" showInputMessage="1" showErrorMessage="1" sqref="O974 N689 AG689 AG665 N665 AG673 N673 AG681 N681 AG615 AG649 N649 AG657 N657 AG607 AG599 N591 AG591 N607 AG583 N599 N575 N615 N583 AG575 O33:P33 X180 R177 AP205 T195:T197 AH194 T199:T200" xr:uid="{00000000-0002-0000-0400-000001000000}">
      <formula1>"Yes, No"</formula1>
    </dataValidation>
    <dataValidation type="list" allowBlank="1" showInputMessage="1" showErrorMessage="1" sqref="AG1011 AG1020 AG1029 AG994 AG1001 AG1036 Q489 AG1007 AG1013 AG1016 AG1025 AG1032 AG1041" xr:uid="{00000000-0002-0000-0400-000002000000}">
      <formula1>"Yes,No"</formula1>
    </dataValidation>
    <dataValidation type="list" allowBlank="1" showInputMessage="1" showErrorMessage="1" sqref="J1024"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8:U95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5:T945" xr:uid="{00000000-0002-0000-0400-000014000000}">
      <formula1>"No,Yes"</formula1>
    </dataValidation>
    <dataValidation type="list" allowBlank="1" showInputMessage="1" showErrorMessage="1" sqref="M969:S969"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7 AB957" xr:uid="{00000000-0002-0000-0400-00001E000000}">
      <formula1>"(select one),Project-based vouchers (PBVs),Project-based contract (PBC),RAD conversion - PBVs, RAD conversion - PBC"</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2:AK962"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2:S962"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2:S972" xr:uid="{9CEC7422-BB08-4918-A04B-C33D1AA3FF65}">
      <formula1>"(select one),Project-based vouchers (PBVs),Project-based contract (PBC),RAD PBVs, RAD PBC"</formula1>
    </dataValidation>
    <dataValidation type="list" allowBlank="1" showInputMessage="1" showErrorMessage="1" sqref="J787:N796 J773:N776 B718:F752" xr:uid="{00000000-0002-0000-0400-00002C000000}">
      <formula1>UnitSizes</formula1>
    </dataValidation>
    <dataValidation type="list" allowBlank="1" showInputMessage="1" showErrorMessage="1" sqref="AC220:AQ220" xr:uid="{5ED4EA51-A5F7-4FD5-BA7A-660BC831B638}">
      <formula1>$BN$147:$BN$154</formula1>
    </dataValidation>
    <dataValidation type="list" showInputMessage="1" showErrorMessage="1" sqref="D220:Z220" xr:uid="{00000000-0002-0000-0400-000020000000}">
      <formula1>$BC$197:$BC$210</formula1>
    </dataValidation>
    <dataValidation type="list" allowBlank="1" showInputMessage="1" showErrorMessage="1" sqref="Z205" xr:uid="{9BEEE790-835C-4209-A33A-9B1065E69761}">
      <formula1>$BI$212:$BI$215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72" max="45" man="1"/>
    <brk id="334" max="45" man="1"/>
    <brk id="383" max="45" man="1"/>
    <brk id="435" max="45" man="1"/>
    <brk id="496" max="45" man="1"/>
    <brk id="543" max="45" man="1"/>
    <brk id="666" max="45" man="1"/>
    <brk id="708" max="45" man="1"/>
    <brk id="760" max="45" man="1"/>
    <brk id="819" max="45" man="1"/>
    <brk id="880" max="45" man="1"/>
    <brk id="950" max="45" man="1"/>
  </rowBreak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topLeftCell="A10" zoomScale="90" zoomScaleNormal="90" workbookViewId="0">
      <selection activeCell="E91" sqref="E91"/>
    </sheetView>
  </sheetViews>
  <sheetFormatPr defaultColWidth="0" defaultRowHeight="12" zeroHeight="1"/>
  <cols>
    <col min="1" max="1" width="35.7109375" style="187" customWidth="1"/>
    <col min="2" max="12" width="12.140625" style="158" customWidth="1"/>
    <col min="13" max="17" width="11.28515625" style="158" customWidth="1"/>
    <col min="18" max="18" width="12.7109375" style="158" customWidth="1"/>
    <col min="19" max="20" width="12.140625" style="158" customWidth="1"/>
    <col min="21" max="21" width="0.28515625" style="161" customWidth="1"/>
    <col min="22" max="16383" width="8.85546875" style="158" hidden="1"/>
    <col min="16384" max="16384" width="0.140625" style="158" customWidth="1"/>
  </cols>
  <sheetData>
    <row r="1" spans="1:21" s="110" customFormat="1" ht="13.5">
      <c r="A1" s="168" t="s">
        <v>549</v>
      </c>
      <c r="B1" s="125"/>
      <c r="C1" s="125"/>
      <c r="D1" s="125"/>
      <c r="E1" s="126"/>
      <c r="F1" s="1860" t="s">
        <v>621</v>
      </c>
      <c r="G1" s="1861"/>
      <c r="H1" s="1861"/>
      <c r="I1" s="1861"/>
      <c r="J1" s="1861"/>
      <c r="K1" s="1861"/>
      <c r="L1" s="1861"/>
      <c r="M1" s="1861"/>
      <c r="N1" s="1861"/>
      <c r="O1" s="1861"/>
      <c r="P1" s="1861"/>
      <c r="Q1" s="1861"/>
      <c r="R1" s="1862"/>
      <c r="S1" s="112"/>
      <c r="T1" s="111"/>
      <c r="U1" s="113"/>
    </row>
    <row r="2" spans="1:21" s="138" customFormat="1" ht="71.25" customHeight="1">
      <c r="A2" s="137"/>
      <c r="B2" s="138" t="s">
        <v>23</v>
      </c>
      <c r="C2" s="138" t="s">
        <v>373</v>
      </c>
      <c r="D2" s="138" t="s">
        <v>372</v>
      </c>
      <c r="E2" s="138" t="s">
        <v>24</v>
      </c>
      <c r="F2" s="139" t="str">
        <f>Application!B627&amp;Application!C627</f>
        <v>1)Safehold</v>
      </c>
      <c r="G2" s="139" t="str">
        <f>Application!B628&amp;Application!C628</f>
        <v>2)Citibank Tax-Exempt Permanent Loan</v>
      </c>
      <c r="H2" s="139" t="str">
        <f>Application!B629&amp;Application!C629</f>
        <v>3)GP Loan</v>
      </c>
      <c r="I2" s="139" t="str">
        <f>Application!B630&amp;Application!C630</f>
        <v>4)Lease Up Income</v>
      </c>
      <c r="J2" s="139" t="str">
        <f>Application!B631&amp;Application!C631</f>
        <v>5)Deferred Developer Fee</v>
      </c>
      <c r="K2" s="139" t="str">
        <f>Application!B632&amp;Application!C632</f>
        <v>6)</v>
      </c>
      <c r="L2" s="139" t="str">
        <f>Application!B633&amp;Application!C633</f>
        <v>7)</v>
      </c>
      <c r="M2" s="139" t="str">
        <f>Application!B634&amp;Application!C634</f>
        <v>8)</v>
      </c>
      <c r="N2" s="139" t="str">
        <f>Application!B635&amp;Application!C635</f>
        <v>9)</v>
      </c>
      <c r="O2" s="139" t="str">
        <f>Application!B636&amp;Application!C636</f>
        <v>10)</v>
      </c>
      <c r="P2" s="139" t="str">
        <f>Application!B637&amp;Application!C637</f>
        <v>11)</v>
      </c>
      <c r="Q2" s="139" t="str">
        <f>Application!B638&amp;Application!C638</f>
        <v>12)</v>
      </c>
      <c r="R2" s="139" t="s">
        <v>59</v>
      </c>
      <c r="S2" s="138" t="s">
        <v>182</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7750000</v>
      </c>
      <c r="C4" s="147">
        <v>7750000</v>
      </c>
      <c r="D4" s="147"/>
      <c r="E4" s="147">
        <f>B4-SUM(F4:J4)</f>
        <v>7750000</v>
      </c>
      <c r="F4" s="147"/>
      <c r="G4" s="147"/>
      <c r="H4" s="147"/>
      <c r="I4" s="147"/>
      <c r="J4" s="147"/>
      <c r="K4" s="147"/>
      <c r="L4" s="147"/>
      <c r="M4" s="147"/>
      <c r="N4" s="147"/>
      <c r="O4" s="147"/>
      <c r="P4" s="147"/>
      <c r="Q4" s="147"/>
      <c r="R4" s="517">
        <f>SUM(E4:Q4)</f>
        <v>7750000</v>
      </c>
      <c r="S4" s="148"/>
      <c r="T4" s="148"/>
      <c r="U4" s="143"/>
    </row>
    <row r="5" spans="1:21" s="144" customFormat="1">
      <c r="A5" s="145" t="s">
        <v>28</v>
      </c>
      <c r="B5" s="146">
        <f>SUM(C5+D5)</f>
        <v>0</v>
      </c>
      <c r="C5" s="147"/>
      <c r="D5" s="147"/>
      <c r="E5" s="147">
        <f t="shared" ref="E5:E6" si="0">B5-SUM(F5:J5)</f>
        <v>0</v>
      </c>
      <c r="F5" s="147"/>
      <c r="G5" s="147"/>
      <c r="H5" s="147"/>
      <c r="I5" s="147"/>
      <c r="J5" s="147"/>
      <c r="K5" s="147"/>
      <c r="L5" s="147"/>
      <c r="M5" s="147"/>
      <c r="N5" s="147"/>
      <c r="O5" s="147"/>
      <c r="P5" s="147"/>
      <c r="Q5" s="147"/>
      <c r="R5" s="517">
        <f>SUM(E5:Q5)</f>
        <v>0</v>
      </c>
      <c r="S5" s="148"/>
      <c r="T5" s="148"/>
      <c r="U5" s="143"/>
    </row>
    <row r="6" spans="1:21" s="144" customFormat="1">
      <c r="A6" s="145" t="s">
        <v>29</v>
      </c>
      <c r="B6" s="146">
        <f>SUM(C6+D6)</f>
        <v>100000</v>
      </c>
      <c r="C6" s="147">
        <f>75000+15000+10000</f>
        <v>100000</v>
      </c>
      <c r="D6" s="147"/>
      <c r="E6" s="147">
        <f t="shared" si="0"/>
        <v>100000</v>
      </c>
      <c r="F6" s="147"/>
      <c r="G6" s="147"/>
      <c r="H6" s="147"/>
      <c r="I6" s="147"/>
      <c r="J6" s="147"/>
      <c r="K6" s="147"/>
      <c r="L6" s="147"/>
      <c r="M6" s="147"/>
      <c r="N6" s="147"/>
      <c r="O6" s="147"/>
      <c r="P6" s="147"/>
      <c r="Q6" s="147"/>
      <c r="R6" s="517">
        <f>SUM(E6:Q6)</f>
        <v>100000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17">
        <f>SUM(E7:Q7)</f>
        <v>0</v>
      </c>
      <c r="S7" s="148"/>
      <c r="T7" s="148"/>
      <c r="U7" s="143"/>
    </row>
    <row r="8" spans="1:21" s="144" customFormat="1">
      <c r="A8" s="149" t="s">
        <v>593</v>
      </c>
      <c r="B8" s="146">
        <f>SUM(C8:D8)</f>
        <v>7850000</v>
      </c>
      <c r="C8" s="146">
        <f t="shared" ref="C8:Q8" si="1">SUM(C4:C7)</f>
        <v>7850000</v>
      </c>
      <c r="D8" s="146">
        <f t="shared" si="1"/>
        <v>0</v>
      </c>
      <c r="E8" s="146">
        <f t="shared" si="1"/>
        <v>7850000</v>
      </c>
      <c r="F8" s="146">
        <f t="shared" si="1"/>
        <v>0</v>
      </c>
      <c r="G8" s="146">
        <f t="shared" si="1"/>
        <v>0</v>
      </c>
      <c r="H8" s="146">
        <f t="shared" si="1"/>
        <v>0</v>
      </c>
      <c r="I8" s="146">
        <f t="shared" si="1"/>
        <v>0</v>
      </c>
      <c r="J8" s="146">
        <f t="shared" si="1"/>
        <v>0</v>
      </c>
      <c r="K8" s="146">
        <f t="shared" si="1"/>
        <v>0</v>
      </c>
      <c r="L8" s="146">
        <f t="shared" si="1"/>
        <v>0</v>
      </c>
      <c r="M8" s="146">
        <f t="shared" si="1"/>
        <v>0</v>
      </c>
      <c r="N8" s="146">
        <f t="shared" si="1"/>
        <v>0</v>
      </c>
      <c r="O8" s="146">
        <f t="shared" si="1"/>
        <v>0</v>
      </c>
      <c r="P8" s="146"/>
      <c r="Q8" s="146">
        <f t="shared" si="1"/>
        <v>0</v>
      </c>
      <c r="R8" s="343">
        <f>SUM(R4:R7)</f>
        <v>7850000</v>
      </c>
      <c r="S8" s="148"/>
      <c r="T8" s="148"/>
      <c r="U8" s="143"/>
    </row>
    <row r="9" spans="1:21" s="144" customFormat="1">
      <c r="A9" s="145" t="s">
        <v>594</v>
      </c>
      <c r="B9" s="146">
        <f>SUM(C9+D9)</f>
        <v>0</v>
      </c>
      <c r="C9" s="147"/>
      <c r="D9" s="147"/>
      <c r="E9" s="147"/>
      <c r="F9" s="147"/>
      <c r="G9" s="147"/>
      <c r="H9" s="147"/>
      <c r="I9" s="147"/>
      <c r="J9" s="147"/>
      <c r="K9" s="147"/>
      <c r="L9" s="147"/>
      <c r="M9" s="147"/>
      <c r="N9" s="147"/>
      <c r="O9" s="147"/>
      <c r="P9" s="147"/>
      <c r="Q9" s="147"/>
      <c r="R9" s="517">
        <f>SUM(E9:Q9)</f>
        <v>0</v>
      </c>
      <c r="S9" s="148"/>
      <c r="T9" s="147"/>
      <c r="U9" s="143"/>
    </row>
    <row r="10" spans="1:21" s="144" customFormat="1">
      <c r="A10" s="145" t="s">
        <v>595</v>
      </c>
      <c r="B10" s="146">
        <f>SUM(C10+D10)</f>
        <v>0</v>
      </c>
      <c r="C10" s="147"/>
      <c r="D10" s="147"/>
      <c r="E10" s="147"/>
      <c r="F10" s="147"/>
      <c r="G10" s="147"/>
      <c r="H10" s="147"/>
      <c r="I10" s="147"/>
      <c r="J10" s="147"/>
      <c r="K10" s="147"/>
      <c r="L10" s="147"/>
      <c r="M10" s="147"/>
      <c r="N10" s="147"/>
      <c r="O10" s="147"/>
      <c r="P10" s="147"/>
      <c r="Q10" s="147"/>
      <c r="R10" s="517">
        <f>SUM(E10:Q10)</f>
        <v>0</v>
      </c>
      <c r="S10" s="147"/>
      <c r="T10" s="147"/>
      <c r="U10" s="143"/>
    </row>
    <row r="11" spans="1:21" s="144" customFormat="1">
      <c r="A11" s="149" t="s">
        <v>596</v>
      </c>
      <c r="B11" s="146">
        <f>SUM(C11:D11)</f>
        <v>0</v>
      </c>
      <c r="C11" s="146">
        <f t="shared" ref="C11:Q11" si="2">SUM(C9:C10)</f>
        <v>0</v>
      </c>
      <c r="D11" s="146">
        <f t="shared" si="2"/>
        <v>0</v>
      </c>
      <c r="E11" s="146">
        <f t="shared" si="2"/>
        <v>0</v>
      </c>
      <c r="F11" s="146">
        <f t="shared" si="2"/>
        <v>0</v>
      </c>
      <c r="G11" s="146">
        <f t="shared" si="2"/>
        <v>0</v>
      </c>
      <c r="H11" s="146">
        <f t="shared" si="2"/>
        <v>0</v>
      </c>
      <c r="I11" s="146">
        <f t="shared" si="2"/>
        <v>0</v>
      </c>
      <c r="J11" s="146">
        <f t="shared" si="2"/>
        <v>0</v>
      </c>
      <c r="K11" s="146">
        <f t="shared" si="2"/>
        <v>0</v>
      </c>
      <c r="L11" s="146">
        <f t="shared" si="2"/>
        <v>0</v>
      </c>
      <c r="M11" s="146">
        <f t="shared" si="2"/>
        <v>0</v>
      </c>
      <c r="N11" s="146">
        <f t="shared" si="2"/>
        <v>0</v>
      </c>
      <c r="O11" s="146">
        <f t="shared" si="2"/>
        <v>0</v>
      </c>
      <c r="P11" s="146"/>
      <c r="Q11" s="146">
        <f t="shared" si="2"/>
        <v>0</v>
      </c>
      <c r="R11" s="343">
        <f>SUM(R9:R10)</f>
        <v>0</v>
      </c>
      <c r="S11" s="148"/>
      <c r="T11" s="150">
        <f>SUM(T9:T10)</f>
        <v>0</v>
      </c>
      <c r="U11" s="143"/>
    </row>
    <row r="12" spans="1:21" s="144" customFormat="1">
      <c r="A12" s="149" t="s">
        <v>84</v>
      </c>
      <c r="B12" s="146">
        <f t="shared" ref="B12:Q12" si="3">SUM(B8+B11)</f>
        <v>7850000</v>
      </c>
      <c r="C12" s="146">
        <f t="shared" si="3"/>
        <v>7850000</v>
      </c>
      <c r="D12" s="146">
        <f t="shared" si="3"/>
        <v>0</v>
      </c>
      <c r="E12" s="146">
        <f t="shared" si="3"/>
        <v>7850000</v>
      </c>
      <c r="F12" s="146">
        <f t="shared" si="3"/>
        <v>0</v>
      </c>
      <c r="G12" s="146">
        <f t="shared" si="3"/>
        <v>0</v>
      </c>
      <c r="H12" s="146">
        <f t="shared" si="3"/>
        <v>0</v>
      </c>
      <c r="I12" s="146">
        <f t="shared" si="3"/>
        <v>0</v>
      </c>
      <c r="J12" s="146">
        <f t="shared" si="3"/>
        <v>0</v>
      </c>
      <c r="K12" s="146">
        <f t="shared" si="3"/>
        <v>0</v>
      </c>
      <c r="L12" s="146">
        <f t="shared" si="3"/>
        <v>0</v>
      </c>
      <c r="M12" s="146">
        <f t="shared" si="3"/>
        <v>0</v>
      </c>
      <c r="N12" s="146">
        <f t="shared" si="3"/>
        <v>0</v>
      </c>
      <c r="O12" s="146">
        <f t="shared" si="3"/>
        <v>0</v>
      </c>
      <c r="P12" s="146"/>
      <c r="Q12" s="146">
        <f t="shared" si="3"/>
        <v>0</v>
      </c>
      <c r="R12" s="343">
        <f>SUM(R8+R11)</f>
        <v>7850000</v>
      </c>
      <c r="S12" s="148"/>
      <c r="T12" s="148"/>
      <c r="U12" s="143"/>
    </row>
    <row r="13" spans="1:21" s="144" customFormat="1">
      <c r="A13" s="288" t="s">
        <v>902</v>
      </c>
      <c r="B13" s="146">
        <f>SUM(C13+D13)</f>
        <v>0</v>
      </c>
      <c r="C13" s="147"/>
      <c r="D13" s="147"/>
      <c r="E13" s="147"/>
      <c r="F13" s="147"/>
      <c r="G13" s="147"/>
      <c r="H13" s="147"/>
      <c r="I13" s="147"/>
      <c r="J13" s="147"/>
      <c r="K13" s="147"/>
      <c r="L13" s="147"/>
      <c r="M13" s="147"/>
      <c r="N13" s="147"/>
      <c r="O13" s="147"/>
      <c r="P13" s="147"/>
      <c r="Q13" s="147"/>
      <c r="R13" s="517">
        <f>SUM(E13:Q13)</f>
        <v>0</v>
      </c>
      <c r="S13" s="147"/>
      <c r="T13" s="147"/>
      <c r="U13" s="143"/>
    </row>
    <row r="14" spans="1:21" s="144" customFormat="1" ht="24">
      <c r="A14" s="289" t="s">
        <v>1642</v>
      </c>
      <c r="B14" s="146">
        <f>SUM(C14+D14)</f>
        <v>0</v>
      </c>
      <c r="C14" s="147"/>
      <c r="D14" s="147"/>
      <c r="E14" s="147"/>
      <c r="F14" s="147"/>
      <c r="G14" s="147"/>
      <c r="H14" s="147"/>
      <c r="I14" s="147"/>
      <c r="J14" s="147"/>
      <c r="K14" s="147"/>
      <c r="L14" s="147"/>
      <c r="M14" s="147"/>
      <c r="N14" s="147"/>
      <c r="O14" s="147"/>
      <c r="P14" s="147"/>
      <c r="Q14" s="147"/>
      <c r="R14" s="517">
        <f>SUM(E14:Q14)</f>
        <v>0</v>
      </c>
      <c r="S14" s="147"/>
      <c r="T14" s="147"/>
      <c r="U14" s="143"/>
    </row>
    <row r="15" spans="1:21" s="144" customFormat="1">
      <c r="A15" s="289" t="s">
        <v>1160</v>
      </c>
      <c r="B15" s="146">
        <f>SUM(C15+D15)</f>
        <v>0</v>
      </c>
      <c r="C15" s="147"/>
      <c r="D15" s="147"/>
      <c r="E15" s="147"/>
      <c r="F15" s="147"/>
      <c r="G15" s="147"/>
      <c r="H15" s="147"/>
      <c r="I15" s="147"/>
      <c r="J15" s="147"/>
      <c r="K15" s="147"/>
      <c r="L15" s="147"/>
      <c r="M15" s="147"/>
      <c r="N15" s="147"/>
      <c r="O15" s="147"/>
      <c r="P15" s="147"/>
      <c r="Q15" s="147"/>
      <c r="R15" s="517">
        <f>SUM(E15:Q15)</f>
        <v>0</v>
      </c>
      <c r="S15" s="148"/>
      <c r="T15" s="148"/>
      <c r="U15" s="143"/>
    </row>
    <row r="16" spans="1:21" s="144" customFormat="1">
      <c r="A16" s="141" t="s">
        <v>597</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598</v>
      </c>
      <c r="B17" s="146">
        <f t="shared" ref="B17:B26" si="4">SUM(C17+D17)</f>
        <v>0</v>
      </c>
      <c r="C17" s="147"/>
      <c r="D17" s="147"/>
      <c r="E17" s="147"/>
      <c r="F17" s="147"/>
      <c r="G17" s="147"/>
      <c r="H17" s="147"/>
      <c r="I17" s="147"/>
      <c r="J17" s="147"/>
      <c r="K17" s="147"/>
      <c r="L17" s="147"/>
      <c r="M17" s="147"/>
      <c r="N17" s="147"/>
      <c r="O17" s="147"/>
      <c r="P17" s="147"/>
      <c r="Q17" s="147"/>
      <c r="R17" s="517">
        <f>SUM(E17:Q17)</f>
        <v>0</v>
      </c>
      <c r="S17" s="147"/>
      <c r="T17" s="147"/>
      <c r="U17" s="143"/>
    </row>
    <row r="18" spans="1:21" s="144" customFormat="1">
      <c r="A18" s="145" t="s">
        <v>599</v>
      </c>
      <c r="B18" s="146">
        <f t="shared" si="4"/>
        <v>0</v>
      </c>
      <c r="C18" s="147"/>
      <c r="D18" s="147"/>
      <c r="E18" s="147"/>
      <c r="F18" s="147"/>
      <c r="G18" s="147"/>
      <c r="H18" s="147"/>
      <c r="I18" s="147"/>
      <c r="J18" s="147"/>
      <c r="K18" s="147"/>
      <c r="L18" s="147"/>
      <c r="M18" s="147"/>
      <c r="N18" s="147"/>
      <c r="O18" s="147"/>
      <c r="P18" s="147"/>
      <c r="Q18" s="147"/>
      <c r="R18" s="517">
        <f>SUM(E18:Q18)</f>
        <v>0</v>
      </c>
      <c r="S18" s="147"/>
      <c r="T18" s="147"/>
      <c r="U18" s="143"/>
    </row>
    <row r="19" spans="1:21" s="144" customFormat="1">
      <c r="A19" s="145" t="s">
        <v>600</v>
      </c>
      <c r="B19" s="146">
        <f t="shared" si="4"/>
        <v>0</v>
      </c>
      <c r="C19" s="147"/>
      <c r="D19" s="147"/>
      <c r="E19" s="147"/>
      <c r="F19" s="147"/>
      <c r="G19" s="147"/>
      <c r="H19" s="147"/>
      <c r="I19" s="147"/>
      <c r="J19" s="147"/>
      <c r="K19" s="147"/>
      <c r="L19" s="147"/>
      <c r="M19" s="147"/>
      <c r="N19" s="147"/>
      <c r="O19" s="147"/>
      <c r="P19" s="147"/>
      <c r="Q19" s="147"/>
      <c r="R19" s="517">
        <f>SUM(E19:Q19)</f>
        <v>0</v>
      </c>
      <c r="S19" s="147"/>
      <c r="T19" s="147"/>
      <c r="U19" s="143"/>
    </row>
    <row r="20" spans="1:21" s="144" customFormat="1">
      <c r="A20" s="145" t="s">
        <v>137</v>
      </c>
      <c r="B20" s="146">
        <f t="shared" si="4"/>
        <v>0</v>
      </c>
      <c r="C20" s="147"/>
      <c r="D20" s="147"/>
      <c r="E20" s="147"/>
      <c r="F20" s="147"/>
      <c r="G20" s="147"/>
      <c r="H20" s="147"/>
      <c r="I20" s="147"/>
      <c r="J20" s="147"/>
      <c r="K20" s="147"/>
      <c r="L20" s="147"/>
      <c r="M20" s="147"/>
      <c r="N20" s="147"/>
      <c r="O20" s="147"/>
      <c r="P20" s="147"/>
      <c r="Q20" s="147"/>
      <c r="R20" s="517">
        <f t="shared" ref="R20:R27" si="5">SUM(E20:Q20)</f>
        <v>0</v>
      </c>
      <c r="S20" s="147"/>
      <c r="T20" s="147"/>
      <c r="U20" s="143"/>
    </row>
    <row r="21" spans="1:21" s="144" customFormat="1">
      <c r="A21" s="145" t="s">
        <v>138</v>
      </c>
      <c r="B21" s="146">
        <f t="shared" si="4"/>
        <v>0</v>
      </c>
      <c r="C21" s="147"/>
      <c r="D21" s="147"/>
      <c r="E21" s="147"/>
      <c r="F21" s="147"/>
      <c r="G21" s="147"/>
      <c r="H21" s="147"/>
      <c r="I21" s="147"/>
      <c r="J21" s="147"/>
      <c r="K21" s="147"/>
      <c r="L21" s="147"/>
      <c r="M21" s="147"/>
      <c r="N21" s="147"/>
      <c r="O21" s="147"/>
      <c r="P21" s="147"/>
      <c r="Q21" s="147"/>
      <c r="R21" s="517">
        <f t="shared" si="5"/>
        <v>0</v>
      </c>
      <c r="S21" s="147"/>
      <c r="T21" s="147"/>
      <c r="U21" s="143"/>
    </row>
    <row r="22" spans="1:21" s="144" customFormat="1">
      <c r="A22" s="145" t="s">
        <v>139</v>
      </c>
      <c r="B22" s="146">
        <f t="shared" si="4"/>
        <v>0</v>
      </c>
      <c r="C22" s="147"/>
      <c r="D22" s="147"/>
      <c r="E22" s="147"/>
      <c r="F22" s="147"/>
      <c r="G22" s="147"/>
      <c r="H22" s="147"/>
      <c r="I22" s="147"/>
      <c r="J22" s="147"/>
      <c r="K22" s="147"/>
      <c r="L22" s="147"/>
      <c r="M22" s="147"/>
      <c r="N22" s="147"/>
      <c r="O22" s="147"/>
      <c r="P22" s="147"/>
      <c r="Q22" s="147"/>
      <c r="R22" s="517">
        <f t="shared" si="5"/>
        <v>0</v>
      </c>
      <c r="S22" s="147"/>
      <c r="T22" s="147"/>
      <c r="U22" s="143"/>
    </row>
    <row r="23" spans="1:21" s="144" customFormat="1">
      <c r="A23" s="145" t="s">
        <v>140</v>
      </c>
      <c r="B23" s="146">
        <f t="shared" si="4"/>
        <v>0</v>
      </c>
      <c r="C23" s="147"/>
      <c r="D23" s="147"/>
      <c r="E23" s="147"/>
      <c r="F23" s="147"/>
      <c r="G23" s="147"/>
      <c r="H23" s="147"/>
      <c r="I23" s="147"/>
      <c r="J23" s="147"/>
      <c r="K23" s="147"/>
      <c r="L23" s="147"/>
      <c r="M23" s="147"/>
      <c r="N23" s="147"/>
      <c r="O23" s="147"/>
      <c r="P23" s="147"/>
      <c r="Q23" s="147"/>
      <c r="R23" s="517">
        <f t="shared" si="5"/>
        <v>0</v>
      </c>
      <c r="S23" s="147"/>
      <c r="T23" s="147"/>
      <c r="U23" s="143"/>
    </row>
    <row r="24" spans="1:21" s="144" customFormat="1">
      <c r="A24" s="509" t="s">
        <v>1639</v>
      </c>
      <c r="B24" s="146">
        <f t="shared" si="4"/>
        <v>0</v>
      </c>
      <c r="C24" s="147"/>
      <c r="D24" s="147"/>
      <c r="E24" s="147"/>
      <c r="F24" s="147"/>
      <c r="G24" s="147"/>
      <c r="H24" s="147"/>
      <c r="I24" s="147"/>
      <c r="J24" s="147"/>
      <c r="K24" s="147"/>
      <c r="L24" s="147"/>
      <c r="M24" s="147"/>
      <c r="N24" s="147"/>
      <c r="O24" s="147"/>
      <c r="P24" s="147"/>
      <c r="Q24" s="147"/>
      <c r="R24" s="517">
        <f t="shared" si="5"/>
        <v>0</v>
      </c>
      <c r="S24" s="147"/>
      <c r="T24" s="147"/>
      <c r="U24" s="143"/>
    </row>
    <row r="25" spans="1:21" s="144" customFormat="1">
      <c r="A25" s="1151"/>
      <c r="B25" s="146">
        <f t="shared" si="4"/>
        <v>0</v>
      </c>
      <c r="C25" s="147"/>
      <c r="D25" s="147"/>
      <c r="E25" s="147"/>
      <c r="F25" s="147"/>
      <c r="G25" s="147"/>
      <c r="H25" s="147"/>
      <c r="I25" s="147"/>
      <c r="J25" s="147"/>
      <c r="K25" s="147"/>
      <c r="L25" s="147"/>
      <c r="M25" s="147"/>
      <c r="N25" s="147"/>
      <c r="O25" s="147"/>
      <c r="P25" s="147"/>
      <c r="Q25" s="147"/>
      <c r="R25" s="517">
        <f t="shared" si="5"/>
        <v>0</v>
      </c>
      <c r="S25" s="147"/>
      <c r="T25" s="147"/>
      <c r="U25" s="143"/>
    </row>
    <row r="26" spans="1:21" s="144" customFormat="1">
      <c r="A26" s="149" t="s">
        <v>133</v>
      </c>
      <c r="B26" s="146">
        <f t="shared" si="4"/>
        <v>0</v>
      </c>
      <c r="C26" s="146">
        <f>SUM(C17:C25)</f>
        <v>0</v>
      </c>
      <c r="D26" s="146">
        <f t="shared" ref="D26:Q26" si="6">SUM(D17:D25)</f>
        <v>0</v>
      </c>
      <c r="E26" s="146">
        <f t="shared" si="6"/>
        <v>0</v>
      </c>
      <c r="F26" s="146">
        <f t="shared" si="6"/>
        <v>0</v>
      </c>
      <c r="G26" s="146">
        <f t="shared" si="6"/>
        <v>0</v>
      </c>
      <c r="H26" s="146">
        <f t="shared" si="6"/>
        <v>0</v>
      </c>
      <c r="I26" s="146">
        <f t="shared" si="6"/>
        <v>0</v>
      </c>
      <c r="J26" s="146">
        <f t="shared" si="6"/>
        <v>0</v>
      </c>
      <c r="K26" s="146">
        <f t="shared" si="6"/>
        <v>0</v>
      </c>
      <c r="L26" s="146">
        <f t="shared" si="6"/>
        <v>0</v>
      </c>
      <c r="M26" s="146">
        <f t="shared" si="6"/>
        <v>0</v>
      </c>
      <c r="N26" s="146">
        <f t="shared" si="6"/>
        <v>0</v>
      </c>
      <c r="O26" s="146">
        <f t="shared" si="6"/>
        <v>0</v>
      </c>
      <c r="P26" s="146">
        <f t="shared" si="6"/>
        <v>0</v>
      </c>
      <c r="Q26" s="146">
        <f t="shared" si="6"/>
        <v>0</v>
      </c>
      <c r="R26" s="343">
        <f>SUM(R17:R25)</f>
        <v>0</v>
      </c>
      <c r="S26" s="150">
        <f>SUM(S17:S25)</f>
        <v>0</v>
      </c>
      <c r="T26" s="150">
        <f>SUM(T17:T25)</f>
        <v>0</v>
      </c>
      <c r="U26" s="143"/>
    </row>
    <row r="27" spans="1:21" s="144" customFormat="1">
      <c r="A27" s="149" t="s">
        <v>141</v>
      </c>
      <c r="B27" s="146">
        <f>SUM(C27:D27)</f>
        <v>0</v>
      </c>
      <c r="C27" s="147"/>
      <c r="D27" s="147"/>
      <c r="E27" s="147"/>
      <c r="F27" s="147"/>
      <c r="G27" s="147"/>
      <c r="H27" s="147"/>
      <c r="I27" s="147"/>
      <c r="J27" s="147"/>
      <c r="K27" s="147"/>
      <c r="L27" s="147"/>
      <c r="M27" s="147"/>
      <c r="N27" s="147"/>
      <c r="O27" s="147"/>
      <c r="P27" s="147"/>
      <c r="Q27" s="147"/>
      <c r="R27" s="517">
        <f t="shared" si="5"/>
        <v>0</v>
      </c>
      <c r="S27" s="147"/>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598</v>
      </c>
      <c r="B29" s="146">
        <f t="shared" ref="B29:B38" si="7">SUM(C29+D29)</f>
        <v>970502</v>
      </c>
      <c r="C29" s="147">
        <v>970502</v>
      </c>
      <c r="D29" s="147"/>
      <c r="E29" s="147"/>
      <c r="F29" s="147">
        <f>C29</f>
        <v>970502</v>
      </c>
      <c r="G29" s="147"/>
      <c r="H29" s="147"/>
      <c r="I29" s="147"/>
      <c r="J29" s="147"/>
      <c r="K29" s="147"/>
      <c r="L29" s="147"/>
      <c r="M29" s="147"/>
      <c r="N29" s="147"/>
      <c r="O29" s="147"/>
      <c r="P29" s="147"/>
      <c r="Q29" s="147"/>
      <c r="R29" s="517">
        <f t="shared" ref="R29:R37" si="8">SUM(E29:Q29)</f>
        <v>970502</v>
      </c>
      <c r="S29" s="147">
        <f>R29</f>
        <v>970502</v>
      </c>
      <c r="T29" s="147"/>
      <c r="U29" s="143"/>
    </row>
    <row r="30" spans="1:21" s="144" customFormat="1">
      <c r="A30" s="145" t="s">
        <v>599</v>
      </c>
      <c r="B30" s="146">
        <f t="shared" si="7"/>
        <v>39790599</v>
      </c>
      <c r="C30" s="147">
        <f>37849594+1941005</f>
        <v>39790599</v>
      </c>
      <c r="D30" s="147"/>
      <c r="E30" s="147"/>
      <c r="F30" s="147">
        <f>Application!AO627-'Sources and Uses Budget'!F29</f>
        <v>19529498</v>
      </c>
      <c r="G30" s="147">
        <f>C30-F30</f>
        <v>20261101</v>
      </c>
      <c r="H30" s="147"/>
      <c r="I30" s="147"/>
      <c r="J30" s="147"/>
      <c r="K30" s="147"/>
      <c r="L30" s="147"/>
      <c r="M30" s="147"/>
      <c r="N30" s="147"/>
      <c r="O30" s="147"/>
      <c r="P30" s="147"/>
      <c r="Q30" s="147"/>
      <c r="R30" s="517">
        <f t="shared" si="8"/>
        <v>39790599</v>
      </c>
      <c r="S30" s="147">
        <f t="shared" ref="S30:S33" si="9">R30</f>
        <v>39790599</v>
      </c>
      <c r="T30" s="147"/>
      <c r="U30" s="143"/>
    </row>
    <row r="31" spans="1:21" s="144" customFormat="1">
      <c r="A31" s="145" t="s">
        <v>600</v>
      </c>
      <c r="B31" s="146">
        <f t="shared" si="7"/>
        <v>2329206</v>
      </c>
      <c r="C31" s="147">
        <v>2329206</v>
      </c>
      <c r="D31" s="147"/>
      <c r="E31" s="147"/>
      <c r="F31" s="147"/>
      <c r="G31" s="147">
        <f>C31</f>
        <v>2329206</v>
      </c>
      <c r="H31" s="147"/>
      <c r="I31" s="147"/>
      <c r="J31" s="147"/>
      <c r="K31" s="147"/>
      <c r="L31" s="147"/>
      <c r="M31" s="147"/>
      <c r="N31" s="147"/>
      <c r="O31" s="147"/>
      <c r="P31" s="147"/>
      <c r="Q31" s="147"/>
      <c r="R31" s="517">
        <f t="shared" si="8"/>
        <v>2329206</v>
      </c>
      <c r="S31" s="147">
        <f t="shared" si="9"/>
        <v>2329206</v>
      </c>
      <c r="T31" s="147"/>
      <c r="U31" s="143"/>
    </row>
    <row r="32" spans="1:21" s="144" customFormat="1">
      <c r="A32" s="145" t="s">
        <v>137</v>
      </c>
      <c r="B32" s="146">
        <f t="shared" si="7"/>
        <v>776402</v>
      </c>
      <c r="C32" s="147">
        <v>776402</v>
      </c>
      <c r="D32" s="147"/>
      <c r="E32" s="147"/>
      <c r="F32" s="147"/>
      <c r="G32" s="147">
        <f>Application!AO628-SUM('Sources and Uses Budget'!G30:G31)</f>
        <v>455863</v>
      </c>
      <c r="H32" s="147">
        <f>C32-G32</f>
        <v>320539</v>
      </c>
      <c r="I32" s="147"/>
      <c r="J32" s="147"/>
      <c r="K32" s="147"/>
      <c r="L32" s="147"/>
      <c r="M32" s="147"/>
      <c r="N32" s="147"/>
      <c r="O32" s="147"/>
      <c r="P32" s="147"/>
      <c r="Q32" s="147"/>
      <c r="R32" s="517">
        <f t="shared" si="8"/>
        <v>776402</v>
      </c>
      <c r="S32" s="147">
        <f t="shared" si="9"/>
        <v>776402</v>
      </c>
      <c r="T32" s="147"/>
      <c r="U32" s="143"/>
    </row>
    <row r="33" spans="1:21" s="144" customFormat="1">
      <c r="A33" s="145" t="s">
        <v>138</v>
      </c>
      <c r="B33" s="146">
        <f t="shared" si="7"/>
        <v>2329206</v>
      </c>
      <c r="C33" s="147">
        <v>2329206</v>
      </c>
      <c r="D33" s="147"/>
      <c r="E33" s="147"/>
      <c r="F33" s="147"/>
      <c r="G33" s="147"/>
      <c r="H33" s="147">
        <f>Application!AO629-'Sources and Uses Budget'!H32</f>
        <v>2188696</v>
      </c>
      <c r="I33" s="147">
        <f>C33-H33</f>
        <v>140510</v>
      </c>
      <c r="J33" s="147"/>
      <c r="K33" s="147"/>
      <c r="L33" s="147"/>
      <c r="M33" s="147"/>
      <c r="N33" s="147"/>
      <c r="O33" s="147"/>
      <c r="P33" s="147"/>
      <c r="Q33" s="147"/>
      <c r="R33" s="517">
        <f t="shared" si="8"/>
        <v>2329206</v>
      </c>
      <c r="S33" s="147">
        <f t="shared" si="9"/>
        <v>2329206</v>
      </c>
      <c r="T33" s="147"/>
      <c r="U33" s="143"/>
    </row>
    <row r="34" spans="1:21" s="144" customFormat="1">
      <c r="A34" s="145" t="s">
        <v>139</v>
      </c>
      <c r="B34" s="146">
        <f t="shared" si="7"/>
        <v>0</v>
      </c>
      <c r="C34" s="147">
        <v>0</v>
      </c>
      <c r="D34" s="147"/>
      <c r="E34" s="147"/>
      <c r="F34" s="147"/>
      <c r="G34" s="147"/>
      <c r="H34" s="147"/>
      <c r="I34" s="147"/>
      <c r="J34" s="147"/>
      <c r="K34" s="147"/>
      <c r="L34" s="147"/>
      <c r="M34" s="147"/>
      <c r="N34" s="147"/>
      <c r="O34" s="147"/>
      <c r="P34" s="147"/>
      <c r="Q34" s="147"/>
      <c r="R34" s="517">
        <f t="shared" si="8"/>
        <v>0</v>
      </c>
      <c r="S34" s="147"/>
      <c r="T34" s="147"/>
      <c r="U34" s="143"/>
    </row>
    <row r="35" spans="1:21" s="144" customFormat="1">
      <c r="A35" s="145" t="s">
        <v>140</v>
      </c>
      <c r="B35" s="146">
        <f t="shared" si="7"/>
        <v>776402</v>
      </c>
      <c r="C35" s="147">
        <f>388201*2</f>
        <v>776402</v>
      </c>
      <c r="D35" s="147"/>
      <c r="E35" s="147">
        <f>B35-SUM(F35:I35)</f>
        <v>682926</v>
      </c>
      <c r="F35" s="147"/>
      <c r="G35" s="147"/>
      <c r="H35" s="147"/>
      <c r="I35" s="147">
        <f>Application!AO630-'Sources and Uses Budget'!I33</f>
        <v>93476</v>
      </c>
      <c r="J35" s="147"/>
      <c r="K35" s="147"/>
      <c r="L35" s="147"/>
      <c r="M35" s="147"/>
      <c r="N35" s="147"/>
      <c r="O35" s="147"/>
      <c r="P35" s="147"/>
      <c r="Q35" s="147"/>
      <c r="R35" s="517">
        <f t="shared" si="8"/>
        <v>776402</v>
      </c>
      <c r="S35" s="147">
        <f>R35</f>
        <v>776402</v>
      </c>
      <c r="T35" s="147"/>
      <c r="U35" s="143"/>
    </row>
    <row r="36" spans="1:21" s="144" customFormat="1">
      <c r="A36" s="284" t="s">
        <v>1639</v>
      </c>
      <c r="B36" s="146">
        <f t="shared" si="7"/>
        <v>0</v>
      </c>
      <c r="C36" s="147">
        <v>0</v>
      </c>
      <c r="D36" s="147"/>
      <c r="E36" s="147"/>
      <c r="F36" s="147"/>
      <c r="G36" s="147"/>
      <c r="H36" s="147"/>
      <c r="I36" s="147"/>
      <c r="J36" s="147"/>
      <c r="K36" s="147"/>
      <c r="L36" s="147"/>
      <c r="M36" s="147"/>
      <c r="N36" s="147"/>
      <c r="O36" s="147"/>
      <c r="P36" s="147"/>
      <c r="Q36" s="147"/>
      <c r="R36" s="517">
        <f t="shared" si="8"/>
        <v>0</v>
      </c>
      <c r="S36" s="147"/>
      <c r="T36" s="147"/>
      <c r="U36" s="143"/>
    </row>
    <row r="37" spans="1:21" s="144" customFormat="1">
      <c r="A37" s="1151" t="s">
        <v>34</v>
      </c>
      <c r="B37" s="146">
        <f t="shared" si="7"/>
        <v>0</v>
      </c>
      <c r="C37" s="147">
        <v>0</v>
      </c>
      <c r="D37" s="147"/>
      <c r="E37" s="147"/>
      <c r="F37" s="147"/>
      <c r="G37" s="147"/>
      <c r="H37" s="147"/>
      <c r="I37" s="147"/>
      <c r="J37" s="147"/>
      <c r="K37" s="147"/>
      <c r="L37" s="147"/>
      <c r="M37" s="147"/>
      <c r="N37" s="147"/>
      <c r="O37" s="147"/>
      <c r="P37" s="147"/>
      <c r="Q37" s="147"/>
      <c r="R37" s="517">
        <f t="shared" si="8"/>
        <v>0</v>
      </c>
      <c r="S37" s="147"/>
      <c r="T37" s="147"/>
      <c r="U37" s="143"/>
    </row>
    <row r="38" spans="1:21" s="144" customFormat="1">
      <c r="A38" s="149" t="s">
        <v>143</v>
      </c>
      <c r="B38" s="146">
        <f t="shared" si="7"/>
        <v>46972317</v>
      </c>
      <c r="C38" s="146">
        <f>SUM(C29:C37)</f>
        <v>46972317</v>
      </c>
      <c r="D38" s="146">
        <f t="shared" ref="D38:Q38" si="10">SUM(D29:D37)</f>
        <v>0</v>
      </c>
      <c r="E38" s="146">
        <f t="shared" si="10"/>
        <v>682926</v>
      </c>
      <c r="F38" s="146">
        <f t="shared" si="10"/>
        <v>20500000</v>
      </c>
      <c r="G38" s="146">
        <f t="shared" si="10"/>
        <v>23046170</v>
      </c>
      <c r="H38" s="146">
        <f t="shared" si="10"/>
        <v>2509235</v>
      </c>
      <c r="I38" s="146">
        <f t="shared" si="10"/>
        <v>233986</v>
      </c>
      <c r="J38" s="146">
        <f t="shared" si="10"/>
        <v>0</v>
      </c>
      <c r="K38" s="146">
        <f t="shared" si="10"/>
        <v>0</v>
      </c>
      <c r="L38" s="146">
        <f t="shared" si="10"/>
        <v>0</v>
      </c>
      <c r="M38" s="146">
        <f t="shared" si="10"/>
        <v>0</v>
      </c>
      <c r="N38" s="146">
        <f t="shared" si="10"/>
        <v>0</v>
      </c>
      <c r="O38" s="146">
        <f t="shared" si="10"/>
        <v>0</v>
      </c>
      <c r="P38" s="146">
        <f t="shared" si="10"/>
        <v>0</v>
      </c>
      <c r="Q38" s="146">
        <f t="shared" si="10"/>
        <v>0</v>
      </c>
      <c r="R38" s="343">
        <f>SUM(R29:R37)</f>
        <v>46972317</v>
      </c>
      <c r="S38" s="150">
        <f>SUM(S29:S37)</f>
        <v>46972317</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5397894</v>
      </c>
      <c r="C40" s="147">
        <f>603200+25000+116000+185600+46400+11600+18560+18560+34800+4500+14000+60000+6000+50000+5000+500+4000+2743374+150800+1000000+150000+150000</f>
        <v>5397894</v>
      </c>
      <c r="D40" s="147"/>
      <c r="E40" s="147">
        <f>B40</f>
        <v>5397894</v>
      </c>
      <c r="F40" s="147"/>
      <c r="G40" s="147"/>
      <c r="H40" s="147"/>
      <c r="I40" s="147"/>
      <c r="J40" s="147"/>
      <c r="K40" s="147"/>
      <c r="L40" s="147"/>
      <c r="M40" s="147"/>
      <c r="N40" s="147"/>
      <c r="O40" s="147"/>
      <c r="P40" s="147"/>
      <c r="Q40" s="147"/>
      <c r="R40" s="517">
        <f>SUM(E40:Q40)</f>
        <v>5397894</v>
      </c>
      <c r="S40" s="147">
        <f>R40-703588</f>
        <v>4694306</v>
      </c>
      <c r="T40" s="147"/>
      <c r="U40" s="143"/>
    </row>
    <row r="41" spans="1:21" s="144" customFormat="1">
      <c r="A41" s="145" t="s">
        <v>146</v>
      </c>
      <c r="B41" s="146">
        <f>SUM(C41+D41)</f>
        <v>0</v>
      </c>
      <c r="C41" s="147"/>
      <c r="D41" s="147"/>
      <c r="E41" s="147"/>
      <c r="F41" s="147"/>
      <c r="G41" s="147"/>
      <c r="H41" s="147"/>
      <c r="I41" s="147"/>
      <c r="J41" s="147"/>
      <c r="K41" s="147"/>
      <c r="L41" s="147"/>
      <c r="M41" s="147"/>
      <c r="N41" s="147"/>
      <c r="O41" s="147"/>
      <c r="P41" s="147"/>
      <c r="Q41" s="147"/>
      <c r="R41" s="517">
        <f>SUM(E41:Q41)</f>
        <v>0</v>
      </c>
      <c r="S41" s="147"/>
      <c r="T41" s="147"/>
      <c r="U41" s="143"/>
    </row>
    <row r="42" spans="1:21" s="144" customFormat="1">
      <c r="A42" s="149" t="s">
        <v>147</v>
      </c>
      <c r="B42" s="146">
        <f>SUM(C42:D42)</f>
        <v>5397894</v>
      </c>
      <c r="C42" s="146">
        <f>SUM(C39:C41)</f>
        <v>5397894</v>
      </c>
      <c r="D42" s="146">
        <f>SUM(D39:D41)</f>
        <v>0</v>
      </c>
      <c r="E42" s="146">
        <f t="shared" ref="E42:T42" si="11">SUM(E40:E41)</f>
        <v>5397894</v>
      </c>
      <c r="F42" s="146">
        <f t="shared" si="11"/>
        <v>0</v>
      </c>
      <c r="G42" s="146">
        <f t="shared" si="11"/>
        <v>0</v>
      </c>
      <c r="H42" s="146">
        <f t="shared" si="11"/>
        <v>0</v>
      </c>
      <c r="I42" s="146">
        <f t="shared" si="11"/>
        <v>0</v>
      </c>
      <c r="J42" s="146">
        <f t="shared" si="11"/>
        <v>0</v>
      </c>
      <c r="K42" s="146">
        <f t="shared" si="11"/>
        <v>0</v>
      </c>
      <c r="L42" s="146">
        <f t="shared" si="11"/>
        <v>0</v>
      </c>
      <c r="M42" s="146">
        <f t="shared" si="11"/>
        <v>0</v>
      </c>
      <c r="N42" s="146">
        <f t="shared" si="11"/>
        <v>0</v>
      </c>
      <c r="O42" s="146">
        <f t="shared" si="11"/>
        <v>0</v>
      </c>
      <c r="P42" s="146">
        <f t="shared" si="11"/>
        <v>0</v>
      </c>
      <c r="Q42" s="146">
        <f t="shared" si="11"/>
        <v>0</v>
      </c>
      <c r="R42" s="343">
        <f>SUM(R40:R41)</f>
        <v>5397894</v>
      </c>
      <c r="S42" s="150">
        <f t="shared" si="11"/>
        <v>4694306</v>
      </c>
      <c r="T42" s="150">
        <f t="shared" si="11"/>
        <v>0</v>
      </c>
      <c r="U42" s="143"/>
    </row>
    <row r="43" spans="1:21" s="144" customFormat="1">
      <c r="A43" s="149" t="s">
        <v>148</v>
      </c>
      <c r="B43" s="146">
        <f>SUM(C43:D43)</f>
        <v>0</v>
      </c>
      <c r="C43" s="147"/>
      <c r="D43" s="147"/>
      <c r="E43" s="147"/>
      <c r="F43" s="147"/>
      <c r="G43" s="147"/>
      <c r="H43" s="147"/>
      <c r="I43" s="147"/>
      <c r="J43" s="147"/>
      <c r="K43" s="147"/>
      <c r="L43" s="147"/>
      <c r="M43" s="147"/>
      <c r="N43" s="147"/>
      <c r="O43" s="147"/>
      <c r="P43" s="147"/>
      <c r="Q43" s="147"/>
      <c r="R43" s="517">
        <f>SUM(E43:Q43)</f>
        <v>0</v>
      </c>
      <c r="S43" s="147"/>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2">SUM(C45+D45)</f>
        <v>6955593</v>
      </c>
      <c r="C45" s="147">
        <v>6955593</v>
      </c>
      <c r="D45" s="147"/>
      <c r="E45" s="147">
        <f>B45</f>
        <v>6955593</v>
      </c>
      <c r="F45" s="147"/>
      <c r="G45" s="147"/>
      <c r="H45" s="147"/>
      <c r="I45" s="147"/>
      <c r="J45" s="147"/>
      <c r="K45" s="147"/>
      <c r="L45" s="147"/>
      <c r="M45" s="147"/>
      <c r="N45" s="147"/>
      <c r="O45" s="147"/>
      <c r="P45" s="147"/>
      <c r="Q45" s="147"/>
      <c r="R45" s="517">
        <f t="shared" ref="R45:R53" si="13">SUM(E45:Q45)</f>
        <v>6955593</v>
      </c>
      <c r="S45" s="147">
        <f>5100768</f>
        <v>5100768</v>
      </c>
      <c r="T45" s="147"/>
      <c r="U45" s="143"/>
    </row>
    <row r="46" spans="1:21" s="144" customFormat="1">
      <c r="A46" s="145" t="s">
        <v>151</v>
      </c>
      <c r="B46" s="146">
        <f t="shared" si="12"/>
        <v>636751</v>
      </c>
      <c r="C46" s="147">
        <v>636751</v>
      </c>
      <c r="D46" s="147"/>
      <c r="E46" s="147">
        <f t="shared" ref="E46:E49" si="14">B46</f>
        <v>636751</v>
      </c>
      <c r="F46" s="147"/>
      <c r="G46" s="147"/>
      <c r="H46" s="147"/>
      <c r="I46" s="147"/>
      <c r="J46" s="147"/>
      <c r="K46" s="147"/>
      <c r="L46" s="147"/>
      <c r="M46" s="147"/>
      <c r="N46" s="147"/>
      <c r="O46" s="147"/>
      <c r="P46" s="147"/>
      <c r="Q46" s="147"/>
      <c r="R46" s="517">
        <f t="shared" si="13"/>
        <v>636751</v>
      </c>
      <c r="S46" s="147"/>
      <c r="T46" s="147"/>
      <c r="U46" s="143"/>
    </row>
    <row r="47" spans="1:21" s="144" customFormat="1">
      <c r="A47" s="186" t="s">
        <v>152</v>
      </c>
      <c r="B47" s="146">
        <f t="shared" si="12"/>
        <v>40000</v>
      </c>
      <c r="C47" s="147">
        <v>40000</v>
      </c>
      <c r="D47" s="147"/>
      <c r="E47" s="147">
        <f t="shared" si="14"/>
        <v>40000</v>
      </c>
      <c r="F47" s="147"/>
      <c r="G47" s="147"/>
      <c r="H47" s="147"/>
      <c r="I47" s="147"/>
      <c r="J47" s="147"/>
      <c r="K47" s="147"/>
      <c r="L47" s="147"/>
      <c r="M47" s="147"/>
      <c r="N47" s="147"/>
      <c r="O47" s="147"/>
      <c r="P47" s="147"/>
      <c r="Q47" s="147"/>
      <c r="R47" s="517">
        <f t="shared" si="13"/>
        <v>40000</v>
      </c>
      <c r="S47" s="147">
        <f>30000</f>
        <v>30000</v>
      </c>
      <c r="T47" s="147"/>
      <c r="U47" s="143"/>
    </row>
    <row r="48" spans="1:21" s="144" customFormat="1">
      <c r="A48" s="145" t="s">
        <v>153</v>
      </c>
      <c r="B48" s="146">
        <f t="shared" si="12"/>
        <v>106125</v>
      </c>
      <c r="C48" s="147">
        <v>106125</v>
      </c>
      <c r="D48" s="147"/>
      <c r="E48" s="147">
        <f t="shared" si="14"/>
        <v>106125</v>
      </c>
      <c r="F48" s="147"/>
      <c r="G48" s="147"/>
      <c r="H48" s="147"/>
      <c r="I48" s="147"/>
      <c r="J48" s="147"/>
      <c r="K48" s="147"/>
      <c r="L48" s="147"/>
      <c r="M48" s="147"/>
      <c r="N48" s="147"/>
      <c r="O48" s="147"/>
      <c r="P48" s="147"/>
      <c r="Q48" s="147"/>
      <c r="R48" s="517">
        <f t="shared" si="13"/>
        <v>106125</v>
      </c>
      <c r="S48" s="147">
        <f>R48</f>
        <v>106125</v>
      </c>
      <c r="T48" s="147"/>
      <c r="U48" s="143"/>
    </row>
    <row r="49" spans="1:21" s="144" customFormat="1">
      <c r="A49" s="145" t="s">
        <v>57</v>
      </c>
      <c r="B49" s="146">
        <f t="shared" si="12"/>
        <v>106125</v>
      </c>
      <c r="C49" s="147">
        <f>106125</f>
        <v>106125</v>
      </c>
      <c r="D49" s="147"/>
      <c r="E49" s="147">
        <f t="shared" si="14"/>
        <v>106125</v>
      </c>
      <c r="F49" s="147"/>
      <c r="G49" s="147"/>
      <c r="H49" s="147"/>
      <c r="I49" s="147"/>
      <c r="J49" s="147"/>
      <c r="K49" s="147"/>
      <c r="L49" s="147"/>
      <c r="M49" s="147"/>
      <c r="N49" s="147"/>
      <c r="O49" s="147"/>
      <c r="P49" s="147"/>
      <c r="Q49" s="147"/>
      <c r="R49" s="517">
        <f t="shared" si="13"/>
        <v>106125</v>
      </c>
      <c r="S49" s="147">
        <f>R49</f>
        <v>106125</v>
      </c>
      <c r="T49" s="147"/>
      <c r="U49" s="143"/>
    </row>
    <row r="50" spans="1:21" s="144" customFormat="1">
      <c r="A50" s="145" t="s">
        <v>156</v>
      </c>
      <c r="B50" s="146">
        <f t="shared" si="12"/>
        <v>0</v>
      </c>
      <c r="C50" s="147">
        <v>0</v>
      </c>
      <c r="D50" s="147"/>
      <c r="E50" s="147"/>
      <c r="F50" s="147"/>
      <c r="G50" s="147"/>
      <c r="H50" s="147"/>
      <c r="I50" s="147"/>
      <c r="J50" s="147"/>
      <c r="K50" s="147"/>
      <c r="L50" s="147"/>
      <c r="M50" s="147"/>
      <c r="N50" s="147"/>
      <c r="O50" s="147"/>
      <c r="P50" s="147"/>
      <c r="Q50" s="147"/>
      <c r="R50" s="517">
        <f t="shared" si="13"/>
        <v>0</v>
      </c>
      <c r="S50" s="147"/>
      <c r="T50" s="147"/>
      <c r="U50" s="143"/>
    </row>
    <row r="51" spans="1:21" s="144" customFormat="1">
      <c r="A51" s="284" t="s">
        <v>154</v>
      </c>
      <c r="B51" s="146">
        <f t="shared" si="12"/>
        <v>0</v>
      </c>
      <c r="C51" s="147">
        <v>0</v>
      </c>
      <c r="D51" s="147"/>
      <c r="E51" s="147"/>
      <c r="F51" s="147"/>
      <c r="G51" s="147"/>
      <c r="H51" s="147"/>
      <c r="I51" s="147"/>
      <c r="J51" s="147"/>
      <c r="K51" s="147"/>
      <c r="L51" s="147"/>
      <c r="M51" s="147"/>
      <c r="N51" s="147"/>
      <c r="O51" s="147"/>
      <c r="P51" s="147"/>
      <c r="Q51" s="147"/>
      <c r="R51" s="517">
        <f t="shared" si="13"/>
        <v>0</v>
      </c>
      <c r="S51" s="147"/>
      <c r="T51" s="147"/>
      <c r="U51" s="143"/>
    </row>
    <row r="52" spans="1:21" s="144" customFormat="1">
      <c r="A52" s="145" t="s">
        <v>155</v>
      </c>
      <c r="B52" s="146">
        <f t="shared" si="12"/>
        <v>0</v>
      </c>
      <c r="C52" s="147">
        <v>0</v>
      </c>
      <c r="D52" s="147"/>
      <c r="E52" s="147"/>
      <c r="F52" s="147"/>
      <c r="G52" s="147"/>
      <c r="H52" s="147"/>
      <c r="I52" s="147"/>
      <c r="J52" s="147"/>
      <c r="K52" s="147"/>
      <c r="L52" s="147"/>
      <c r="M52" s="147"/>
      <c r="N52" s="147"/>
      <c r="O52" s="147"/>
      <c r="P52" s="147"/>
      <c r="Q52" s="147"/>
      <c r="R52" s="517">
        <f t="shared" si="13"/>
        <v>0</v>
      </c>
      <c r="S52" s="147"/>
      <c r="T52" s="147"/>
      <c r="U52" s="143"/>
    </row>
    <row r="53" spans="1:21" s="144" customFormat="1" ht="36">
      <c r="A53" s="1151" t="s">
        <v>2723</v>
      </c>
      <c r="B53" s="146">
        <f t="shared" si="12"/>
        <v>649121</v>
      </c>
      <c r="C53" s="147">
        <f>25000+8000+10000+106121+500000</f>
        <v>649121</v>
      </c>
      <c r="D53" s="147"/>
      <c r="E53" s="147">
        <f>B53</f>
        <v>649121</v>
      </c>
      <c r="F53" s="147"/>
      <c r="G53" s="147"/>
      <c r="H53" s="147"/>
      <c r="I53" s="147"/>
      <c r="J53" s="147"/>
      <c r="K53" s="147"/>
      <c r="L53" s="147"/>
      <c r="M53" s="147"/>
      <c r="N53" s="147"/>
      <c r="O53" s="147"/>
      <c r="P53" s="147"/>
      <c r="Q53" s="147"/>
      <c r="R53" s="517">
        <f t="shared" si="13"/>
        <v>649121</v>
      </c>
      <c r="S53" s="147"/>
      <c r="T53" s="147"/>
      <c r="U53" s="143"/>
    </row>
    <row r="54" spans="1:21" s="153" customFormat="1">
      <c r="A54" s="149" t="s">
        <v>157</v>
      </c>
      <c r="B54" s="150">
        <f>SUM(C54:D54)</f>
        <v>8493715</v>
      </c>
      <c r="C54" s="150">
        <f t="shared" ref="C54:T54" si="15">SUM(C45:C53)</f>
        <v>8493715</v>
      </c>
      <c r="D54" s="150">
        <f t="shared" si="15"/>
        <v>0</v>
      </c>
      <c r="E54" s="150">
        <f t="shared" si="15"/>
        <v>8493715</v>
      </c>
      <c r="F54" s="150">
        <f t="shared" si="15"/>
        <v>0</v>
      </c>
      <c r="G54" s="150">
        <f t="shared" si="15"/>
        <v>0</v>
      </c>
      <c r="H54" s="150">
        <f t="shared" si="15"/>
        <v>0</v>
      </c>
      <c r="I54" s="150">
        <f t="shared" si="15"/>
        <v>0</v>
      </c>
      <c r="J54" s="150">
        <f t="shared" si="15"/>
        <v>0</v>
      </c>
      <c r="K54" s="150">
        <f t="shared" si="15"/>
        <v>0</v>
      </c>
      <c r="L54" s="150">
        <f t="shared" si="15"/>
        <v>0</v>
      </c>
      <c r="M54" s="150">
        <f t="shared" si="15"/>
        <v>0</v>
      </c>
      <c r="N54" s="150">
        <f t="shared" si="15"/>
        <v>0</v>
      </c>
      <c r="O54" s="150">
        <f t="shared" si="15"/>
        <v>0</v>
      </c>
      <c r="P54" s="150">
        <f t="shared" si="15"/>
        <v>0</v>
      </c>
      <c r="Q54" s="150">
        <f t="shared" si="15"/>
        <v>0</v>
      </c>
      <c r="R54" s="343">
        <f t="shared" si="15"/>
        <v>8493715</v>
      </c>
      <c r="S54" s="150">
        <f t="shared" si="15"/>
        <v>5343018</v>
      </c>
      <c r="T54" s="150">
        <f t="shared" si="15"/>
        <v>0</v>
      </c>
      <c r="U54" s="152"/>
    </row>
    <row r="55" spans="1:21" s="144" customFormat="1">
      <c r="A55" s="141" t="s">
        <v>417</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6">SUM(C56+D56)</f>
        <v>0</v>
      </c>
      <c r="C56" s="147"/>
      <c r="D56" s="147"/>
      <c r="E56" s="147"/>
      <c r="F56" s="147"/>
      <c r="G56" s="147"/>
      <c r="H56" s="147"/>
      <c r="I56" s="147"/>
      <c r="J56" s="147"/>
      <c r="K56" s="147"/>
      <c r="L56" s="147"/>
      <c r="M56" s="147"/>
      <c r="N56" s="147"/>
      <c r="O56" s="147"/>
      <c r="P56" s="147"/>
      <c r="Q56" s="147"/>
      <c r="R56" s="517">
        <f t="shared" ref="R56:R61" si="17">SUM(E56:Q56)</f>
        <v>0</v>
      </c>
      <c r="S56" s="148"/>
      <c r="T56" s="148"/>
      <c r="U56" s="143"/>
    </row>
    <row r="57" spans="1:21" s="192" customFormat="1">
      <c r="A57" s="186" t="s">
        <v>152</v>
      </c>
      <c r="B57" s="193">
        <f t="shared" si="16"/>
        <v>0</v>
      </c>
      <c r="C57" s="190"/>
      <c r="D57" s="190"/>
      <c r="E57" s="190"/>
      <c r="F57" s="190"/>
      <c r="G57" s="190"/>
      <c r="H57" s="190"/>
      <c r="I57" s="190"/>
      <c r="J57" s="190"/>
      <c r="K57" s="190"/>
      <c r="L57" s="190"/>
      <c r="M57" s="190"/>
      <c r="N57" s="190"/>
      <c r="O57" s="190"/>
      <c r="P57" s="190"/>
      <c r="Q57" s="190"/>
      <c r="R57" s="517">
        <f t="shared" si="17"/>
        <v>0</v>
      </c>
      <c r="S57" s="194"/>
      <c r="T57" s="194"/>
      <c r="U57" s="191"/>
    </row>
    <row r="58" spans="1:21" s="144" customFormat="1">
      <c r="A58" s="145" t="s">
        <v>156</v>
      </c>
      <c r="B58" s="146">
        <f t="shared" si="16"/>
        <v>0</v>
      </c>
      <c r="C58" s="147"/>
      <c r="D58" s="147"/>
      <c r="E58" s="147"/>
      <c r="F58" s="147"/>
      <c r="G58" s="147"/>
      <c r="H58" s="147"/>
      <c r="I58" s="147"/>
      <c r="J58" s="147"/>
      <c r="K58" s="147"/>
      <c r="L58" s="147"/>
      <c r="M58" s="147"/>
      <c r="N58" s="147"/>
      <c r="O58" s="147"/>
      <c r="P58" s="147"/>
      <c r="Q58" s="147"/>
      <c r="R58" s="517">
        <f t="shared" si="17"/>
        <v>0</v>
      </c>
      <c r="S58" s="148"/>
      <c r="T58" s="148"/>
      <c r="U58" s="143"/>
    </row>
    <row r="59" spans="1:21" s="144" customFormat="1">
      <c r="A59" s="284" t="s">
        <v>154</v>
      </c>
      <c r="B59" s="146">
        <f t="shared" si="16"/>
        <v>0</v>
      </c>
      <c r="C59" s="147"/>
      <c r="D59" s="147"/>
      <c r="E59" s="147"/>
      <c r="F59" s="147"/>
      <c r="G59" s="147"/>
      <c r="H59" s="147"/>
      <c r="I59" s="147"/>
      <c r="J59" s="147"/>
      <c r="K59" s="147"/>
      <c r="L59" s="147"/>
      <c r="M59" s="147"/>
      <c r="N59" s="147"/>
      <c r="O59" s="147"/>
      <c r="P59" s="147"/>
      <c r="Q59" s="147"/>
      <c r="R59" s="517">
        <f t="shared" si="17"/>
        <v>0</v>
      </c>
      <c r="S59" s="148"/>
      <c r="T59" s="148"/>
      <c r="U59" s="143"/>
    </row>
    <row r="60" spans="1:21" s="144" customFormat="1">
      <c r="A60" s="145" t="s">
        <v>155</v>
      </c>
      <c r="B60" s="146">
        <f t="shared" si="16"/>
        <v>0</v>
      </c>
      <c r="C60" s="147"/>
      <c r="D60" s="147"/>
      <c r="E60" s="147"/>
      <c r="F60" s="147"/>
      <c r="G60" s="147"/>
      <c r="H60" s="147"/>
      <c r="I60" s="147"/>
      <c r="J60" s="147"/>
      <c r="K60" s="147"/>
      <c r="L60" s="147"/>
      <c r="M60" s="147"/>
      <c r="N60" s="147"/>
      <c r="O60" s="147"/>
      <c r="P60" s="147"/>
      <c r="Q60" s="147"/>
      <c r="R60" s="517">
        <f t="shared" si="17"/>
        <v>0</v>
      </c>
      <c r="S60" s="148"/>
      <c r="T60" s="148"/>
      <c r="U60" s="143"/>
    </row>
    <row r="61" spans="1:21" s="144" customFormat="1">
      <c r="A61" s="1151" t="s">
        <v>34</v>
      </c>
      <c r="B61" s="146">
        <f t="shared" si="16"/>
        <v>0</v>
      </c>
      <c r="C61" s="147"/>
      <c r="D61" s="147"/>
      <c r="E61" s="147"/>
      <c r="F61" s="147"/>
      <c r="G61" s="147"/>
      <c r="H61" s="147"/>
      <c r="I61" s="147"/>
      <c r="J61" s="147"/>
      <c r="K61" s="147"/>
      <c r="L61" s="147"/>
      <c r="M61" s="147"/>
      <c r="N61" s="147"/>
      <c r="O61" s="147"/>
      <c r="P61" s="147"/>
      <c r="Q61" s="147"/>
      <c r="R61" s="517">
        <f t="shared" si="17"/>
        <v>0</v>
      </c>
      <c r="S61" s="148"/>
      <c r="T61" s="148"/>
      <c r="U61" s="143"/>
    </row>
    <row r="62" spans="1:21" s="144" customFormat="1" ht="13.7" customHeight="1">
      <c r="A62" s="149" t="s">
        <v>300</v>
      </c>
      <c r="B62" s="146">
        <f>SUM(C62:D62)</f>
        <v>0</v>
      </c>
      <c r="C62" s="146">
        <f t="shared" ref="C62:R62" si="18">SUM(C56:C61)</f>
        <v>0</v>
      </c>
      <c r="D62" s="146">
        <f t="shared" si="18"/>
        <v>0</v>
      </c>
      <c r="E62" s="146">
        <f t="shared" si="18"/>
        <v>0</v>
      </c>
      <c r="F62" s="146">
        <f t="shared" si="18"/>
        <v>0</v>
      </c>
      <c r="G62" s="146">
        <f t="shared" si="18"/>
        <v>0</v>
      </c>
      <c r="H62" s="146">
        <f t="shared" si="18"/>
        <v>0</v>
      </c>
      <c r="I62" s="146">
        <f t="shared" si="18"/>
        <v>0</v>
      </c>
      <c r="J62" s="146">
        <f t="shared" si="18"/>
        <v>0</v>
      </c>
      <c r="K62" s="146">
        <f t="shared" si="18"/>
        <v>0</v>
      </c>
      <c r="L62" s="146">
        <f t="shared" si="18"/>
        <v>0</v>
      </c>
      <c r="M62" s="146">
        <f t="shared" si="18"/>
        <v>0</v>
      </c>
      <c r="N62" s="146">
        <f t="shared" si="18"/>
        <v>0</v>
      </c>
      <c r="O62" s="146">
        <f t="shared" si="18"/>
        <v>0</v>
      </c>
      <c r="P62" s="146">
        <f t="shared" si="18"/>
        <v>0</v>
      </c>
      <c r="Q62" s="146">
        <f t="shared" si="18"/>
        <v>0</v>
      </c>
      <c r="R62" s="343">
        <f t="shared" si="18"/>
        <v>0</v>
      </c>
      <c r="S62" s="148"/>
      <c r="T62" s="148"/>
      <c r="U62" s="143"/>
    </row>
    <row r="63" spans="1:21" s="144" customFormat="1">
      <c r="A63" s="154" t="s">
        <v>301</v>
      </c>
      <c r="B63" s="146">
        <f t="shared" ref="B63:R63" si="19">SUM(B8+B11+B13+B14+B15+B26+B27+B38+B42+B43+B54+B62)</f>
        <v>68713926</v>
      </c>
      <c r="C63" s="146">
        <f t="shared" si="19"/>
        <v>68713926</v>
      </c>
      <c r="D63" s="146">
        <f t="shared" si="19"/>
        <v>0</v>
      </c>
      <c r="E63" s="146">
        <f t="shared" si="19"/>
        <v>22424535</v>
      </c>
      <c r="F63" s="146">
        <f t="shared" si="19"/>
        <v>20500000</v>
      </c>
      <c r="G63" s="146">
        <f t="shared" si="19"/>
        <v>23046170</v>
      </c>
      <c r="H63" s="146">
        <f t="shared" si="19"/>
        <v>2509235</v>
      </c>
      <c r="I63" s="146">
        <f t="shared" si="19"/>
        <v>233986</v>
      </c>
      <c r="J63" s="146">
        <f t="shared" si="19"/>
        <v>0</v>
      </c>
      <c r="K63" s="146">
        <f t="shared" si="19"/>
        <v>0</v>
      </c>
      <c r="L63" s="146">
        <f t="shared" si="19"/>
        <v>0</v>
      </c>
      <c r="M63" s="146">
        <f t="shared" si="19"/>
        <v>0</v>
      </c>
      <c r="N63" s="146">
        <f t="shared" si="19"/>
        <v>0</v>
      </c>
      <c r="O63" s="146">
        <f t="shared" si="19"/>
        <v>0</v>
      </c>
      <c r="P63" s="146">
        <f t="shared" si="19"/>
        <v>0</v>
      </c>
      <c r="Q63" s="146">
        <f t="shared" si="19"/>
        <v>0</v>
      </c>
      <c r="R63" s="343">
        <f t="shared" si="19"/>
        <v>68713926</v>
      </c>
      <c r="S63" s="146">
        <f>SUM(S10+S13+S14+S15+S26+S27+S38+S42+S43+S54)</f>
        <v>57009641</v>
      </c>
      <c r="T63" s="146">
        <f>SUM(T11+T13+T14+T15+T26+T27+T38+T42+T43+T54)</f>
        <v>0</v>
      </c>
      <c r="U63" s="143"/>
    </row>
    <row r="64" spans="1:21" s="144" customFormat="1" ht="24">
      <c r="A64" s="141" t="s">
        <v>1643</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170</v>
      </c>
      <c r="B65" s="146">
        <f>SUM(C65+D65)</f>
        <v>115000</v>
      </c>
      <c r="C65" s="147">
        <f>65000+50000</f>
        <v>115000</v>
      </c>
      <c r="D65" s="147"/>
      <c r="E65" s="147">
        <f>B65</f>
        <v>115000</v>
      </c>
      <c r="F65" s="147"/>
      <c r="G65" s="147"/>
      <c r="H65" s="147"/>
      <c r="I65" s="147"/>
      <c r="J65" s="147"/>
      <c r="K65" s="147"/>
      <c r="L65" s="147"/>
      <c r="M65" s="147"/>
      <c r="N65" s="147"/>
      <c r="O65" s="147"/>
      <c r="P65" s="147"/>
      <c r="Q65" s="147"/>
      <c r="R65" s="517">
        <f>SUM(E65:Q65)</f>
        <v>115000</v>
      </c>
      <c r="S65" s="147">
        <f>65000</f>
        <v>65000</v>
      </c>
      <c r="T65" s="147"/>
      <c r="U65" s="143"/>
    </row>
    <row r="66" spans="1:21" s="144" customFormat="1" ht="24" customHeight="1">
      <c r="A66" s="284" t="s">
        <v>1640</v>
      </c>
      <c r="B66" s="146">
        <f>SUM(C66+D66)</f>
        <v>0</v>
      </c>
      <c r="C66" s="147">
        <v>0</v>
      </c>
      <c r="D66" s="147"/>
      <c r="E66" s="147"/>
      <c r="F66" s="147"/>
      <c r="G66" s="147"/>
      <c r="H66" s="147"/>
      <c r="I66" s="147"/>
      <c r="J66" s="147"/>
      <c r="K66" s="147"/>
      <c r="L66" s="147"/>
      <c r="M66" s="147"/>
      <c r="N66" s="147"/>
      <c r="O66" s="147"/>
      <c r="P66" s="147"/>
      <c r="Q66" s="147"/>
      <c r="R66" s="517">
        <f>SUM(E66:Q66)</f>
        <v>0</v>
      </c>
      <c r="S66" s="147"/>
      <c r="T66" s="147"/>
      <c r="U66" s="143"/>
    </row>
    <row r="67" spans="1:21" s="144" customFormat="1" ht="24" customHeight="1">
      <c r="A67" s="284" t="s">
        <v>1641</v>
      </c>
      <c r="B67" s="146">
        <f>SUM(C67+D67)</f>
        <v>46400</v>
      </c>
      <c r="C67" s="147">
        <v>46400</v>
      </c>
      <c r="D67" s="147"/>
      <c r="E67" s="147">
        <f>B67</f>
        <v>46400</v>
      </c>
      <c r="F67" s="147"/>
      <c r="G67" s="147"/>
      <c r="H67" s="147"/>
      <c r="I67" s="147"/>
      <c r="J67" s="147"/>
      <c r="K67" s="147"/>
      <c r="L67" s="147"/>
      <c r="M67" s="147"/>
      <c r="N67" s="147"/>
      <c r="O67" s="147"/>
      <c r="P67" s="147"/>
      <c r="Q67" s="147"/>
      <c r="R67" s="517">
        <f>SUM(E67:Q67)</f>
        <v>46400</v>
      </c>
      <c r="S67" s="147">
        <f>R67</f>
        <v>46400</v>
      </c>
      <c r="T67" s="147"/>
      <c r="U67" s="143"/>
    </row>
    <row r="68" spans="1:21" s="144" customFormat="1" ht="12" customHeight="1">
      <c r="A68" s="284" t="s">
        <v>1647</v>
      </c>
      <c r="B68" s="146">
        <f>SUM(C68+D68)</f>
        <v>0</v>
      </c>
      <c r="C68" s="147">
        <v>0</v>
      </c>
      <c r="D68" s="147"/>
      <c r="E68" s="147"/>
      <c r="F68" s="147"/>
      <c r="G68" s="147"/>
      <c r="H68" s="147"/>
      <c r="I68" s="147"/>
      <c r="J68" s="147"/>
      <c r="K68" s="147"/>
      <c r="L68" s="147"/>
      <c r="M68" s="147"/>
      <c r="N68" s="147"/>
      <c r="O68" s="147"/>
      <c r="P68" s="147"/>
      <c r="Q68" s="147"/>
      <c r="R68" s="517">
        <f>SUM(E68:Q68)</f>
        <v>0</v>
      </c>
      <c r="S68" s="147"/>
      <c r="T68" s="147"/>
      <c r="U68" s="143"/>
    </row>
    <row r="69" spans="1:21" s="144" customFormat="1">
      <c r="A69" s="1151" t="s">
        <v>2722</v>
      </c>
      <c r="B69" s="146">
        <f>SUM(C69+D69)</f>
        <v>1350000</v>
      </c>
      <c r="C69" s="147">
        <f>500000+500000+350000</f>
        <v>1350000</v>
      </c>
      <c r="D69" s="147"/>
      <c r="E69" s="147">
        <f>B69</f>
        <v>1350000</v>
      </c>
      <c r="F69" s="147"/>
      <c r="G69" s="147"/>
      <c r="H69" s="147"/>
      <c r="I69" s="147"/>
      <c r="J69" s="147"/>
      <c r="K69" s="147"/>
      <c r="L69" s="147"/>
      <c r="M69" s="147"/>
      <c r="N69" s="147"/>
      <c r="O69" s="147"/>
      <c r="P69" s="147"/>
      <c r="Q69" s="147"/>
      <c r="R69" s="517">
        <f>SUM(E69:Q69)</f>
        <v>1350000</v>
      </c>
      <c r="S69" s="147"/>
      <c r="T69" s="147"/>
      <c r="U69" s="143"/>
    </row>
    <row r="70" spans="1:21" s="144" customFormat="1">
      <c r="A70" s="149" t="s">
        <v>1644</v>
      </c>
      <c r="B70" s="146">
        <f>SUM(C70:D70)</f>
        <v>1511400</v>
      </c>
      <c r="C70" s="146">
        <f>SUM(C65:C69)</f>
        <v>1511400</v>
      </c>
      <c r="D70" s="146">
        <f>SUM(D65:D69)</f>
        <v>0</v>
      </c>
      <c r="E70" s="146">
        <f t="shared" ref="E70:T70" si="20">SUM(E65:E69)</f>
        <v>1511400</v>
      </c>
      <c r="F70" s="146">
        <f t="shared" si="20"/>
        <v>0</v>
      </c>
      <c r="G70" s="146">
        <f t="shared" si="20"/>
        <v>0</v>
      </c>
      <c r="H70" s="146">
        <f t="shared" si="20"/>
        <v>0</v>
      </c>
      <c r="I70" s="146">
        <f t="shared" si="20"/>
        <v>0</v>
      </c>
      <c r="J70" s="146">
        <f t="shared" si="20"/>
        <v>0</v>
      </c>
      <c r="K70" s="146">
        <f t="shared" si="20"/>
        <v>0</v>
      </c>
      <c r="L70" s="146">
        <f t="shared" si="20"/>
        <v>0</v>
      </c>
      <c r="M70" s="146">
        <f t="shared" si="20"/>
        <v>0</v>
      </c>
      <c r="N70" s="146">
        <f t="shared" si="20"/>
        <v>0</v>
      </c>
      <c r="O70" s="146">
        <f t="shared" si="20"/>
        <v>0</v>
      </c>
      <c r="P70" s="146">
        <f t="shared" si="20"/>
        <v>0</v>
      </c>
      <c r="Q70" s="146">
        <f t="shared" si="20"/>
        <v>0</v>
      </c>
      <c r="R70" s="343">
        <f t="shared" si="20"/>
        <v>1511400</v>
      </c>
      <c r="S70" s="150">
        <f t="shared" si="20"/>
        <v>111400</v>
      </c>
      <c r="T70" s="150">
        <f t="shared" si="20"/>
        <v>0</v>
      </c>
      <c r="U70" s="143"/>
    </row>
    <row r="71" spans="1:21" s="144" customFormat="1">
      <c r="A71" s="141" t="s">
        <v>602</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603</v>
      </c>
      <c r="B72" s="146">
        <f>SUM(C72+D72)</f>
        <v>0</v>
      </c>
      <c r="C72" s="147"/>
      <c r="D72" s="147"/>
      <c r="E72" s="147"/>
      <c r="F72" s="147"/>
      <c r="G72" s="147"/>
      <c r="H72" s="147"/>
      <c r="I72" s="147"/>
      <c r="J72" s="147"/>
      <c r="K72" s="147"/>
      <c r="L72" s="147"/>
      <c r="M72" s="147"/>
      <c r="N72" s="147"/>
      <c r="O72" s="147"/>
      <c r="P72" s="147"/>
      <c r="Q72" s="147"/>
      <c r="R72" s="517">
        <f>SUM(E72:Q72)</f>
        <v>0</v>
      </c>
      <c r="S72" s="148"/>
      <c r="T72" s="148"/>
      <c r="U72" s="143"/>
    </row>
    <row r="73" spans="1:21" s="144" customFormat="1">
      <c r="A73" s="145" t="s">
        <v>604</v>
      </c>
      <c r="B73" s="146">
        <f>SUM(C73+D73)</f>
        <v>0</v>
      </c>
      <c r="C73" s="147"/>
      <c r="D73" s="147"/>
      <c r="E73" s="147"/>
      <c r="F73" s="147"/>
      <c r="G73" s="147"/>
      <c r="H73" s="147"/>
      <c r="I73" s="147"/>
      <c r="J73" s="147"/>
      <c r="K73" s="147"/>
      <c r="L73" s="147"/>
      <c r="M73" s="147"/>
      <c r="N73" s="147"/>
      <c r="O73" s="147"/>
      <c r="P73" s="147"/>
      <c r="Q73" s="147"/>
      <c r="R73" s="517">
        <f>SUM(E73:Q73)</f>
        <v>0</v>
      </c>
      <c r="S73" s="148"/>
      <c r="T73" s="148"/>
      <c r="U73" s="143"/>
    </row>
    <row r="74" spans="1:21" s="144" customFormat="1">
      <c r="A74" s="451" t="s">
        <v>985</v>
      </c>
      <c r="B74" s="146">
        <f>SUM(C74+D74)</f>
        <v>0</v>
      </c>
      <c r="C74" s="147"/>
      <c r="D74" s="147"/>
      <c r="E74" s="147"/>
      <c r="F74" s="147"/>
      <c r="G74" s="147"/>
      <c r="H74" s="147"/>
      <c r="I74" s="147"/>
      <c r="J74" s="147"/>
      <c r="K74" s="147"/>
      <c r="L74" s="147"/>
      <c r="M74" s="147"/>
      <c r="N74" s="147"/>
      <c r="O74" s="147"/>
      <c r="P74" s="147"/>
      <c r="Q74" s="147"/>
      <c r="R74" s="517">
        <f>SUM(E74:Q74)</f>
        <v>0</v>
      </c>
      <c r="S74" s="148"/>
      <c r="T74" s="148"/>
      <c r="U74" s="143"/>
    </row>
    <row r="75" spans="1:21" s="144" customFormat="1">
      <c r="A75" s="145" t="s">
        <v>605</v>
      </c>
      <c r="B75" s="146">
        <f>SUM(C75+D75)</f>
        <v>1042396</v>
      </c>
      <c r="C75" s="147">
        <f>623809+418587</f>
        <v>1042396</v>
      </c>
      <c r="D75" s="147"/>
      <c r="E75" s="147">
        <f>B75</f>
        <v>1042396</v>
      </c>
      <c r="F75" s="147"/>
      <c r="G75" s="147"/>
      <c r="H75" s="147"/>
      <c r="I75" s="147"/>
      <c r="J75" s="147"/>
      <c r="K75" s="147"/>
      <c r="L75" s="147"/>
      <c r="M75" s="147"/>
      <c r="N75" s="147"/>
      <c r="O75" s="147"/>
      <c r="P75" s="147"/>
      <c r="Q75" s="147"/>
      <c r="R75" s="517">
        <f>SUM(E75:Q75)</f>
        <v>1042396</v>
      </c>
      <c r="S75" s="148"/>
      <c r="T75" s="148"/>
      <c r="U75" s="143"/>
    </row>
    <row r="76" spans="1:21" s="144" customFormat="1">
      <c r="A76" s="1151" t="s">
        <v>34</v>
      </c>
      <c r="B76" s="146">
        <f>SUM(C76+D76)</f>
        <v>0</v>
      </c>
      <c r="C76" s="147"/>
      <c r="D76" s="147"/>
      <c r="E76" s="147"/>
      <c r="F76" s="147"/>
      <c r="G76" s="147"/>
      <c r="H76" s="147"/>
      <c r="I76" s="147"/>
      <c r="J76" s="147"/>
      <c r="K76" s="147"/>
      <c r="L76" s="147"/>
      <c r="M76" s="147"/>
      <c r="N76" s="147"/>
      <c r="O76" s="147"/>
      <c r="P76" s="147"/>
      <c r="Q76" s="147"/>
      <c r="R76" s="517">
        <f>SUM(E76:Q76)</f>
        <v>0</v>
      </c>
      <c r="S76" s="148"/>
      <c r="T76" s="148"/>
      <c r="U76" s="143"/>
    </row>
    <row r="77" spans="1:21" s="144" customFormat="1">
      <c r="A77" s="149" t="s">
        <v>606</v>
      </c>
      <c r="B77" s="146">
        <f>SUM(C77:D77)</f>
        <v>1042396</v>
      </c>
      <c r="C77" s="146">
        <f>SUM(C72:C76)</f>
        <v>1042396</v>
      </c>
      <c r="D77" s="146">
        <f>SUM(D72:D76)</f>
        <v>0</v>
      </c>
      <c r="E77" s="146">
        <f t="shared" ref="E77:Q77" si="21">SUM(E72:E76)</f>
        <v>1042396</v>
      </c>
      <c r="F77" s="146">
        <f t="shared" si="21"/>
        <v>0</v>
      </c>
      <c r="G77" s="146">
        <f t="shared" si="21"/>
        <v>0</v>
      </c>
      <c r="H77" s="146">
        <f t="shared" si="21"/>
        <v>0</v>
      </c>
      <c r="I77" s="146">
        <f t="shared" si="21"/>
        <v>0</v>
      </c>
      <c r="J77" s="146">
        <f t="shared" si="21"/>
        <v>0</v>
      </c>
      <c r="K77" s="146">
        <f t="shared" si="21"/>
        <v>0</v>
      </c>
      <c r="L77" s="146">
        <f t="shared" si="21"/>
        <v>0</v>
      </c>
      <c r="M77" s="146">
        <f t="shared" si="21"/>
        <v>0</v>
      </c>
      <c r="N77" s="146">
        <f t="shared" si="21"/>
        <v>0</v>
      </c>
      <c r="O77" s="146">
        <f t="shared" si="21"/>
        <v>0</v>
      </c>
      <c r="P77" s="146">
        <f t="shared" si="21"/>
        <v>0</v>
      </c>
      <c r="Q77" s="146">
        <f t="shared" si="21"/>
        <v>0</v>
      </c>
      <c r="R77" s="343">
        <f>SUM(R72:R76)</f>
        <v>1042396</v>
      </c>
      <c r="S77" s="148"/>
      <c r="T77" s="148"/>
      <c r="U77" s="143"/>
    </row>
    <row r="78" spans="1:21" s="144" customFormat="1">
      <c r="A78" s="141" t="s">
        <v>1209</v>
      </c>
      <c r="B78" s="151"/>
      <c r="C78" s="151"/>
      <c r="D78" s="151"/>
      <c r="E78" s="151"/>
      <c r="F78" s="151"/>
      <c r="G78" s="151"/>
      <c r="H78" s="151"/>
      <c r="I78" s="151"/>
      <c r="J78" s="151"/>
      <c r="K78" s="151"/>
      <c r="L78" s="151"/>
      <c r="M78" s="151"/>
      <c r="N78" s="151"/>
      <c r="O78" s="151"/>
      <c r="P78" s="151"/>
      <c r="Q78" s="151"/>
      <c r="R78" s="344"/>
      <c r="S78" s="151"/>
      <c r="T78" s="151"/>
      <c r="U78" s="143"/>
    </row>
    <row r="79" spans="1:21" s="144" customFormat="1">
      <c r="A79" s="284" t="s">
        <v>1211</v>
      </c>
      <c r="B79" s="146">
        <f>SUM(C79:D79)</f>
        <v>1941005</v>
      </c>
      <c r="C79" s="147">
        <v>1941005</v>
      </c>
      <c r="D79" s="147"/>
      <c r="E79" s="147">
        <f>B79</f>
        <v>1941005</v>
      </c>
      <c r="F79" s="147"/>
      <c r="G79" s="147"/>
      <c r="H79" s="147"/>
      <c r="I79" s="147"/>
      <c r="J79" s="147"/>
      <c r="K79" s="147"/>
      <c r="L79" s="147"/>
      <c r="M79" s="147"/>
      <c r="N79" s="147"/>
      <c r="O79" s="147"/>
      <c r="P79" s="147"/>
      <c r="Q79" s="147"/>
      <c r="R79" s="517">
        <f>SUM(E79:Q79)</f>
        <v>1941005</v>
      </c>
      <c r="S79" s="147">
        <f>R79</f>
        <v>1941005</v>
      </c>
      <c r="T79" s="147"/>
      <c r="U79" s="143"/>
    </row>
    <row r="80" spans="1:21" s="144" customFormat="1">
      <c r="A80" s="284" t="s">
        <v>58</v>
      </c>
      <c r="B80" s="146">
        <f>SUM(C80:D80)</f>
        <v>0</v>
      </c>
      <c r="C80" s="147"/>
      <c r="D80" s="147"/>
      <c r="E80" s="147"/>
      <c r="F80" s="147"/>
      <c r="G80" s="147"/>
      <c r="H80" s="147"/>
      <c r="I80" s="147"/>
      <c r="J80" s="147"/>
      <c r="K80" s="147"/>
      <c r="L80" s="147"/>
      <c r="M80" s="147"/>
      <c r="N80" s="147"/>
      <c r="O80" s="147"/>
      <c r="P80" s="147"/>
      <c r="Q80" s="147"/>
      <c r="R80" s="517">
        <f>SUM(E80:Q80)</f>
        <v>0</v>
      </c>
      <c r="S80" s="147"/>
      <c r="T80" s="147"/>
      <c r="U80" s="143"/>
    </row>
    <row r="81" spans="1:21" s="144" customFormat="1">
      <c r="A81" s="149" t="s">
        <v>1208</v>
      </c>
      <c r="B81" s="146">
        <f>SUM(C81:D81)</f>
        <v>1941005</v>
      </c>
      <c r="C81" s="510">
        <f>SUM(C79:C80)</f>
        <v>1941005</v>
      </c>
      <c r="D81" s="510">
        <f t="shared" ref="D81:T81" si="22">SUM(D79:D80)</f>
        <v>0</v>
      </c>
      <c r="E81" s="510">
        <f t="shared" si="22"/>
        <v>1941005</v>
      </c>
      <c r="F81" s="510">
        <f t="shared" si="22"/>
        <v>0</v>
      </c>
      <c r="G81" s="510">
        <f t="shared" si="22"/>
        <v>0</v>
      </c>
      <c r="H81" s="510">
        <f t="shared" si="22"/>
        <v>0</v>
      </c>
      <c r="I81" s="510">
        <f t="shared" si="22"/>
        <v>0</v>
      </c>
      <c r="J81" s="510">
        <f t="shared" si="22"/>
        <v>0</v>
      </c>
      <c r="K81" s="510">
        <f t="shared" si="22"/>
        <v>0</v>
      </c>
      <c r="L81" s="510">
        <f t="shared" si="22"/>
        <v>0</v>
      </c>
      <c r="M81" s="510">
        <f t="shared" si="22"/>
        <v>0</v>
      </c>
      <c r="N81" s="510">
        <f t="shared" si="22"/>
        <v>0</v>
      </c>
      <c r="O81" s="510">
        <f t="shared" si="22"/>
        <v>0</v>
      </c>
      <c r="P81" s="510">
        <f t="shared" si="22"/>
        <v>0</v>
      </c>
      <c r="Q81" s="510">
        <f t="shared" si="22"/>
        <v>0</v>
      </c>
      <c r="R81" s="510">
        <f t="shared" si="22"/>
        <v>1941005</v>
      </c>
      <c r="S81" s="510">
        <f t="shared" si="22"/>
        <v>1941005</v>
      </c>
      <c r="T81" s="510">
        <f t="shared" si="22"/>
        <v>0</v>
      </c>
      <c r="U81" s="143"/>
    </row>
    <row r="82" spans="1:21" s="144" customFormat="1">
      <c r="A82" s="141" t="s">
        <v>765</v>
      </c>
      <c r="B82" s="151"/>
      <c r="C82" s="151"/>
      <c r="D82" s="151"/>
      <c r="E82" s="151"/>
      <c r="F82" s="151"/>
      <c r="G82" s="151"/>
      <c r="H82" s="151"/>
      <c r="I82" s="151"/>
      <c r="J82" s="151"/>
      <c r="K82" s="151"/>
      <c r="L82" s="151"/>
      <c r="M82" s="151"/>
      <c r="N82" s="151"/>
      <c r="O82" s="151"/>
      <c r="P82" s="151"/>
      <c r="Q82" s="151"/>
      <c r="R82" s="344"/>
      <c r="S82" s="151"/>
      <c r="T82" s="151"/>
      <c r="U82" s="143"/>
    </row>
    <row r="83" spans="1:21" s="144" customFormat="1" ht="13.7" customHeight="1">
      <c r="A83" s="145" t="s">
        <v>2095</v>
      </c>
      <c r="B83" s="146">
        <f t="shared" ref="B83:B95" si="23">SUM(C83+D83)</f>
        <v>202012</v>
      </c>
      <c r="C83" s="147">
        <f>1000+36292+164720</f>
        <v>202012</v>
      </c>
      <c r="D83" s="147"/>
      <c r="E83" s="147">
        <f>B83</f>
        <v>202012</v>
      </c>
      <c r="F83" s="147"/>
      <c r="G83" s="147"/>
      <c r="H83" s="147"/>
      <c r="I83" s="147"/>
      <c r="J83" s="147"/>
      <c r="K83" s="147"/>
      <c r="L83" s="147"/>
      <c r="M83" s="147"/>
      <c r="N83" s="147"/>
      <c r="O83" s="147"/>
      <c r="P83" s="147"/>
      <c r="Q83" s="147"/>
      <c r="R83" s="517">
        <f t="shared" ref="R83:R95" si="24">SUM(E83:Q83)</f>
        <v>202012</v>
      </c>
      <c r="S83" s="148"/>
      <c r="T83" s="148"/>
      <c r="U83" s="143"/>
    </row>
    <row r="84" spans="1:21" s="144" customFormat="1">
      <c r="A84" s="145" t="s">
        <v>767</v>
      </c>
      <c r="B84" s="146">
        <f t="shared" si="23"/>
        <v>0</v>
      </c>
      <c r="C84" s="147"/>
      <c r="D84" s="147"/>
      <c r="E84" s="147"/>
      <c r="F84" s="147"/>
      <c r="G84" s="147"/>
      <c r="H84" s="147"/>
      <c r="I84" s="147"/>
      <c r="J84" s="147"/>
      <c r="K84" s="147"/>
      <c r="L84" s="147"/>
      <c r="M84" s="147"/>
      <c r="N84" s="147"/>
      <c r="O84" s="147"/>
      <c r="P84" s="147"/>
      <c r="Q84" s="147"/>
      <c r="R84" s="517">
        <f t="shared" si="24"/>
        <v>0</v>
      </c>
      <c r="S84" s="147"/>
      <c r="T84" s="147"/>
      <c r="U84" s="143"/>
    </row>
    <row r="85" spans="1:21" s="144" customFormat="1">
      <c r="A85" s="145" t="s">
        <v>768</v>
      </c>
      <c r="B85" s="146">
        <f t="shared" si="23"/>
        <v>0</v>
      </c>
      <c r="C85" s="147"/>
      <c r="D85" s="147"/>
      <c r="E85" s="147"/>
      <c r="F85" s="147"/>
      <c r="G85" s="147"/>
      <c r="H85" s="147"/>
      <c r="I85" s="147"/>
      <c r="J85" s="147"/>
      <c r="K85" s="147"/>
      <c r="L85" s="147"/>
      <c r="M85" s="147"/>
      <c r="N85" s="147"/>
      <c r="O85" s="147"/>
      <c r="P85" s="147"/>
      <c r="Q85" s="147"/>
      <c r="R85" s="517">
        <f t="shared" si="24"/>
        <v>0</v>
      </c>
      <c r="S85" s="147"/>
      <c r="T85" s="147"/>
      <c r="U85" s="143"/>
    </row>
    <row r="86" spans="1:21" s="144" customFormat="1">
      <c r="A86" s="145" t="s">
        <v>769</v>
      </c>
      <c r="B86" s="146">
        <f t="shared" si="23"/>
        <v>974400</v>
      </c>
      <c r="C86" s="147">
        <f>232000+464000+174000+104400</f>
        <v>974400</v>
      </c>
      <c r="D86" s="147"/>
      <c r="E86" s="147">
        <f>B86</f>
        <v>974400</v>
      </c>
      <c r="F86" s="147"/>
      <c r="G86" s="147"/>
      <c r="H86" s="147"/>
      <c r="I86" s="147"/>
      <c r="J86" s="147"/>
      <c r="K86" s="147"/>
      <c r="L86" s="147"/>
      <c r="M86" s="147"/>
      <c r="N86" s="147"/>
      <c r="O86" s="147"/>
      <c r="P86" s="147"/>
      <c r="Q86" s="147"/>
      <c r="R86" s="517">
        <f t="shared" si="24"/>
        <v>974400</v>
      </c>
      <c r="S86" s="147">
        <f>R86</f>
        <v>974400</v>
      </c>
      <c r="T86" s="147"/>
      <c r="U86" s="143"/>
    </row>
    <row r="87" spans="1:21" s="144" customFormat="1">
      <c r="A87" s="145" t="s">
        <v>770</v>
      </c>
      <c r="B87" s="146">
        <f t="shared" si="23"/>
        <v>0</v>
      </c>
      <c r="C87" s="147"/>
      <c r="D87" s="147"/>
      <c r="E87" s="147"/>
      <c r="F87" s="147"/>
      <c r="G87" s="147"/>
      <c r="H87" s="147"/>
      <c r="I87" s="147"/>
      <c r="J87" s="147"/>
      <c r="K87" s="147"/>
      <c r="L87" s="147"/>
      <c r="M87" s="147"/>
      <c r="N87" s="147"/>
      <c r="O87" s="147"/>
      <c r="P87" s="147"/>
      <c r="Q87" s="147"/>
      <c r="R87" s="517">
        <f t="shared" si="24"/>
        <v>0</v>
      </c>
      <c r="S87" s="147"/>
      <c r="T87" s="147"/>
      <c r="U87" s="143"/>
    </row>
    <row r="88" spans="1:21" s="144" customFormat="1">
      <c r="A88" s="145" t="s">
        <v>771</v>
      </c>
      <c r="B88" s="146">
        <f t="shared" si="23"/>
        <v>100000</v>
      </c>
      <c r="C88" s="147">
        <v>100000</v>
      </c>
      <c r="D88" s="147"/>
      <c r="E88" s="147">
        <f>B88</f>
        <v>100000</v>
      </c>
      <c r="F88" s="147"/>
      <c r="G88" s="147"/>
      <c r="H88" s="147"/>
      <c r="I88" s="147"/>
      <c r="J88" s="147"/>
      <c r="K88" s="147"/>
      <c r="L88" s="147"/>
      <c r="M88" s="147"/>
      <c r="N88" s="147"/>
      <c r="O88" s="147"/>
      <c r="P88" s="147"/>
      <c r="Q88" s="147"/>
      <c r="R88" s="517">
        <f t="shared" si="24"/>
        <v>100000</v>
      </c>
      <c r="S88" s="148"/>
      <c r="T88" s="148"/>
      <c r="U88" s="143"/>
    </row>
    <row r="89" spans="1:21" s="144" customFormat="1">
      <c r="A89" s="145" t="s">
        <v>772</v>
      </c>
      <c r="B89" s="146">
        <f t="shared" si="23"/>
        <v>945000</v>
      </c>
      <c r="C89" s="147">
        <v>945000</v>
      </c>
      <c r="D89" s="147"/>
      <c r="E89" s="147">
        <f>B89</f>
        <v>945000</v>
      </c>
      <c r="F89" s="147"/>
      <c r="G89" s="147"/>
      <c r="H89" s="147"/>
      <c r="I89" s="147"/>
      <c r="J89" s="147"/>
      <c r="K89" s="147"/>
      <c r="L89" s="147"/>
      <c r="M89" s="147"/>
      <c r="N89" s="147"/>
      <c r="O89" s="147"/>
      <c r="P89" s="147"/>
      <c r="Q89" s="147"/>
      <c r="R89" s="517">
        <f t="shared" si="24"/>
        <v>945000</v>
      </c>
      <c r="S89" s="147">
        <f>R89</f>
        <v>945000</v>
      </c>
      <c r="T89" s="147"/>
      <c r="U89" s="143"/>
    </row>
    <row r="90" spans="1:21" s="144" customFormat="1">
      <c r="A90" s="145" t="s">
        <v>773</v>
      </c>
      <c r="B90" s="146">
        <f t="shared" si="23"/>
        <v>0</v>
      </c>
      <c r="C90" s="147"/>
      <c r="D90" s="147"/>
      <c r="E90" s="147"/>
      <c r="F90" s="147"/>
      <c r="G90" s="147"/>
      <c r="H90" s="147"/>
      <c r="I90" s="147"/>
      <c r="J90" s="147"/>
      <c r="K90" s="147"/>
      <c r="L90" s="147"/>
      <c r="M90" s="147"/>
      <c r="N90" s="147"/>
      <c r="O90" s="147"/>
      <c r="P90" s="147"/>
      <c r="Q90" s="147"/>
      <c r="R90" s="517">
        <f t="shared" si="24"/>
        <v>0</v>
      </c>
      <c r="S90" s="147"/>
      <c r="T90" s="147"/>
      <c r="U90" s="143"/>
    </row>
    <row r="91" spans="1:21" s="144" customFormat="1">
      <c r="A91" s="145" t="s">
        <v>371</v>
      </c>
      <c r="B91" s="146">
        <f t="shared" si="23"/>
        <v>0</v>
      </c>
      <c r="C91" s="147"/>
      <c r="D91" s="147"/>
      <c r="E91" s="147"/>
      <c r="F91" s="147"/>
      <c r="G91" s="147"/>
      <c r="H91" s="147"/>
      <c r="I91" s="147"/>
      <c r="J91" s="147"/>
      <c r="K91" s="147"/>
      <c r="L91" s="147"/>
      <c r="M91" s="147"/>
      <c r="N91" s="147"/>
      <c r="O91" s="147"/>
      <c r="P91" s="147"/>
      <c r="Q91" s="147"/>
      <c r="R91" s="517">
        <f t="shared" si="24"/>
        <v>0</v>
      </c>
      <c r="S91" s="147"/>
      <c r="T91" s="147"/>
      <c r="U91" s="143"/>
    </row>
    <row r="92" spans="1:21" s="144" customFormat="1">
      <c r="A92" s="284" t="s">
        <v>1210</v>
      </c>
      <c r="B92" s="146">
        <f t="shared" si="23"/>
        <v>0</v>
      </c>
      <c r="C92" s="147"/>
      <c r="D92" s="147"/>
      <c r="E92" s="147"/>
      <c r="F92" s="147"/>
      <c r="G92" s="147"/>
      <c r="H92" s="147"/>
      <c r="I92" s="147"/>
      <c r="J92" s="147"/>
      <c r="K92" s="147"/>
      <c r="L92" s="147"/>
      <c r="M92" s="147"/>
      <c r="N92" s="147"/>
      <c r="O92" s="147"/>
      <c r="P92" s="147"/>
      <c r="Q92" s="147"/>
      <c r="R92" s="517">
        <f t="shared" si="24"/>
        <v>0</v>
      </c>
      <c r="S92" s="147"/>
      <c r="T92" s="147"/>
      <c r="U92" s="143"/>
    </row>
    <row r="93" spans="1:21" s="144" customFormat="1" ht="24">
      <c r="A93" s="1151" t="s">
        <v>2744</v>
      </c>
      <c r="B93" s="146">
        <f t="shared" si="23"/>
        <v>847871</v>
      </c>
      <c r="C93" s="147">
        <f>337471+510400</f>
        <v>847871</v>
      </c>
      <c r="D93" s="147"/>
      <c r="E93" s="147">
        <f>B93</f>
        <v>847871</v>
      </c>
      <c r="F93" s="147"/>
      <c r="G93" s="147"/>
      <c r="H93" s="147"/>
      <c r="I93" s="147"/>
      <c r="J93" s="147"/>
      <c r="K93" s="147"/>
      <c r="L93" s="147"/>
      <c r="M93" s="147"/>
      <c r="N93" s="147"/>
      <c r="O93" s="147"/>
      <c r="P93" s="147"/>
      <c r="Q93" s="147"/>
      <c r="R93" s="517">
        <f t="shared" si="24"/>
        <v>847871</v>
      </c>
      <c r="S93" s="147">
        <f>R93</f>
        <v>847871</v>
      </c>
      <c r="T93" s="147"/>
      <c r="U93" s="143"/>
    </row>
    <row r="94" spans="1:21" s="144" customFormat="1">
      <c r="A94" s="1151" t="s">
        <v>2745</v>
      </c>
      <c r="B94" s="146">
        <f t="shared" si="23"/>
        <v>195000</v>
      </c>
      <c r="C94" s="147">
        <v>195000</v>
      </c>
      <c r="D94" s="147"/>
      <c r="E94" s="147">
        <f>B94</f>
        <v>195000</v>
      </c>
      <c r="F94" s="147"/>
      <c r="G94" s="147"/>
      <c r="H94" s="147"/>
      <c r="I94" s="147"/>
      <c r="J94" s="147"/>
      <c r="K94" s="147"/>
      <c r="L94" s="147"/>
      <c r="M94" s="147"/>
      <c r="N94" s="147"/>
      <c r="O94" s="147"/>
      <c r="P94" s="147"/>
      <c r="Q94" s="147"/>
      <c r="R94" s="517">
        <f t="shared" si="24"/>
        <v>195000</v>
      </c>
      <c r="S94" s="147">
        <f>R94</f>
        <v>195000</v>
      </c>
      <c r="T94" s="147"/>
      <c r="U94" s="143"/>
    </row>
    <row r="95" spans="1:21" s="144" customFormat="1">
      <c r="A95" s="1151" t="s">
        <v>2721</v>
      </c>
      <c r="B95" s="146">
        <f t="shared" si="23"/>
        <v>430000</v>
      </c>
      <c r="C95" s="147">
        <v>430000</v>
      </c>
      <c r="D95" s="147">
        <v>0</v>
      </c>
      <c r="E95" s="147">
        <f>B95</f>
        <v>430000</v>
      </c>
      <c r="F95" s="147"/>
      <c r="G95" s="147"/>
      <c r="H95" s="147"/>
      <c r="I95" s="147"/>
      <c r="J95" s="147"/>
      <c r="K95" s="147"/>
      <c r="L95" s="147"/>
      <c r="M95" s="147"/>
      <c r="N95" s="147"/>
      <c r="O95" s="147"/>
      <c r="P95" s="147"/>
      <c r="Q95" s="147"/>
      <c r="R95" s="517">
        <f t="shared" si="24"/>
        <v>430000</v>
      </c>
      <c r="S95" s="147"/>
      <c r="T95" s="147"/>
      <c r="U95" s="143"/>
    </row>
    <row r="96" spans="1:21" s="144" customFormat="1">
      <c r="A96" s="149" t="s">
        <v>774</v>
      </c>
      <c r="B96" s="146">
        <f>SUM(C96:D96)</f>
        <v>3694283</v>
      </c>
      <c r="C96" s="146">
        <f t="shared" ref="C96:R96" si="25">SUM(C83:C95)</f>
        <v>3694283</v>
      </c>
      <c r="D96" s="146">
        <f t="shared" si="25"/>
        <v>0</v>
      </c>
      <c r="E96" s="146">
        <f t="shared" si="25"/>
        <v>3694283</v>
      </c>
      <c r="F96" s="146">
        <f t="shared" si="25"/>
        <v>0</v>
      </c>
      <c r="G96" s="146">
        <f t="shared" si="25"/>
        <v>0</v>
      </c>
      <c r="H96" s="146">
        <f t="shared" si="25"/>
        <v>0</v>
      </c>
      <c r="I96" s="146">
        <f t="shared" si="25"/>
        <v>0</v>
      </c>
      <c r="J96" s="146">
        <f t="shared" si="25"/>
        <v>0</v>
      </c>
      <c r="K96" s="146">
        <f t="shared" si="25"/>
        <v>0</v>
      </c>
      <c r="L96" s="146">
        <f t="shared" si="25"/>
        <v>0</v>
      </c>
      <c r="M96" s="146">
        <f t="shared" si="25"/>
        <v>0</v>
      </c>
      <c r="N96" s="146">
        <f t="shared" si="25"/>
        <v>0</v>
      </c>
      <c r="O96" s="146">
        <f t="shared" si="25"/>
        <v>0</v>
      </c>
      <c r="P96" s="146">
        <f t="shared" si="25"/>
        <v>0</v>
      </c>
      <c r="Q96" s="146">
        <f t="shared" si="25"/>
        <v>0</v>
      </c>
      <c r="R96" s="343">
        <f t="shared" si="25"/>
        <v>3694283</v>
      </c>
      <c r="S96" s="150">
        <f>SUM(S84:S87,S89:S95)</f>
        <v>2962271</v>
      </c>
      <c r="T96" s="146">
        <f>SUM(T84:T87,T89:T95)</f>
        <v>0</v>
      </c>
      <c r="U96" s="143"/>
    </row>
    <row r="97" spans="1:21" s="144" customFormat="1">
      <c r="A97" s="149" t="s">
        <v>775</v>
      </c>
      <c r="B97" s="146">
        <f>SUM(C97:D97)</f>
        <v>76903010</v>
      </c>
      <c r="C97" s="146">
        <f t="shared" ref="C97:R97" si="26">SUM(C63+C70+C77+C81+C96)</f>
        <v>76903010</v>
      </c>
      <c r="D97" s="146">
        <f t="shared" si="26"/>
        <v>0</v>
      </c>
      <c r="E97" s="146">
        <f t="shared" si="26"/>
        <v>30613619</v>
      </c>
      <c r="F97" s="146">
        <f t="shared" si="26"/>
        <v>20500000</v>
      </c>
      <c r="G97" s="146">
        <f t="shared" si="26"/>
        <v>23046170</v>
      </c>
      <c r="H97" s="146">
        <f t="shared" si="26"/>
        <v>2509235</v>
      </c>
      <c r="I97" s="146">
        <f t="shared" si="26"/>
        <v>233986</v>
      </c>
      <c r="J97" s="146">
        <f t="shared" si="26"/>
        <v>0</v>
      </c>
      <c r="K97" s="146">
        <f t="shared" si="26"/>
        <v>0</v>
      </c>
      <c r="L97" s="146">
        <f t="shared" si="26"/>
        <v>0</v>
      </c>
      <c r="M97" s="146">
        <f t="shared" si="26"/>
        <v>0</v>
      </c>
      <c r="N97" s="146">
        <f t="shared" si="26"/>
        <v>0</v>
      </c>
      <c r="O97" s="146">
        <f t="shared" si="26"/>
        <v>0</v>
      </c>
      <c r="P97" s="146">
        <f t="shared" si="26"/>
        <v>0</v>
      </c>
      <c r="Q97" s="146">
        <f t="shared" si="26"/>
        <v>0</v>
      </c>
      <c r="R97" s="146">
        <f t="shared" si="26"/>
        <v>76903010</v>
      </c>
      <c r="S97" s="146">
        <f>SUM(S63+S70+S81+S96)</f>
        <v>62024317</v>
      </c>
      <c r="T97" s="146">
        <f>SUM(T63+T70+T81+T96)</f>
        <v>0</v>
      </c>
      <c r="U97" s="143"/>
    </row>
    <row r="98" spans="1:21" s="144" customFormat="1">
      <c r="A98" s="141" t="s">
        <v>776</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777</v>
      </c>
      <c r="B99" s="146">
        <f>SUM(C99+D99)</f>
        <v>9287728</v>
      </c>
      <c r="C99" s="980">
        <v>9287728</v>
      </c>
      <c r="D99" s="980"/>
      <c r="E99" s="980">
        <v>3762576</v>
      </c>
      <c r="F99" s="147"/>
      <c r="G99" s="147"/>
      <c r="H99" s="147"/>
      <c r="I99" s="147"/>
      <c r="J99" s="147">
        <f>B99-E99</f>
        <v>5525152</v>
      </c>
      <c r="K99" s="147"/>
      <c r="L99" s="147"/>
      <c r="M99" s="147"/>
      <c r="N99" s="147"/>
      <c r="O99" s="147"/>
      <c r="P99" s="147"/>
      <c r="Q99" s="147"/>
      <c r="R99" s="517">
        <f>SUM(E99:Q99)</f>
        <v>9287728</v>
      </c>
      <c r="S99" s="147">
        <f>R99</f>
        <v>9287728</v>
      </c>
      <c r="T99" s="147"/>
      <c r="U99" s="143"/>
    </row>
    <row r="100" spans="1:21" s="144" customFormat="1">
      <c r="A100" s="284" t="s">
        <v>1645</v>
      </c>
      <c r="B100" s="146">
        <f>SUM(C100+D100)</f>
        <v>0</v>
      </c>
      <c r="C100" s="147"/>
      <c r="D100" s="147"/>
      <c r="E100" s="147"/>
      <c r="F100" s="147"/>
      <c r="G100" s="147"/>
      <c r="H100" s="147"/>
      <c r="I100" s="147"/>
      <c r="J100" s="147"/>
      <c r="K100" s="147"/>
      <c r="L100" s="147"/>
      <c r="M100" s="147"/>
      <c r="N100" s="147"/>
      <c r="O100" s="147"/>
      <c r="P100" s="147"/>
      <c r="Q100" s="147"/>
      <c r="R100" s="517">
        <f>SUM(E100:Q100)</f>
        <v>0</v>
      </c>
      <c r="S100" s="147"/>
      <c r="T100" s="147"/>
      <c r="U100" s="143"/>
    </row>
    <row r="101" spans="1:21" s="144" customFormat="1" ht="12" customHeight="1">
      <c r="A101" s="145" t="s">
        <v>778</v>
      </c>
      <c r="B101" s="146">
        <f>SUM(C101+D101)</f>
        <v>0</v>
      </c>
      <c r="C101" s="147"/>
      <c r="D101" s="147"/>
      <c r="E101" s="147"/>
      <c r="F101" s="147"/>
      <c r="G101" s="147"/>
      <c r="H101" s="147"/>
      <c r="I101" s="147"/>
      <c r="J101" s="147"/>
      <c r="K101" s="147"/>
      <c r="L101" s="147"/>
      <c r="M101" s="147"/>
      <c r="N101" s="147"/>
      <c r="O101" s="147"/>
      <c r="P101" s="147"/>
      <c r="Q101" s="147"/>
      <c r="R101" s="517">
        <f>SUM(E101:Q101)</f>
        <v>0</v>
      </c>
      <c r="S101" s="147"/>
      <c r="T101" s="147"/>
      <c r="U101" s="143"/>
    </row>
    <row r="102" spans="1:21" s="144" customFormat="1">
      <c r="A102" s="284" t="s">
        <v>1646</v>
      </c>
      <c r="B102" s="146">
        <f>SUM(C102+D102)</f>
        <v>0</v>
      </c>
      <c r="C102" s="147"/>
      <c r="D102" s="147"/>
      <c r="E102" s="147"/>
      <c r="F102" s="147"/>
      <c r="G102" s="147"/>
      <c r="H102" s="147"/>
      <c r="I102" s="147"/>
      <c r="J102" s="147"/>
      <c r="K102" s="147"/>
      <c r="L102" s="147"/>
      <c r="M102" s="147"/>
      <c r="N102" s="147"/>
      <c r="O102" s="147"/>
      <c r="P102" s="147"/>
      <c r="Q102" s="147"/>
      <c r="R102" s="517">
        <f>SUM(E102:Q102)</f>
        <v>0</v>
      </c>
      <c r="S102" s="147"/>
      <c r="T102" s="147"/>
      <c r="U102" s="143"/>
    </row>
    <row r="103" spans="1:21" s="144" customFormat="1">
      <c r="A103" s="1151" t="s">
        <v>34</v>
      </c>
      <c r="B103" s="146">
        <f>SUM(C103+D103)</f>
        <v>0</v>
      </c>
      <c r="C103" s="147"/>
      <c r="D103" s="147"/>
      <c r="E103" s="147"/>
      <c r="F103" s="147"/>
      <c r="G103" s="147"/>
      <c r="H103" s="147"/>
      <c r="I103" s="147"/>
      <c r="J103" s="147"/>
      <c r="K103" s="147"/>
      <c r="L103" s="147"/>
      <c r="M103" s="147"/>
      <c r="N103" s="147"/>
      <c r="O103" s="147"/>
      <c r="P103" s="147"/>
      <c r="Q103" s="147"/>
      <c r="R103" s="517">
        <f>SUM(E103:Q103)</f>
        <v>0</v>
      </c>
      <c r="S103" s="147"/>
      <c r="T103" s="147"/>
      <c r="U103" s="143"/>
    </row>
    <row r="104" spans="1:21" s="144" customFormat="1">
      <c r="A104" s="149" t="s">
        <v>779</v>
      </c>
      <c r="B104" s="146">
        <f>SUM(C104:D104)</f>
        <v>9287728</v>
      </c>
      <c r="C104" s="146">
        <f>SUM(C99:C103)</f>
        <v>9287728</v>
      </c>
      <c r="D104" s="146">
        <f t="shared" ref="D104:T104" si="27">SUM(D99:D103)</f>
        <v>0</v>
      </c>
      <c r="E104" s="146">
        <f t="shared" si="27"/>
        <v>3762576</v>
      </c>
      <c r="F104" s="146">
        <f t="shared" si="27"/>
        <v>0</v>
      </c>
      <c r="G104" s="146">
        <f t="shared" si="27"/>
        <v>0</v>
      </c>
      <c r="H104" s="146">
        <f t="shared" si="27"/>
        <v>0</v>
      </c>
      <c r="I104" s="146">
        <f t="shared" si="27"/>
        <v>0</v>
      </c>
      <c r="J104" s="146">
        <f t="shared" si="27"/>
        <v>5525152</v>
      </c>
      <c r="K104" s="146">
        <f t="shared" si="27"/>
        <v>0</v>
      </c>
      <c r="L104" s="146">
        <f t="shared" si="27"/>
        <v>0</v>
      </c>
      <c r="M104" s="146">
        <f t="shared" si="27"/>
        <v>0</v>
      </c>
      <c r="N104" s="146">
        <f t="shared" si="27"/>
        <v>0</v>
      </c>
      <c r="O104" s="146">
        <f t="shared" si="27"/>
        <v>0</v>
      </c>
      <c r="P104" s="146">
        <f t="shared" si="27"/>
        <v>0</v>
      </c>
      <c r="Q104" s="146">
        <f t="shared" si="27"/>
        <v>0</v>
      </c>
      <c r="R104" s="343">
        <f t="shared" si="27"/>
        <v>9287728</v>
      </c>
      <c r="S104" s="150">
        <f t="shared" si="27"/>
        <v>9287728</v>
      </c>
      <c r="T104" s="150">
        <f t="shared" si="27"/>
        <v>0</v>
      </c>
      <c r="U104" s="143"/>
    </row>
    <row r="105" spans="1:21" s="144" customFormat="1">
      <c r="A105" s="149" t="s">
        <v>780</v>
      </c>
      <c r="B105" s="150">
        <f>SUM(C105:D105)</f>
        <v>86190738</v>
      </c>
      <c r="C105" s="150">
        <f t="shared" ref="C105:R105" si="28">SUM(C97+C104)</f>
        <v>86190738</v>
      </c>
      <c r="D105" s="150">
        <f t="shared" si="28"/>
        <v>0</v>
      </c>
      <c r="E105" s="150">
        <f t="shared" si="28"/>
        <v>34376195</v>
      </c>
      <c r="F105" s="150">
        <f t="shared" si="28"/>
        <v>20500000</v>
      </c>
      <c r="G105" s="150">
        <f t="shared" si="28"/>
        <v>23046170</v>
      </c>
      <c r="H105" s="150">
        <f t="shared" si="28"/>
        <v>2509235</v>
      </c>
      <c r="I105" s="150">
        <f t="shared" si="28"/>
        <v>233986</v>
      </c>
      <c r="J105" s="150">
        <f t="shared" si="28"/>
        <v>5525152</v>
      </c>
      <c r="K105" s="150">
        <f t="shared" si="28"/>
        <v>0</v>
      </c>
      <c r="L105" s="150">
        <f t="shared" si="28"/>
        <v>0</v>
      </c>
      <c r="M105" s="150">
        <f t="shared" si="28"/>
        <v>0</v>
      </c>
      <c r="N105" s="150">
        <f t="shared" si="28"/>
        <v>0</v>
      </c>
      <c r="O105" s="150">
        <f t="shared" si="28"/>
        <v>0</v>
      </c>
      <c r="P105" s="150">
        <f t="shared" si="28"/>
        <v>0</v>
      </c>
      <c r="Q105" s="150">
        <f t="shared" si="28"/>
        <v>0</v>
      </c>
      <c r="R105" s="343">
        <f t="shared" si="28"/>
        <v>86190738</v>
      </c>
      <c r="S105" s="150">
        <f>S97+S104</f>
        <v>71312045</v>
      </c>
      <c r="T105" s="150">
        <f>T97+T104</f>
        <v>0</v>
      </c>
      <c r="U105" s="143"/>
    </row>
    <row r="106" spans="1:21">
      <c r="A106" s="515" t="s">
        <v>1019</v>
      </c>
      <c r="B106" s="157"/>
      <c r="C106" s="157"/>
      <c r="D106" s="157"/>
      <c r="H106" s="159" t="s">
        <v>92</v>
      </c>
      <c r="I106" s="159"/>
      <c r="J106" s="159"/>
      <c r="R106" s="160" t="s">
        <v>93</v>
      </c>
      <c r="S106" s="147"/>
      <c r="T106" s="147"/>
    </row>
    <row r="107" spans="1:21">
      <c r="A107" s="157" t="s">
        <v>183</v>
      </c>
      <c r="C107" s="157"/>
      <c r="D107" s="157"/>
      <c r="I107" s="162" t="s">
        <v>349</v>
      </c>
      <c r="J107" s="162"/>
      <c r="R107" s="160" t="s">
        <v>94</v>
      </c>
      <c r="S107" s="150">
        <f>S105+S106</f>
        <v>71312045</v>
      </c>
      <c r="T107" s="150">
        <f>T105+T106</f>
        <v>0</v>
      </c>
    </row>
    <row r="108" spans="1:21" s="189" customFormat="1">
      <c r="A108" s="162" t="s">
        <v>879</v>
      </c>
      <c r="B108" s="157"/>
      <c r="C108" s="157"/>
      <c r="D108" s="157"/>
      <c r="E108" s="302">
        <f>Application!AO640</f>
        <v>34376195</v>
      </c>
      <c r="F108" s="302">
        <f>Application!AO627</f>
        <v>20500000</v>
      </c>
      <c r="G108" s="302">
        <f>Application!AO628</f>
        <v>23046170</v>
      </c>
      <c r="H108" s="302">
        <f>Application!AO629</f>
        <v>2509235</v>
      </c>
      <c r="I108" s="302">
        <f>Application!AO630</f>
        <v>233986</v>
      </c>
      <c r="J108" s="302">
        <f>Application!AO631</f>
        <v>5525152</v>
      </c>
      <c r="K108" s="302">
        <f>Application!AO632</f>
        <v>0</v>
      </c>
      <c r="L108" s="302">
        <f>Application!AO633</f>
        <v>0</v>
      </c>
      <c r="M108" s="302">
        <f>Application!AO634</f>
        <v>0</v>
      </c>
      <c r="N108" s="302">
        <f>Application!AO635</f>
        <v>0</v>
      </c>
      <c r="O108" s="302">
        <f>Application!AO636</f>
        <v>0</v>
      </c>
      <c r="P108" s="302">
        <f>Application!AO637</f>
        <v>0</v>
      </c>
      <c r="Q108" s="302">
        <f>Application!AO638</f>
        <v>0</v>
      </c>
      <c r="R108" s="158"/>
      <c r="S108" s="158"/>
      <c r="T108" s="158"/>
      <c r="U108" s="188"/>
    </row>
    <row r="109" spans="1:21" ht="10.15" customHeight="1">
      <c r="A109" s="157"/>
      <c r="B109" s="157"/>
      <c r="C109" s="157"/>
      <c r="D109" s="157"/>
    </row>
    <row r="110" spans="1:21">
      <c r="A110" s="162" t="s">
        <v>958</v>
      </c>
      <c r="B110" s="157"/>
      <c r="C110" s="157"/>
      <c r="D110" s="157"/>
    </row>
    <row r="111" spans="1:21">
      <c r="A111" s="156" t="s">
        <v>959</v>
      </c>
      <c r="B111" s="157"/>
      <c r="C111" s="157"/>
      <c r="D111" s="157"/>
    </row>
    <row r="112" spans="1:21" ht="12" customHeight="1">
      <c r="A112" s="313"/>
      <c r="B112" s="157"/>
      <c r="C112" s="157"/>
      <c r="D112" s="157"/>
    </row>
    <row r="113" spans="1:21">
      <c r="A113" s="156" t="s">
        <v>1018</v>
      </c>
      <c r="B113" s="157"/>
      <c r="C113" s="157"/>
      <c r="D113" s="157"/>
    </row>
    <row r="114" spans="1:21">
      <c r="A114" s="156" t="s">
        <v>2096</v>
      </c>
      <c r="B114" s="157"/>
      <c r="C114" s="157"/>
      <c r="D114" s="157"/>
    </row>
    <row r="115" spans="1:21" ht="12" customHeight="1">
      <c r="A115" s="313"/>
      <c r="B115" s="157"/>
      <c r="C115" s="157"/>
      <c r="D115" s="157"/>
    </row>
    <row r="116" spans="1:21">
      <c r="A116" s="346" t="s">
        <v>1021</v>
      </c>
      <c r="B116" s="157"/>
      <c r="C116" s="157"/>
      <c r="D116" s="157"/>
    </row>
    <row r="117" spans="1:21">
      <c r="A117" s="346" t="s">
        <v>1222</v>
      </c>
      <c r="B117" s="157"/>
      <c r="C117" s="157"/>
      <c r="D117" s="157"/>
    </row>
    <row r="118" spans="1:21">
      <c r="A118" s="346" t="s">
        <v>1020</v>
      </c>
      <c r="B118" s="157"/>
      <c r="C118" s="157"/>
      <c r="D118" s="157"/>
    </row>
    <row r="119" spans="1:21">
      <c r="A119" s="346" t="s">
        <v>1022</v>
      </c>
      <c r="B119" s="157"/>
      <c r="C119" s="157"/>
      <c r="D119" s="157"/>
    </row>
    <row r="120" spans="1:21" ht="12" customHeight="1">
      <c r="A120" s="345"/>
      <c r="B120" s="157"/>
      <c r="C120" s="157"/>
      <c r="D120" s="157"/>
    </row>
    <row r="121" spans="1:21" ht="15.75">
      <c r="A121" s="339" t="s">
        <v>1004</v>
      </c>
      <c r="B121" s="157"/>
      <c r="C121" s="157"/>
      <c r="D121" s="157"/>
    </row>
    <row r="122" spans="1:21">
      <c r="A122" s="326" t="s">
        <v>988</v>
      </c>
      <c r="B122" s="325"/>
      <c r="C122" s="325"/>
      <c r="D122" s="1866" t="s">
        <v>989</v>
      </c>
      <c r="E122" s="1866"/>
      <c r="F122" s="1866"/>
      <c r="G122" s="325"/>
      <c r="H122" s="325"/>
      <c r="I122" s="325"/>
      <c r="J122" s="325"/>
      <c r="K122" s="325"/>
      <c r="L122" s="325"/>
      <c r="M122" s="325"/>
      <c r="N122" s="325"/>
      <c r="O122" s="325"/>
      <c r="P122" s="325"/>
      <c r="Q122" s="325"/>
      <c r="R122" s="325"/>
      <c r="S122" s="325"/>
      <c r="T122" s="325"/>
      <c r="U122" s="327"/>
    </row>
    <row r="123" spans="1:21">
      <c r="A123" s="325" t="s">
        <v>990</v>
      </c>
      <c r="B123" s="334"/>
      <c r="C123" s="325"/>
      <c r="D123" s="1868" t="s">
        <v>1223</v>
      </c>
      <c r="E123" s="1812"/>
      <c r="F123" s="1812"/>
      <c r="G123" s="1812"/>
      <c r="H123" s="1812"/>
      <c r="I123" s="1812"/>
      <c r="J123" s="1812"/>
      <c r="K123" s="1812"/>
      <c r="L123" s="1812"/>
      <c r="M123" s="1812"/>
      <c r="N123" s="1812"/>
      <c r="O123" s="1812"/>
      <c r="P123" s="1812"/>
      <c r="Q123" s="1812"/>
      <c r="R123" s="1812"/>
      <c r="S123" s="1812"/>
      <c r="T123" s="325"/>
      <c r="U123" s="327"/>
    </row>
    <row r="124" spans="1:21" ht="12.75">
      <c r="A124" s="117" t="s">
        <v>991</v>
      </c>
      <c r="B124" s="334"/>
      <c r="C124" s="117"/>
      <c r="D124" s="1812"/>
      <c r="E124" s="1812"/>
      <c r="F124" s="1812"/>
      <c r="G124" s="1812"/>
      <c r="H124" s="1812"/>
      <c r="I124" s="1812"/>
      <c r="J124" s="1812"/>
      <c r="K124" s="1812"/>
      <c r="L124" s="1812"/>
      <c r="M124" s="1812"/>
      <c r="N124" s="1812"/>
      <c r="O124" s="1812"/>
      <c r="P124" s="1812"/>
      <c r="Q124" s="1812"/>
      <c r="R124" s="1812"/>
      <c r="S124" s="1812"/>
      <c r="T124" s="325"/>
      <c r="U124" s="327"/>
    </row>
    <row r="125" spans="1:21" ht="12.75">
      <c r="A125" s="117" t="s">
        <v>992</v>
      </c>
      <c r="B125" s="334"/>
      <c r="C125" s="117"/>
      <c r="D125" s="1812"/>
      <c r="E125" s="1812"/>
      <c r="F125" s="1812"/>
      <c r="G125" s="1812"/>
      <c r="H125" s="1812"/>
      <c r="I125" s="1812"/>
      <c r="J125" s="1812"/>
      <c r="K125" s="1812"/>
      <c r="L125" s="1812"/>
      <c r="M125" s="1812"/>
      <c r="N125" s="1812"/>
      <c r="O125" s="1812"/>
      <c r="P125" s="1812"/>
      <c r="Q125" s="1812"/>
      <c r="R125" s="1812"/>
      <c r="S125" s="1812"/>
      <c r="T125" s="325"/>
      <c r="U125" s="327"/>
    </row>
    <row r="126" spans="1:21" ht="12.75">
      <c r="A126" s="117" t="s">
        <v>993</v>
      </c>
      <c r="B126" s="334"/>
      <c r="C126" s="117"/>
      <c r="D126" s="116"/>
      <c r="E126" s="116"/>
      <c r="F126" s="116"/>
      <c r="G126" s="116"/>
      <c r="H126" s="116"/>
      <c r="I126" s="116"/>
      <c r="J126" s="116"/>
      <c r="K126" s="116"/>
      <c r="L126" s="116"/>
      <c r="M126" s="116"/>
      <c r="N126" s="116"/>
      <c r="O126" s="117"/>
      <c r="P126" s="117"/>
      <c r="Q126" s="117"/>
      <c r="R126" s="117"/>
      <c r="S126" s="117"/>
      <c r="T126" s="325"/>
      <c r="U126" s="327"/>
    </row>
    <row r="127" spans="1:21" ht="12.75">
      <c r="A127" s="117" t="s">
        <v>994</v>
      </c>
      <c r="B127" s="334"/>
      <c r="C127" s="117"/>
      <c r="D127" s="116"/>
      <c r="E127" s="116"/>
      <c r="F127" s="116"/>
      <c r="G127" s="116"/>
      <c r="H127" s="116"/>
      <c r="I127" s="116"/>
      <c r="J127" s="116"/>
      <c r="K127" s="116"/>
      <c r="L127" s="116"/>
      <c r="M127" s="116"/>
      <c r="N127" s="116"/>
      <c r="O127" s="117"/>
      <c r="P127" s="117"/>
      <c r="Q127" s="117"/>
      <c r="R127" s="117"/>
      <c r="S127" s="117"/>
      <c r="T127" s="325"/>
      <c r="U127" s="327"/>
    </row>
    <row r="128" spans="1:21" ht="12.75">
      <c r="A128" s="117" t="s">
        <v>995</v>
      </c>
      <c r="B128" s="334"/>
      <c r="C128" s="117"/>
      <c r="D128" s="1863"/>
      <c r="E128" s="1863"/>
      <c r="F128" s="1863"/>
      <c r="G128" s="1863"/>
      <c r="H128" s="1863"/>
      <c r="I128" s="117"/>
      <c r="J128" s="1864"/>
      <c r="K128" s="1864"/>
      <c r="L128" s="117"/>
      <c r="M128" s="117"/>
      <c r="N128" s="117"/>
      <c r="O128" s="117"/>
      <c r="P128" s="117"/>
      <c r="Q128" s="117"/>
      <c r="R128" s="117"/>
      <c r="S128" s="117"/>
      <c r="T128" s="325"/>
      <c r="U128" s="327"/>
    </row>
    <row r="129" spans="1:21" ht="12.75">
      <c r="A129" s="117" t="s">
        <v>299</v>
      </c>
      <c r="B129" s="334"/>
      <c r="C129" s="117"/>
      <c r="D129" s="1865" t="s">
        <v>996</v>
      </c>
      <c r="E129" s="1865"/>
      <c r="F129" s="1865"/>
      <c r="G129" s="1865"/>
      <c r="H129" s="1865"/>
      <c r="I129" s="117"/>
      <c r="J129" s="117" t="s">
        <v>997</v>
      </c>
      <c r="K129" s="117"/>
      <c r="L129" s="117"/>
      <c r="M129" s="117"/>
      <c r="N129" s="117"/>
      <c r="O129" s="117"/>
      <c r="P129" s="117"/>
      <c r="Q129" s="117"/>
      <c r="R129" s="117"/>
      <c r="S129" s="117"/>
      <c r="T129" s="325"/>
      <c r="U129" s="327"/>
    </row>
    <row r="130" spans="1:21" ht="12" customHeight="1">
      <c r="A130" s="117"/>
      <c r="B130" s="333"/>
      <c r="C130" s="117"/>
      <c r="D130" s="117"/>
      <c r="E130" s="117"/>
      <c r="F130" s="117"/>
      <c r="G130" s="117"/>
      <c r="H130" s="117"/>
      <c r="I130" s="117"/>
      <c r="J130" s="117"/>
      <c r="K130" s="117"/>
      <c r="L130" s="117"/>
      <c r="M130" s="117"/>
      <c r="N130" s="117"/>
      <c r="O130" s="117"/>
      <c r="P130" s="117"/>
      <c r="Q130" s="117"/>
      <c r="R130" s="117"/>
      <c r="S130" s="117"/>
      <c r="T130" s="325"/>
      <c r="U130" s="327"/>
    </row>
    <row r="131" spans="1:21" ht="12.75">
      <c r="A131" s="336" t="s">
        <v>998</v>
      </c>
      <c r="B131" s="335">
        <f>SUM(B123:B129)</f>
        <v>0</v>
      </c>
      <c r="C131" s="117"/>
      <c r="D131" s="1839"/>
      <c r="E131" s="1839"/>
      <c r="F131" s="1839"/>
      <c r="G131" s="1839"/>
      <c r="H131" s="1839"/>
      <c r="I131" s="117"/>
      <c r="J131" s="1839"/>
      <c r="K131" s="1839"/>
      <c r="L131" s="1839"/>
      <c r="M131" s="1839"/>
      <c r="N131" s="117"/>
      <c r="O131" s="117"/>
      <c r="P131" s="117"/>
      <c r="Q131" s="117"/>
      <c r="R131" s="117"/>
      <c r="S131" s="117"/>
      <c r="T131" s="325"/>
      <c r="U131" s="327"/>
    </row>
    <row r="132" spans="1:21" ht="12" customHeight="1">
      <c r="A132" s="337"/>
      <c r="B132" s="117"/>
      <c r="C132" s="117"/>
      <c r="D132" s="1869" t="s">
        <v>999</v>
      </c>
      <c r="E132" s="1869"/>
      <c r="F132" s="1869"/>
      <c r="G132" s="1869"/>
      <c r="H132" s="1869"/>
      <c r="I132" s="117"/>
      <c r="J132" s="1869" t="s">
        <v>1000</v>
      </c>
      <c r="K132" s="1869"/>
      <c r="L132" s="1869"/>
      <c r="M132" s="1869"/>
      <c r="N132" s="117"/>
      <c r="O132" s="117"/>
      <c r="P132" s="117"/>
      <c r="Q132" s="117"/>
      <c r="R132" s="117"/>
      <c r="S132" s="117"/>
      <c r="T132" s="325"/>
      <c r="U132" s="327"/>
    </row>
    <row r="133" spans="1:21" ht="12" customHeight="1">
      <c r="A133" s="337"/>
      <c r="B133" s="117"/>
      <c r="C133" s="117"/>
      <c r="D133" s="117"/>
      <c r="E133" s="117"/>
      <c r="F133" s="117"/>
      <c r="G133" s="117"/>
      <c r="H133" s="117"/>
      <c r="I133" s="117"/>
      <c r="J133" s="117"/>
      <c r="K133" s="117"/>
      <c r="L133" s="117"/>
      <c r="M133" s="117"/>
      <c r="N133" s="117"/>
      <c r="O133" s="117"/>
      <c r="P133" s="117"/>
      <c r="Q133" s="117"/>
      <c r="R133" s="117"/>
      <c r="S133" s="117"/>
      <c r="T133" s="325"/>
      <c r="U133" s="327"/>
    </row>
    <row r="134" spans="1:21" ht="12.75">
      <c r="A134" s="91" t="s">
        <v>1001</v>
      </c>
      <c r="B134" s="117"/>
      <c r="C134" s="117"/>
      <c r="D134" s="117"/>
      <c r="E134" s="117"/>
      <c r="F134" s="117"/>
      <c r="G134" s="117"/>
      <c r="H134" s="117"/>
      <c r="I134" s="117"/>
      <c r="J134" s="117"/>
      <c r="K134" s="117"/>
      <c r="L134" s="117"/>
      <c r="M134" s="117"/>
      <c r="N134" s="117"/>
      <c r="O134" s="117"/>
      <c r="P134" s="117"/>
      <c r="Q134" s="117"/>
      <c r="R134" s="117"/>
      <c r="S134" s="117"/>
      <c r="T134" s="325"/>
      <c r="U134" s="327"/>
    </row>
    <row r="135" spans="1:21" ht="12.75">
      <c r="A135" s="313" t="s">
        <v>1002</v>
      </c>
      <c r="B135" s="117"/>
      <c r="C135" s="117"/>
      <c r="D135" s="117"/>
      <c r="E135" s="117"/>
      <c r="F135" s="117"/>
      <c r="G135" s="117"/>
      <c r="H135" s="117"/>
      <c r="I135" s="117"/>
      <c r="J135" s="117"/>
      <c r="K135" s="117"/>
      <c r="L135" s="117"/>
      <c r="M135" s="117"/>
      <c r="N135" s="338"/>
      <c r="O135" s="117"/>
      <c r="P135" s="117"/>
      <c r="Q135" s="117"/>
      <c r="R135" s="117"/>
      <c r="S135" s="117"/>
      <c r="T135" s="325"/>
      <c r="U135" s="327"/>
    </row>
    <row r="136" spans="1:21" ht="12" customHeight="1">
      <c r="A136" s="337"/>
      <c r="B136" s="117"/>
      <c r="C136" s="117"/>
      <c r="D136" s="117"/>
      <c r="E136" s="117"/>
      <c r="F136" s="117"/>
      <c r="G136" s="117"/>
      <c r="H136" s="117"/>
      <c r="I136" s="117"/>
      <c r="J136" s="117"/>
      <c r="K136" s="117"/>
      <c r="L136" s="117"/>
      <c r="M136" s="117"/>
      <c r="N136" s="117"/>
      <c r="O136" s="117"/>
      <c r="P136" s="117"/>
      <c r="Q136" s="117"/>
      <c r="R136" s="117"/>
      <c r="S136" s="117"/>
      <c r="T136" s="331"/>
      <c r="U136" s="332"/>
    </row>
    <row r="137" spans="1:21" ht="12.75">
      <c r="A137" s="337"/>
      <c r="B137" s="117"/>
      <c r="C137" s="117"/>
      <c r="D137" s="117"/>
      <c r="E137" s="117"/>
      <c r="F137" s="117"/>
      <c r="G137" s="117"/>
      <c r="H137" s="117"/>
      <c r="I137" s="117"/>
      <c r="J137" s="117"/>
      <c r="K137" s="117"/>
      <c r="L137" s="117"/>
      <c r="M137" s="117"/>
      <c r="N137" s="117"/>
      <c r="O137" s="117"/>
      <c r="P137" s="117"/>
      <c r="Q137" s="117"/>
      <c r="R137" s="117"/>
      <c r="S137" s="117"/>
      <c r="T137" s="331"/>
      <c r="U137" s="332"/>
    </row>
    <row r="138" spans="1:21" ht="12" customHeight="1">
      <c r="A138" s="1870"/>
      <c r="B138" s="1863"/>
      <c r="C138" s="1863"/>
      <c r="D138" s="329"/>
      <c r="E138" s="1864"/>
      <c r="F138" s="1864"/>
      <c r="G138" s="117"/>
      <c r="H138" s="117"/>
      <c r="I138" s="117"/>
      <c r="J138" s="117"/>
      <c r="K138" s="117"/>
      <c r="L138" s="117"/>
      <c r="M138" s="117"/>
      <c r="N138" s="117"/>
      <c r="O138" s="117"/>
      <c r="P138" s="117"/>
      <c r="Q138" s="117"/>
      <c r="R138" s="117"/>
      <c r="S138" s="117"/>
      <c r="T138" s="331"/>
      <c r="U138" s="332"/>
    </row>
    <row r="139" spans="1:21" ht="12.75">
      <c r="A139" s="1867" t="s">
        <v>1003</v>
      </c>
      <c r="B139" s="1867"/>
      <c r="C139" s="1867"/>
      <c r="D139" s="329"/>
      <c r="E139" s="117" t="s">
        <v>997</v>
      </c>
      <c r="F139" s="117"/>
      <c r="G139" s="117"/>
      <c r="H139" s="117"/>
      <c r="I139" s="117"/>
      <c r="J139" s="117"/>
      <c r="K139" s="117"/>
      <c r="L139" s="117"/>
      <c r="M139" s="117"/>
      <c r="N139" s="117"/>
      <c r="O139" s="117"/>
      <c r="P139" s="117"/>
      <c r="Q139" s="117"/>
      <c r="R139" s="117"/>
      <c r="S139" s="117"/>
      <c r="T139" s="331"/>
      <c r="U139" s="332"/>
    </row>
    <row r="140" spans="1:21" ht="12.75">
      <c r="A140" s="337"/>
      <c r="B140" s="117"/>
      <c r="C140" s="117"/>
      <c r="D140" s="329"/>
      <c r="E140" s="117"/>
      <c r="F140" s="117"/>
      <c r="G140" s="117"/>
      <c r="H140" s="117"/>
      <c r="I140" s="117"/>
      <c r="J140" s="117"/>
      <c r="K140" s="117"/>
      <c r="L140" s="117"/>
      <c r="M140" s="117"/>
      <c r="N140" s="117"/>
      <c r="O140" s="117"/>
      <c r="P140" s="117"/>
      <c r="Q140" s="117"/>
      <c r="R140" s="117"/>
      <c r="S140" s="117"/>
      <c r="T140" s="328"/>
      <c r="U140" s="330"/>
    </row>
    <row r="151"/>
    <row r="152"/>
    <row r="153"/>
    <row r="154"/>
    <row r="155"/>
  </sheetData>
  <sheetProtection algorithmName="SHA-512" hashValue="Wq/YQutSlSrteu5qCeqDFsUGfTRTiTztd6D3eqZkAVg4ecV9b+XCvwNY/f+5282xEuGV/Kzm5tHj2lR3zft/YQ==" saltValue="YcjIan+MpCuK2jpyah+gC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9" priority="8">
      <formula>AND(B25&gt;0,OR(A25="",A25="Other: (Specify)"))</formula>
    </cfRule>
  </conditionalFormatting>
  <conditionalFormatting sqref="A37">
    <cfRule type="expression" dxfId="68" priority="7">
      <formula>AND(B37&gt;0,OR(A37="",A37="Other: (Specify)"))</formula>
    </cfRule>
  </conditionalFormatting>
  <conditionalFormatting sqref="A53">
    <cfRule type="expression" dxfId="67" priority="6">
      <formula>AND(B53&gt;0,OR(A53="",A53="Other: (Specify)"))</formula>
    </cfRule>
  </conditionalFormatting>
  <conditionalFormatting sqref="A61">
    <cfRule type="expression" dxfId="66" priority="5">
      <formula>AND(B61&gt;0,OR(A61="",A61="Other: (Specify)"))</formula>
    </cfRule>
  </conditionalFormatting>
  <conditionalFormatting sqref="A69">
    <cfRule type="expression" dxfId="65" priority="4">
      <formula>AND(B69&gt;0,OR(A69="",A69="Other: (Specify)"))</formula>
    </cfRule>
  </conditionalFormatting>
  <conditionalFormatting sqref="A76">
    <cfRule type="expression" dxfId="64" priority="3">
      <formula>AND(B76&gt;0,OR(A76="",A76="Other: (Specify)"))</formula>
    </cfRule>
  </conditionalFormatting>
  <conditionalFormatting sqref="A93:A95">
    <cfRule type="expression" dxfId="63" priority="2">
      <formula>AND(B93&gt;0,OR(A93="",A93="Other: (Specify)"))</formula>
    </cfRule>
  </conditionalFormatting>
  <conditionalFormatting sqref="A103">
    <cfRule type="expression" dxfId="62" priority="1">
      <formula>AND(B103&gt;0,OR(A103="",A103="Other: (Specify)"))</formula>
    </cfRule>
  </conditionalFormatting>
  <conditionalFormatting sqref="C10">
    <cfRule type="expression" dxfId="61" priority="85">
      <formula>"(S10+T10)&gt;C10 "</formula>
    </cfRule>
  </conditionalFormatting>
  <conditionalFormatting sqref="E105:Q105">
    <cfRule type="cellIs" dxfId="60" priority="208" stopIfTrue="1" operator="notEqual">
      <formula>E$108</formula>
    </cfRule>
  </conditionalFormatting>
  <conditionalFormatting sqref="R4:R15">
    <cfRule type="cellIs" dxfId="59"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8"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7"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6"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5"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4"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3"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2"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1" priority="213" stopIfTrue="1" operator="notEqual">
      <formula>$B79</formula>
    </cfRule>
  </conditionalFormatting>
  <conditionalFormatting sqref="R83:R96">
    <cfRule type="cellIs" dxfId="50"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9"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8" priority="253" stopIfTrue="1">
      <formula>(S10+T10)&gt;C10</formula>
    </cfRule>
  </conditionalFormatting>
  <conditionalFormatting sqref="S13:S14">
    <cfRule type="expression" dxfId="47" priority="202" stopIfTrue="1">
      <formula>(S13+T13)&gt;C13</formula>
    </cfRule>
  </conditionalFormatting>
  <conditionalFormatting sqref="S17:S25">
    <cfRule type="expression" dxfId="46" priority="186" stopIfTrue="1">
      <formula>(S17+T17)&gt;C17</formula>
    </cfRule>
  </conditionalFormatting>
  <conditionalFormatting sqref="S27">
    <cfRule type="expression" dxfId="45" priority="179" stopIfTrue="1">
      <formula>(S27+T27)&gt;C27</formula>
    </cfRule>
  </conditionalFormatting>
  <conditionalFormatting sqref="S29:S37">
    <cfRule type="expression" dxfId="44" priority="169" stopIfTrue="1">
      <formula>(S29+T29)&gt;C29</formula>
    </cfRule>
  </conditionalFormatting>
  <conditionalFormatting sqref="S40:S41">
    <cfRule type="expression" dxfId="43" priority="160" stopIfTrue="1">
      <formula>(S40+T40)&gt;C40</formula>
    </cfRule>
  </conditionalFormatting>
  <conditionalFormatting sqref="S43">
    <cfRule type="expression" dxfId="42" priority="157" stopIfTrue="1">
      <formula>(S43+T43)&gt;C43</formula>
    </cfRule>
  </conditionalFormatting>
  <conditionalFormatting sqref="S45:S53">
    <cfRule type="expression" dxfId="41" priority="142" stopIfTrue="1">
      <formula>(S45+T45)&gt;C45</formula>
    </cfRule>
  </conditionalFormatting>
  <conditionalFormatting sqref="S65:S69">
    <cfRule type="expression" dxfId="40" priority="131" stopIfTrue="1">
      <formula>(S65+T65)&gt;C65</formula>
    </cfRule>
  </conditionalFormatting>
  <conditionalFormatting sqref="S79:S80">
    <cfRule type="expression" dxfId="39" priority="127" stopIfTrue="1">
      <formula>(S79+T79)&gt;C79</formula>
    </cfRule>
  </conditionalFormatting>
  <conditionalFormatting sqref="S84:S87">
    <cfRule type="expression" dxfId="38" priority="121" stopIfTrue="1">
      <formula>(S84+T84)&gt;C84</formula>
    </cfRule>
  </conditionalFormatting>
  <conditionalFormatting sqref="S89:S95">
    <cfRule type="expression" dxfId="37" priority="110" stopIfTrue="1">
      <formula>(S89+T89)&gt;C89</formula>
    </cfRule>
  </conditionalFormatting>
  <conditionalFormatting sqref="S99:S103">
    <cfRule type="expression" dxfId="36" priority="93" stopIfTrue="1">
      <formula>(S99+T99)&gt;C99</formula>
    </cfRule>
  </conditionalFormatting>
  <conditionalFormatting sqref="T9">
    <cfRule type="expression" dxfId="35" priority="254" stopIfTrue="1">
      <formula>T9&gt;C9</formula>
    </cfRule>
  </conditionalFormatting>
  <conditionalFormatting sqref="T10">
    <cfRule type="expression" dxfId="34" priority="83" stopIfTrue="1">
      <formula>(S10+T10)&gt;C10</formula>
    </cfRule>
  </conditionalFormatting>
  <conditionalFormatting sqref="T13:T14">
    <cfRule type="expression" dxfId="33" priority="80" stopIfTrue="1">
      <formula>(S13+T13)&gt;C13</formula>
    </cfRule>
  </conditionalFormatting>
  <conditionalFormatting sqref="T17:T25">
    <cfRule type="expression" dxfId="32" priority="56" stopIfTrue="1">
      <formula>(S17+T17)&gt;C17</formula>
    </cfRule>
  </conditionalFormatting>
  <conditionalFormatting sqref="T27">
    <cfRule type="expression" dxfId="31" priority="54" stopIfTrue="1">
      <formula>(S27+T27)&gt;C27</formula>
    </cfRule>
  </conditionalFormatting>
  <conditionalFormatting sqref="T29:T37">
    <cfRule type="expression" dxfId="30" priority="45" stopIfTrue="1">
      <formula>(S29+T29)&gt;C29</formula>
    </cfRule>
  </conditionalFormatting>
  <conditionalFormatting sqref="T40:T41">
    <cfRule type="expression" dxfId="29" priority="43" stopIfTrue="1">
      <formula>(S40+T40)&gt;C40</formula>
    </cfRule>
  </conditionalFormatting>
  <conditionalFormatting sqref="T43">
    <cfRule type="expression" dxfId="28" priority="42" stopIfTrue="1">
      <formula>(S43+T43)&gt;C43</formula>
    </cfRule>
  </conditionalFormatting>
  <conditionalFormatting sqref="T45:T53">
    <cfRule type="expression" dxfId="27" priority="32" stopIfTrue="1">
      <formula>(S45+T45)&gt;C45</formula>
    </cfRule>
  </conditionalFormatting>
  <conditionalFormatting sqref="T65:T69">
    <cfRule type="expression" dxfId="26" priority="30" stopIfTrue="1">
      <formula>(S65+T65)&gt;C65</formula>
    </cfRule>
  </conditionalFormatting>
  <conditionalFormatting sqref="T79:T80">
    <cfRule type="expression" dxfId="25" priority="28" stopIfTrue="1">
      <formula>(S79+T79)&gt;C79</formula>
    </cfRule>
  </conditionalFormatting>
  <conditionalFormatting sqref="T84:T87">
    <cfRule type="expression" dxfId="24" priority="24" stopIfTrue="1">
      <formula>(S84+T84)&gt;C84</formula>
    </cfRule>
  </conditionalFormatting>
  <conditionalFormatting sqref="T89:T95">
    <cfRule type="expression" dxfId="23" priority="17" stopIfTrue="1">
      <formula>(S89+T89)&gt;C89</formula>
    </cfRule>
  </conditionalFormatting>
  <conditionalFormatting sqref="T99:T103">
    <cfRule type="expression" dxfId="22"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topLeftCell="A43" zoomScale="90" zoomScaleNormal="90" workbookViewId="0">
      <selection activeCell="F93" sqref="F93"/>
    </sheetView>
  </sheetViews>
  <sheetFormatPr defaultColWidth="0" defaultRowHeight="12" zeroHeight="1"/>
  <cols>
    <col min="1" max="1" width="32.7109375" style="398" customWidth="1"/>
    <col min="2" max="3" width="12.140625" style="394" customWidth="1"/>
    <col min="4" max="6" width="12.85546875" style="394" customWidth="1"/>
    <col min="7" max="9" width="12.140625" style="394" customWidth="1"/>
    <col min="10" max="10" width="12.140625" style="395" customWidth="1"/>
    <col min="11" max="11" width="8.85546875" style="396" hidden="1" customWidth="1"/>
    <col min="12" max="21" width="8.85546875" style="394" hidden="1" customWidth="1"/>
    <col min="22" max="23" width="0" style="394" hidden="1"/>
    <col min="24" max="256" width="8.85546875" style="394" hidden="1"/>
    <col min="257" max="257" width="32.7109375" style="394" hidden="1" customWidth="1"/>
    <col min="258" max="259" width="12.140625" style="394" hidden="1" customWidth="1"/>
    <col min="260" max="260" width="12.85546875" style="394" hidden="1" customWidth="1"/>
    <col min="261" max="266" width="12.140625" style="394" hidden="1" customWidth="1"/>
    <col min="267" max="277" width="8.85546875" style="394" hidden="1" customWidth="1"/>
    <col min="278" max="512" width="8.85546875" style="394" hidden="1"/>
    <col min="513" max="513" width="32.7109375" style="394" hidden="1" customWidth="1"/>
    <col min="514" max="515" width="12.140625" style="394" hidden="1" customWidth="1"/>
    <col min="516" max="516" width="12.85546875" style="394" hidden="1" customWidth="1"/>
    <col min="517" max="522" width="12.140625" style="394" hidden="1" customWidth="1"/>
    <col min="523" max="533" width="8.85546875" style="394" hidden="1" customWidth="1"/>
    <col min="534" max="768" width="8.85546875" style="394" hidden="1"/>
    <col min="769" max="769" width="32.7109375" style="394" hidden="1" customWidth="1"/>
    <col min="770" max="771" width="12.140625" style="394" hidden="1" customWidth="1"/>
    <col min="772" max="772" width="12.85546875" style="394" hidden="1" customWidth="1"/>
    <col min="773" max="778" width="12.140625" style="394" hidden="1" customWidth="1"/>
    <col min="779" max="789" width="8.85546875" style="394" hidden="1" customWidth="1"/>
    <col min="790" max="1024" width="8.85546875" style="394" hidden="1"/>
    <col min="1025" max="1025" width="32.7109375" style="394" hidden="1" customWidth="1"/>
    <col min="1026" max="1027" width="12.140625" style="394" hidden="1" customWidth="1"/>
    <col min="1028" max="1028" width="12.85546875" style="394" hidden="1" customWidth="1"/>
    <col min="1029" max="1034" width="12.140625" style="394" hidden="1" customWidth="1"/>
    <col min="1035" max="1045" width="8.85546875" style="394" hidden="1" customWidth="1"/>
    <col min="1046" max="1280" width="8.85546875" style="394" hidden="1"/>
    <col min="1281" max="1281" width="32.7109375" style="394" hidden="1" customWidth="1"/>
    <col min="1282" max="1283" width="12.140625" style="394" hidden="1" customWidth="1"/>
    <col min="1284" max="1284" width="12.85546875" style="394" hidden="1" customWidth="1"/>
    <col min="1285" max="1290" width="12.140625" style="394" hidden="1" customWidth="1"/>
    <col min="1291" max="1301" width="8.85546875" style="394" hidden="1" customWidth="1"/>
    <col min="1302" max="1536" width="8.85546875" style="394" hidden="1"/>
    <col min="1537" max="1537" width="32.7109375" style="394" hidden="1" customWidth="1"/>
    <col min="1538" max="1539" width="12.140625" style="394" hidden="1" customWidth="1"/>
    <col min="1540" max="1540" width="12.85546875" style="394" hidden="1" customWidth="1"/>
    <col min="1541" max="1546" width="12.140625" style="394" hidden="1" customWidth="1"/>
    <col min="1547" max="1557" width="8.85546875" style="394" hidden="1" customWidth="1"/>
    <col min="1558" max="1792" width="8.85546875" style="394" hidden="1"/>
    <col min="1793" max="1793" width="32.7109375" style="394" hidden="1" customWidth="1"/>
    <col min="1794" max="1795" width="12.140625" style="394" hidden="1" customWidth="1"/>
    <col min="1796" max="1796" width="12.85546875" style="394" hidden="1" customWidth="1"/>
    <col min="1797" max="1802" width="12.140625" style="394" hidden="1" customWidth="1"/>
    <col min="1803" max="1813" width="8.85546875" style="394" hidden="1" customWidth="1"/>
    <col min="1814" max="2048" width="8.85546875" style="394" hidden="1"/>
    <col min="2049" max="2049" width="32.7109375" style="394" hidden="1" customWidth="1"/>
    <col min="2050" max="2051" width="12.140625" style="394" hidden="1" customWidth="1"/>
    <col min="2052" max="2052" width="12.85546875" style="394" hidden="1" customWidth="1"/>
    <col min="2053" max="2058" width="12.140625" style="394" hidden="1" customWidth="1"/>
    <col min="2059" max="2069" width="8.85546875" style="394" hidden="1" customWidth="1"/>
    <col min="2070" max="2304" width="8.85546875" style="394" hidden="1"/>
    <col min="2305" max="2305" width="32.7109375" style="394" hidden="1" customWidth="1"/>
    <col min="2306" max="2307" width="12.140625" style="394" hidden="1" customWidth="1"/>
    <col min="2308" max="2308" width="12.85546875" style="394" hidden="1" customWidth="1"/>
    <col min="2309" max="2314" width="12.140625" style="394" hidden="1" customWidth="1"/>
    <col min="2315" max="2325" width="8.85546875" style="394" hidden="1" customWidth="1"/>
    <col min="2326" max="2560" width="8.85546875" style="394" hidden="1"/>
    <col min="2561" max="2561" width="32.7109375" style="394" hidden="1" customWidth="1"/>
    <col min="2562" max="2563" width="12.140625" style="394" hidden="1" customWidth="1"/>
    <col min="2564" max="2564" width="12.85546875" style="394" hidden="1" customWidth="1"/>
    <col min="2565" max="2570" width="12.140625" style="394" hidden="1" customWidth="1"/>
    <col min="2571" max="2581" width="8.85546875" style="394" hidden="1" customWidth="1"/>
    <col min="2582" max="2816" width="8.85546875" style="394" hidden="1"/>
    <col min="2817" max="2817" width="32.7109375" style="394" hidden="1" customWidth="1"/>
    <col min="2818" max="2819" width="12.140625" style="394" hidden="1" customWidth="1"/>
    <col min="2820" max="2820" width="12.85546875" style="394" hidden="1" customWidth="1"/>
    <col min="2821" max="2826" width="12.140625" style="394" hidden="1" customWidth="1"/>
    <col min="2827" max="2837" width="8.85546875" style="394" hidden="1" customWidth="1"/>
    <col min="2838" max="3072" width="8.85546875" style="394" hidden="1"/>
    <col min="3073" max="3073" width="32.7109375" style="394" hidden="1" customWidth="1"/>
    <col min="3074" max="3075" width="12.140625" style="394" hidden="1" customWidth="1"/>
    <col min="3076" max="3076" width="12.85546875" style="394" hidden="1" customWidth="1"/>
    <col min="3077" max="3082" width="12.140625" style="394" hidden="1" customWidth="1"/>
    <col min="3083" max="3093" width="8.85546875" style="394" hidden="1" customWidth="1"/>
    <col min="3094" max="3328" width="8.85546875" style="394" hidden="1"/>
    <col min="3329" max="3329" width="32.7109375" style="394" hidden="1" customWidth="1"/>
    <col min="3330" max="3331" width="12.140625" style="394" hidden="1" customWidth="1"/>
    <col min="3332" max="3332" width="12.85546875" style="394" hidden="1" customWidth="1"/>
    <col min="3333" max="3338" width="12.140625" style="394" hidden="1" customWidth="1"/>
    <col min="3339" max="3349" width="8.85546875" style="394" hidden="1" customWidth="1"/>
    <col min="3350" max="3584" width="8.85546875" style="394" hidden="1"/>
    <col min="3585" max="3585" width="32.7109375" style="394" hidden="1" customWidth="1"/>
    <col min="3586" max="3587" width="12.140625" style="394" hidden="1" customWidth="1"/>
    <col min="3588" max="3588" width="12.85546875" style="394" hidden="1" customWidth="1"/>
    <col min="3589" max="3594" width="12.140625" style="394" hidden="1" customWidth="1"/>
    <col min="3595" max="3605" width="8.85546875" style="394" hidden="1" customWidth="1"/>
    <col min="3606" max="3840" width="8.85546875" style="394" hidden="1"/>
    <col min="3841" max="3841" width="32.7109375" style="394" hidden="1" customWidth="1"/>
    <col min="3842" max="3843" width="12.140625" style="394" hidden="1" customWidth="1"/>
    <col min="3844" max="3844" width="12.85546875" style="394" hidden="1" customWidth="1"/>
    <col min="3845" max="3850" width="12.140625" style="394" hidden="1" customWidth="1"/>
    <col min="3851" max="3861" width="8.85546875" style="394" hidden="1" customWidth="1"/>
    <col min="3862" max="4096" width="8.85546875" style="394" hidden="1"/>
    <col min="4097" max="4097" width="32.7109375" style="394" hidden="1" customWidth="1"/>
    <col min="4098" max="4099" width="12.140625" style="394" hidden="1" customWidth="1"/>
    <col min="4100" max="4100" width="12.85546875" style="394" hidden="1" customWidth="1"/>
    <col min="4101" max="4106" width="12.140625" style="394" hidden="1" customWidth="1"/>
    <col min="4107" max="4117" width="8.85546875" style="394" hidden="1" customWidth="1"/>
    <col min="4118" max="4352" width="8.85546875" style="394" hidden="1"/>
    <col min="4353" max="4353" width="32.7109375" style="394" hidden="1" customWidth="1"/>
    <col min="4354" max="4355" width="12.140625" style="394" hidden="1" customWidth="1"/>
    <col min="4356" max="4356" width="12.85546875" style="394" hidden="1" customWidth="1"/>
    <col min="4357" max="4362" width="12.140625" style="394" hidden="1" customWidth="1"/>
    <col min="4363" max="4373" width="8.85546875" style="394" hidden="1" customWidth="1"/>
    <col min="4374" max="4608" width="8.85546875" style="394" hidden="1"/>
    <col min="4609" max="4609" width="32.7109375" style="394" hidden="1" customWidth="1"/>
    <col min="4610" max="4611" width="12.140625" style="394" hidden="1" customWidth="1"/>
    <col min="4612" max="4612" width="12.85546875" style="394" hidden="1" customWidth="1"/>
    <col min="4613" max="4618" width="12.140625" style="394" hidden="1" customWidth="1"/>
    <col min="4619" max="4629" width="8.85546875" style="394" hidden="1" customWidth="1"/>
    <col min="4630" max="4864" width="8.85546875" style="394" hidden="1"/>
    <col min="4865" max="4865" width="32.7109375" style="394" hidden="1" customWidth="1"/>
    <col min="4866" max="4867" width="12.140625" style="394" hidden="1" customWidth="1"/>
    <col min="4868" max="4868" width="12.85546875" style="394" hidden="1" customWidth="1"/>
    <col min="4869" max="4874" width="12.140625" style="394" hidden="1" customWidth="1"/>
    <col min="4875" max="4885" width="8.85546875" style="394" hidden="1" customWidth="1"/>
    <col min="4886" max="5120" width="8.85546875" style="394" hidden="1"/>
    <col min="5121" max="5121" width="32.7109375" style="394" hidden="1" customWidth="1"/>
    <col min="5122" max="5123" width="12.140625" style="394" hidden="1" customWidth="1"/>
    <col min="5124" max="5124" width="12.85546875" style="394" hidden="1" customWidth="1"/>
    <col min="5125" max="5130" width="12.140625" style="394" hidden="1" customWidth="1"/>
    <col min="5131" max="5141" width="8.85546875" style="394" hidden="1" customWidth="1"/>
    <col min="5142" max="5376" width="8.85546875" style="394" hidden="1"/>
    <col min="5377" max="5377" width="32.7109375" style="394" hidden="1" customWidth="1"/>
    <col min="5378" max="5379" width="12.140625" style="394" hidden="1" customWidth="1"/>
    <col min="5380" max="5380" width="12.85546875" style="394" hidden="1" customWidth="1"/>
    <col min="5381" max="5386" width="12.140625" style="394" hidden="1" customWidth="1"/>
    <col min="5387" max="5397" width="8.85546875" style="394" hidden="1" customWidth="1"/>
    <col min="5398" max="5632" width="8.85546875" style="394" hidden="1"/>
    <col min="5633" max="5633" width="32.7109375" style="394" hidden="1" customWidth="1"/>
    <col min="5634" max="5635" width="12.140625" style="394" hidden="1" customWidth="1"/>
    <col min="5636" max="5636" width="12.85546875" style="394" hidden="1" customWidth="1"/>
    <col min="5637" max="5642" width="12.140625" style="394" hidden="1" customWidth="1"/>
    <col min="5643" max="5653" width="8.85546875" style="394" hidden="1" customWidth="1"/>
    <col min="5654" max="5888" width="8.85546875" style="394" hidden="1"/>
    <col min="5889" max="5889" width="32.7109375" style="394" hidden="1" customWidth="1"/>
    <col min="5890" max="5891" width="12.140625" style="394" hidden="1" customWidth="1"/>
    <col min="5892" max="5892" width="12.85546875" style="394" hidden="1" customWidth="1"/>
    <col min="5893" max="5898" width="12.140625" style="394" hidden="1" customWidth="1"/>
    <col min="5899" max="5909" width="8.85546875" style="394" hidden="1" customWidth="1"/>
    <col min="5910" max="6144" width="8.85546875" style="394" hidden="1"/>
    <col min="6145" max="6145" width="32.7109375" style="394" hidden="1" customWidth="1"/>
    <col min="6146" max="6147" width="12.140625" style="394" hidden="1" customWidth="1"/>
    <col min="6148" max="6148" width="12.85546875" style="394" hidden="1" customWidth="1"/>
    <col min="6149" max="6154" width="12.140625" style="394" hidden="1" customWidth="1"/>
    <col min="6155" max="6165" width="8.85546875" style="394" hidden="1" customWidth="1"/>
    <col min="6166" max="6400" width="8.85546875" style="394" hidden="1"/>
    <col min="6401" max="6401" width="32.7109375" style="394" hidden="1" customWidth="1"/>
    <col min="6402" max="6403" width="12.140625" style="394" hidden="1" customWidth="1"/>
    <col min="6404" max="6404" width="12.85546875" style="394" hidden="1" customWidth="1"/>
    <col min="6405" max="6410" width="12.140625" style="394" hidden="1" customWidth="1"/>
    <col min="6411" max="6421" width="8.85546875" style="394" hidden="1" customWidth="1"/>
    <col min="6422" max="6656" width="8.85546875" style="394" hidden="1"/>
    <col min="6657" max="6657" width="32.7109375" style="394" hidden="1" customWidth="1"/>
    <col min="6658" max="6659" width="12.140625" style="394" hidden="1" customWidth="1"/>
    <col min="6660" max="6660" width="12.85546875" style="394" hidden="1" customWidth="1"/>
    <col min="6661" max="6666" width="12.140625" style="394" hidden="1" customWidth="1"/>
    <col min="6667" max="6677" width="8.85546875" style="394" hidden="1" customWidth="1"/>
    <col min="6678" max="6912" width="8.85546875" style="394" hidden="1"/>
    <col min="6913" max="6913" width="32.7109375" style="394" hidden="1" customWidth="1"/>
    <col min="6914" max="6915" width="12.140625" style="394" hidden="1" customWidth="1"/>
    <col min="6916" max="6916" width="12.85546875" style="394" hidden="1" customWidth="1"/>
    <col min="6917" max="6922" width="12.140625" style="394" hidden="1" customWidth="1"/>
    <col min="6923" max="6933" width="8.85546875" style="394" hidden="1" customWidth="1"/>
    <col min="6934" max="7168" width="8.85546875" style="394" hidden="1"/>
    <col min="7169" max="7169" width="32.7109375" style="394" hidden="1" customWidth="1"/>
    <col min="7170" max="7171" width="12.140625" style="394" hidden="1" customWidth="1"/>
    <col min="7172" max="7172" width="12.85546875" style="394" hidden="1" customWidth="1"/>
    <col min="7173" max="7178" width="12.140625" style="394" hidden="1" customWidth="1"/>
    <col min="7179" max="7189" width="8.85546875" style="394" hidden="1" customWidth="1"/>
    <col min="7190" max="7424" width="8.85546875" style="394" hidden="1"/>
    <col min="7425" max="7425" width="32.7109375" style="394" hidden="1" customWidth="1"/>
    <col min="7426" max="7427" width="12.140625" style="394" hidden="1" customWidth="1"/>
    <col min="7428" max="7428" width="12.85546875" style="394" hidden="1" customWidth="1"/>
    <col min="7429" max="7434" width="12.140625" style="394" hidden="1" customWidth="1"/>
    <col min="7435" max="7445" width="8.85546875" style="394" hidden="1" customWidth="1"/>
    <col min="7446" max="7680" width="8.85546875" style="394" hidden="1"/>
    <col min="7681" max="7681" width="32.7109375" style="394" hidden="1" customWidth="1"/>
    <col min="7682" max="7683" width="12.140625" style="394" hidden="1" customWidth="1"/>
    <col min="7684" max="7684" width="12.85546875" style="394" hidden="1" customWidth="1"/>
    <col min="7685" max="7690" width="12.140625" style="394" hidden="1" customWidth="1"/>
    <col min="7691" max="7701" width="8.85546875" style="394" hidden="1" customWidth="1"/>
    <col min="7702" max="7936" width="8.85546875" style="394" hidden="1"/>
    <col min="7937" max="7937" width="32.7109375" style="394" hidden="1" customWidth="1"/>
    <col min="7938" max="7939" width="12.140625" style="394" hidden="1" customWidth="1"/>
    <col min="7940" max="7940" width="12.85546875" style="394" hidden="1" customWidth="1"/>
    <col min="7941" max="7946" width="12.140625" style="394" hidden="1" customWidth="1"/>
    <col min="7947" max="7957" width="8.85546875" style="394" hidden="1" customWidth="1"/>
    <col min="7958" max="8192" width="8.85546875" style="394" hidden="1"/>
    <col min="8193" max="8193" width="32.7109375" style="394" hidden="1" customWidth="1"/>
    <col min="8194" max="8195" width="12.140625" style="394" hidden="1" customWidth="1"/>
    <col min="8196" max="8196" width="12.85546875" style="394" hidden="1" customWidth="1"/>
    <col min="8197" max="8202" width="12.140625" style="394" hidden="1" customWidth="1"/>
    <col min="8203" max="8213" width="8.85546875" style="394" hidden="1" customWidth="1"/>
    <col min="8214" max="8448" width="8.85546875" style="394" hidden="1"/>
    <col min="8449" max="8449" width="32.7109375" style="394" hidden="1" customWidth="1"/>
    <col min="8450" max="8451" width="12.140625" style="394" hidden="1" customWidth="1"/>
    <col min="8452" max="8452" width="12.85546875" style="394" hidden="1" customWidth="1"/>
    <col min="8453" max="8458" width="12.140625" style="394" hidden="1" customWidth="1"/>
    <col min="8459" max="8469" width="8.85546875" style="394" hidden="1" customWidth="1"/>
    <col min="8470" max="8704" width="8.85546875" style="394" hidden="1"/>
    <col min="8705" max="8705" width="32.7109375" style="394" hidden="1" customWidth="1"/>
    <col min="8706" max="8707" width="12.140625" style="394" hidden="1" customWidth="1"/>
    <col min="8708" max="8708" width="12.85546875" style="394" hidden="1" customWidth="1"/>
    <col min="8709" max="8714" width="12.140625" style="394" hidden="1" customWidth="1"/>
    <col min="8715" max="8725" width="8.85546875" style="394" hidden="1" customWidth="1"/>
    <col min="8726" max="8960" width="8.85546875" style="394" hidden="1"/>
    <col min="8961" max="8961" width="32.7109375" style="394" hidden="1" customWidth="1"/>
    <col min="8962" max="8963" width="12.140625" style="394" hidden="1" customWidth="1"/>
    <col min="8964" max="8964" width="12.85546875" style="394" hidden="1" customWidth="1"/>
    <col min="8965" max="8970" width="12.140625" style="394" hidden="1" customWidth="1"/>
    <col min="8971" max="8981" width="8.85546875" style="394" hidden="1" customWidth="1"/>
    <col min="8982" max="9216" width="8.85546875" style="394" hidden="1"/>
    <col min="9217" max="9217" width="32.7109375" style="394" hidden="1" customWidth="1"/>
    <col min="9218" max="9219" width="12.140625" style="394" hidden="1" customWidth="1"/>
    <col min="9220" max="9220" width="12.85546875" style="394" hidden="1" customWidth="1"/>
    <col min="9221" max="9226" width="12.140625" style="394" hidden="1" customWidth="1"/>
    <col min="9227" max="9237" width="8.85546875" style="394" hidden="1" customWidth="1"/>
    <col min="9238" max="9472" width="8.85546875" style="394" hidden="1"/>
    <col min="9473" max="9473" width="32.7109375" style="394" hidden="1" customWidth="1"/>
    <col min="9474" max="9475" width="12.140625" style="394" hidden="1" customWidth="1"/>
    <col min="9476" max="9476" width="12.85546875" style="394" hidden="1" customWidth="1"/>
    <col min="9477" max="9482" width="12.140625" style="394" hidden="1" customWidth="1"/>
    <col min="9483" max="9493" width="8.85546875" style="394" hidden="1" customWidth="1"/>
    <col min="9494" max="9728" width="8.85546875" style="394" hidden="1"/>
    <col min="9729" max="9729" width="32.7109375" style="394" hidden="1" customWidth="1"/>
    <col min="9730" max="9731" width="12.140625" style="394" hidden="1" customWidth="1"/>
    <col min="9732" max="9732" width="12.85546875" style="394" hidden="1" customWidth="1"/>
    <col min="9733" max="9738" width="12.140625" style="394" hidden="1" customWidth="1"/>
    <col min="9739" max="9749" width="8.85546875" style="394" hidden="1" customWidth="1"/>
    <col min="9750" max="9984" width="8.85546875" style="394" hidden="1"/>
    <col min="9985" max="9985" width="32.7109375" style="394" hidden="1" customWidth="1"/>
    <col min="9986" max="9987" width="12.140625" style="394" hidden="1" customWidth="1"/>
    <col min="9988" max="9988" width="12.85546875" style="394" hidden="1" customWidth="1"/>
    <col min="9989" max="9994" width="12.140625" style="394" hidden="1" customWidth="1"/>
    <col min="9995" max="10005" width="8.85546875" style="394" hidden="1" customWidth="1"/>
    <col min="10006" max="10240" width="8.85546875" style="394" hidden="1"/>
    <col min="10241" max="10241" width="32.7109375" style="394" hidden="1" customWidth="1"/>
    <col min="10242" max="10243" width="12.140625" style="394" hidden="1" customWidth="1"/>
    <col min="10244" max="10244" width="12.85546875" style="394" hidden="1" customWidth="1"/>
    <col min="10245" max="10250" width="12.140625" style="394" hidden="1" customWidth="1"/>
    <col min="10251" max="10261" width="8.85546875" style="394" hidden="1" customWidth="1"/>
    <col min="10262" max="10496" width="8.85546875" style="394" hidden="1"/>
    <col min="10497" max="10497" width="32.7109375" style="394" hidden="1" customWidth="1"/>
    <col min="10498" max="10499" width="12.140625" style="394" hidden="1" customWidth="1"/>
    <col min="10500" max="10500" width="12.85546875" style="394" hidden="1" customWidth="1"/>
    <col min="10501" max="10506" width="12.140625" style="394" hidden="1" customWidth="1"/>
    <col min="10507" max="10517" width="8.85546875" style="394" hidden="1" customWidth="1"/>
    <col min="10518" max="10752" width="8.85546875" style="394" hidden="1"/>
    <col min="10753" max="10753" width="32.7109375" style="394" hidden="1" customWidth="1"/>
    <col min="10754" max="10755" width="12.140625" style="394" hidden="1" customWidth="1"/>
    <col min="10756" max="10756" width="12.85546875" style="394" hidden="1" customWidth="1"/>
    <col min="10757" max="10762" width="12.140625" style="394" hidden="1" customWidth="1"/>
    <col min="10763" max="10773" width="8.85546875" style="394" hidden="1" customWidth="1"/>
    <col min="10774" max="11008" width="8.85546875" style="394" hidden="1"/>
    <col min="11009" max="11009" width="32.7109375" style="394" hidden="1" customWidth="1"/>
    <col min="11010" max="11011" width="12.140625" style="394" hidden="1" customWidth="1"/>
    <col min="11012" max="11012" width="12.85546875" style="394" hidden="1" customWidth="1"/>
    <col min="11013" max="11018" width="12.140625" style="394" hidden="1" customWidth="1"/>
    <col min="11019" max="11029" width="8.85546875" style="394" hidden="1" customWidth="1"/>
    <col min="11030" max="11264" width="8.85546875" style="394" hidden="1"/>
    <col min="11265" max="11265" width="32.7109375" style="394" hidden="1" customWidth="1"/>
    <col min="11266" max="11267" width="12.140625" style="394" hidden="1" customWidth="1"/>
    <col min="11268" max="11268" width="12.85546875" style="394" hidden="1" customWidth="1"/>
    <col min="11269" max="11274" width="12.140625" style="394" hidden="1" customWidth="1"/>
    <col min="11275" max="11285" width="8.85546875" style="394" hidden="1" customWidth="1"/>
    <col min="11286" max="11520" width="8.85546875" style="394" hidden="1"/>
    <col min="11521" max="11521" width="32.7109375" style="394" hidden="1" customWidth="1"/>
    <col min="11522" max="11523" width="12.140625" style="394" hidden="1" customWidth="1"/>
    <col min="11524" max="11524" width="12.85546875" style="394" hidden="1" customWidth="1"/>
    <col min="11525" max="11530" width="12.140625" style="394" hidden="1" customWidth="1"/>
    <col min="11531" max="11541" width="8.85546875" style="394" hidden="1" customWidth="1"/>
    <col min="11542" max="11776" width="8.85546875" style="394" hidden="1"/>
    <col min="11777" max="11777" width="32.7109375" style="394" hidden="1" customWidth="1"/>
    <col min="11778" max="11779" width="12.140625" style="394" hidden="1" customWidth="1"/>
    <col min="11780" max="11780" width="12.85546875" style="394" hidden="1" customWidth="1"/>
    <col min="11781" max="11786" width="12.140625" style="394" hidden="1" customWidth="1"/>
    <col min="11787" max="11797" width="8.85546875" style="394" hidden="1" customWidth="1"/>
    <col min="11798" max="12032" width="8.85546875" style="394" hidden="1"/>
    <col min="12033" max="12033" width="32.7109375" style="394" hidden="1" customWidth="1"/>
    <col min="12034" max="12035" width="12.140625" style="394" hidden="1" customWidth="1"/>
    <col min="12036" max="12036" width="12.85546875" style="394" hidden="1" customWidth="1"/>
    <col min="12037" max="12042" width="12.140625" style="394" hidden="1" customWidth="1"/>
    <col min="12043" max="12053" width="8.85546875" style="394" hidden="1" customWidth="1"/>
    <col min="12054" max="12288" width="8.85546875" style="394" hidden="1"/>
    <col min="12289" max="12289" width="32.7109375" style="394" hidden="1" customWidth="1"/>
    <col min="12290" max="12291" width="12.140625" style="394" hidden="1" customWidth="1"/>
    <col min="12292" max="12292" width="12.85546875" style="394" hidden="1" customWidth="1"/>
    <col min="12293" max="12298" width="12.140625" style="394" hidden="1" customWidth="1"/>
    <col min="12299" max="12309" width="8.85546875" style="394" hidden="1" customWidth="1"/>
    <col min="12310" max="12544" width="8.85546875" style="394" hidden="1"/>
    <col min="12545" max="12545" width="32.7109375" style="394" hidden="1" customWidth="1"/>
    <col min="12546" max="12547" width="12.140625" style="394" hidden="1" customWidth="1"/>
    <col min="12548" max="12548" width="12.85546875" style="394" hidden="1" customWidth="1"/>
    <col min="12549" max="12554" width="12.140625" style="394" hidden="1" customWidth="1"/>
    <col min="12555" max="12565" width="8.85546875" style="394" hidden="1" customWidth="1"/>
    <col min="12566" max="12800" width="8.85546875" style="394" hidden="1"/>
    <col min="12801" max="12801" width="32.7109375" style="394" hidden="1" customWidth="1"/>
    <col min="12802" max="12803" width="12.140625" style="394" hidden="1" customWidth="1"/>
    <col min="12804" max="12804" width="12.85546875" style="394" hidden="1" customWidth="1"/>
    <col min="12805" max="12810" width="12.140625" style="394" hidden="1" customWidth="1"/>
    <col min="12811" max="12821" width="8.85546875" style="394" hidden="1" customWidth="1"/>
    <col min="12822" max="13056" width="8.85546875" style="394" hidden="1"/>
    <col min="13057" max="13057" width="32.7109375" style="394" hidden="1" customWidth="1"/>
    <col min="13058" max="13059" width="12.140625" style="394" hidden="1" customWidth="1"/>
    <col min="13060" max="13060" width="12.85546875" style="394" hidden="1" customWidth="1"/>
    <col min="13061" max="13066" width="12.140625" style="394" hidden="1" customWidth="1"/>
    <col min="13067" max="13077" width="8.85546875" style="394" hidden="1" customWidth="1"/>
    <col min="13078" max="13312" width="8.85546875" style="394" hidden="1"/>
    <col min="13313" max="13313" width="32.7109375" style="394" hidden="1" customWidth="1"/>
    <col min="13314" max="13315" width="12.140625" style="394" hidden="1" customWidth="1"/>
    <col min="13316" max="13316" width="12.85546875" style="394" hidden="1" customWidth="1"/>
    <col min="13317" max="13322" width="12.140625" style="394" hidden="1" customWidth="1"/>
    <col min="13323" max="13333" width="8.85546875" style="394" hidden="1" customWidth="1"/>
    <col min="13334" max="13568" width="8.85546875" style="394" hidden="1"/>
    <col min="13569" max="13569" width="32.7109375" style="394" hidden="1" customWidth="1"/>
    <col min="13570" max="13571" width="12.140625" style="394" hidden="1" customWidth="1"/>
    <col min="13572" max="13572" width="12.85546875" style="394" hidden="1" customWidth="1"/>
    <col min="13573" max="13578" width="12.140625" style="394" hidden="1" customWidth="1"/>
    <col min="13579" max="13589" width="8.85546875" style="394" hidden="1" customWidth="1"/>
    <col min="13590" max="13824" width="8.85546875" style="394" hidden="1"/>
    <col min="13825" max="13825" width="32.7109375" style="394" hidden="1" customWidth="1"/>
    <col min="13826" max="13827" width="12.140625" style="394" hidden="1" customWidth="1"/>
    <col min="13828" max="13828" width="12.85546875" style="394" hidden="1" customWidth="1"/>
    <col min="13829" max="13834" width="12.140625" style="394" hidden="1" customWidth="1"/>
    <col min="13835" max="13845" width="8.85546875" style="394" hidden="1" customWidth="1"/>
    <col min="13846" max="14080" width="8.85546875" style="394" hidden="1"/>
    <col min="14081" max="14081" width="32.7109375" style="394" hidden="1" customWidth="1"/>
    <col min="14082" max="14083" width="12.140625" style="394" hidden="1" customWidth="1"/>
    <col min="14084" max="14084" width="12.85546875" style="394" hidden="1" customWidth="1"/>
    <col min="14085" max="14090" width="12.140625" style="394" hidden="1" customWidth="1"/>
    <col min="14091" max="14101" width="8.85546875" style="394" hidden="1" customWidth="1"/>
    <col min="14102" max="14336" width="8.85546875" style="394" hidden="1"/>
    <col min="14337" max="14337" width="32.7109375" style="394" hidden="1" customWidth="1"/>
    <col min="14338" max="14339" width="12.140625" style="394" hidden="1" customWidth="1"/>
    <col min="14340" max="14340" width="12.85546875" style="394" hidden="1" customWidth="1"/>
    <col min="14341" max="14346" width="12.140625" style="394" hidden="1" customWidth="1"/>
    <col min="14347" max="14357" width="8.85546875" style="394" hidden="1" customWidth="1"/>
    <col min="14358" max="14592" width="8.85546875" style="394" hidden="1"/>
    <col min="14593" max="14593" width="32.7109375" style="394" hidden="1" customWidth="1"/>
    <col min="14594" max="14595" width="12.140625" style="394" hidden="1" customWidth="1"/>
    <col min="14596" max="14596" width="12.85546875" style="394" hidden="1" customWidth="1"/>
    <col min="14597" max="14602" width="12.140625" style="394" hidden="1" customWidth="1"/>
    <col min="14603" max="14613" width="8.85546875" style="394" hidden="1" customWidth="1"/>
    <col min="14614" max="14848" width="8.85546875" style="394" hidden="1"/>
    <col min="14849" max="14849" width="32.7109375" style="394" hidden="1" customWidth="1"/>
    <col min="14850" max="14851" width="12.140625" style="394" hidden="1" customWidth="1"/>
    <col min="14852" max="14852" width="12.85546875" style="394" hidden="1" customWidth="1"/>
    <col min="14853" max="14858" width="12.140625" style="394" hidden="1" customWidth="1"/>
    <col min="14859" max="14869" width="8.85546875" style="394" hidden="1" customWidth="1"/>
    <col min="14870" max="15104" width="8.85546875" style="394" hidden="1"/>
    <col min="15105" max="15105" width="32.7109375" style="394" hidden="1" customWidth="1"/>
    <col min="15106" max="15107" width="12.140625" style="394" hidden="1" customWidth="1"/>
    <col min="15108" max="15108" width="12.85546875" style="394" hidden="1" customWidth="1"/>
    <col min="15109" max="15114" width="12.140625" style="394" hidden="1" customWidth="1"/>
    <col min="15115" max="15125" width="8.85546875" style="394" hidden="1" customWidth="1"/>
    <col min="15126" max="15360" width="8.85546875" style="394" hidden="1"/>
    <col min="15361" max="15361" width="32.7109375" style="394" hidden="1" customWidth="1"/>
    <col min="15362" max="15363" width="12.140625" style="394" hidden="1" customWidth="1"/>
    <col min="15364" max="15364" width="12.85546875" style="394" hidden="1" customWidth="1"/>
    <col min="15365" max="15370" width="12.140625" style="394" hidden="1" customWidth="1"/>
    <col min="15371" max="15381" width="8.85546875" style="394" hidden="1" customWidth="1"/>
    <col min="15382" max="15616" width="8.85546875" style="394" hidden="1"/>
    <col min="15617" max="15617" width="32.7109375" style="394" hidden="1" customWidth="1"/>
    <col min="15618" max="15619" width="12.140625" style="394" hidden="1" customWidth="1"/>
    <col min="15620" max="15620" width="12.85546875" style="394" hidden="1" customWidth="1"/>
    <col min="15621" max="15626" width="12.140625" style="394" hidden="1" customWidth="1"/>
    <col min="15627" max="15637" width="8.85546875" style="394" hidden="1" customWidth="1"/>
    <col min="15638" max="15872" width="8.85546875" style="394" hidden="1"/>
    <col min="15873" max="15873" width="32.7109375" style="394" hidden="1" customWidth="1"/>
    <col min="15874" max="15875" width="12.140625" style="394" hidden="1" customWidth="1"/>
    <col min="15876" max="15876" width="12.85546875" style="394" hidden="1" customWidth="1"/>
    <col min="15877" max="15882" width="12.140625" style="394" hidden="1" customWidth="1"/>
    <col min="15883" max="15893" width="8.85546875" style="394" hidden="1" customWidth="1"/>
    <col min="15894" max="16128" width="8.85546875" style="394" hidden="1"/>
    <col min="16129" max="16129" width="32.7109375" style="394" hidden="1" customWidth="1"/>
    <col min="16130" max="16131" width="12.140625" style="394" hidden="1" customWidth="1"/>
    <col min="16132" max="16132" width="12.85546875" style="394" hidden="1" customWidth="1"/>
    <col min="16133" max="16138" width="12.140625" style="394" hidden="1" customWidth="1"/>
    <col min="16139" max="16149" width="8.85546875" style="394" hidden="1" customWidth="1"/>
    <col min="16150" max="16384" width="8.85546875" style="394" hidden="1"/>
  </cols>
  <sheetData>
    <row r="1" spans="1:11" s="357" customFormat="1" ht="12.75">
      <c r="A1" s="1873" t="s">
        <v>1226</v>
      </c>
      <c r="B1" s="1874"/>
      <c r="C1" s="1874"/>
      <c r="D1" s="1874"/>
      <c r="E1" s="1874"/>
      <c r="F1" s="1874"/>
      <c r="G1" s="1874"/>
      <c r="H1" s="1874"/>
      <c r="I1" s="1874"/>
      <c r="J1" s="1875"/>
      <c r="K1" s="356"/>
    </row>
    <row r="2" spans="1:11" s="402" customFormat="1" ht="72">
      <c r="A2" s="399"/>
      <c r="B2" s="400" t="s">
        <v>1026</v>
      </c>
      <c r="C2" s="400" t="s">
        <v>1228</v>
      </c>
      <c r="D2" s="400" t="s">
        <v>1229</v>
      </c>
      <c r="E2" s="400" t="s">
        <v>1157</v>
      </c>
      <c r="F2" s="400" t="s">
        <v>1230</v>
      </c>
      <c r="G2" s="400" t="s">
        <v>1231</v>
      </c>
      <c r="H2" s="400" t="s">
        <v>1027</v>
      </c>
      <c r="I2" s="400" t="s">
        <v>1232</v>
      </c>
      <c r="J2" s="400" t="s">
        <v>1233</v>
      </c>
      <c r="K2" s="401"/>
    </row>
    <row r="3" spans="1:11" s="361" customFormat="1">
      <c r="A3" s="358" t="s">
        <v>26</v>
      </c>
      <c r="B3" s="359"/>
      <c r="C3" s="359"/>
      <c r="D3" s="359"/>
      <c r="E3" s="359"/>
      <c r="F3" s="359"/>
      <c r="G3" s="359"/>
      <c r="H3" s="359"/>
      <c r="I3" s="359"/>
      <c r="J3" s="359"/>
      <c r="K3" s="360"/>
    </row>
    <row r="4" spans="1:11" s="361" customFormat="1">
      <c r="A4" s="365" t="s">
        <v>27</v>
      </c>
      <c r="B4" s="362">
        <f>'Sources and Uses Budget'!C4</f>
        <v>7750000</v>
      </c>
      <c r="C4" s="363"/>
      <c r="D4" s="363"/>
      <c r="E4" s="364"/>
      <c r="F4" s="364"/>
      <c r="G4" s="364"/>
      <c r="H4" s="364"/>
      <c r="I4" s="364"/>
      <c r="J4" s="364"/>
      <c r="K4" s="360"/>
    </row>
    <row r="5" spans="1:11" s="361" customFormat="1">
      <c r="A5" s="365" t="s">
        <v>28</v>
      </c>
      <c r="B5" s="362">
        <f>'Sources and Uses Budget'!C5</f>
        <v>0</v>
      </c>
      <c r="C5" s="363"/>
      <c r="D5" s="363"/>
      <c r="E5" s="364"/>
      <c r="F5" s="364"/>
      <c r="G5" s="364"/>
      <c r="H5" s="364"/>
      <c r="I5" s="364"/>
      <c r="J5" s="364"/>
      <c r="K5" s="360"/>
    </row>
    <row r="6" spans="1:11" s="361" customFormat="1">
      <c r="A6" s="365" t="s">
        <v>29</v>
      </c>
      <c r="B6" s="362">
        <f>'Sources and Uses Budget'!C6</f>
        <v>100000</v>
      </c>
      <c r="C6" s="363"/>
      <c r="D6" s="363"/>
      <c r="E6" s="364"/>
      <c r="F6" s="364"/>
      <c r="G6" s="364"/>
      <c r="H6" s="364"/>
      <c r="I6" s="364"/>
      <c r="J6" s="364"/>
      <c r="K6" s="360"/>
    </row>
    <row r="7" spans="1:11" s="361" customFormat="1">
      <c r="A7" s="365" t="s">
        <v>97</v>
      </c>
      <c r="B7" s="362">
        <f>'Sources and Uses Budget'!C7</f>
        <v>0</v>
      </c>
      <c r="C7" s="363"/>
      <c r="D7" s="363"/>
      <c r="E7" s="364"/>
      <c r="F7" s="364"/>
      <c r="G7" s="364"/>
      <c r="H7" s="364"/>
      <c r="I7" s="364"/>
      <c r="J7" s="364"/>
      <c r="K7" s="360"/>
    </row>
    <row r="8" spans="1:11" s="361" customFormat="1">
      <c r="A8" s="366" t="s">
        <v>593</v>
      </c>
      <c r="B8" s="362">
        <f>'Sources and Uses Budget'!C8</f>
        <v>7850000</v>
      </c>
      <c r="C8" s="362">
        <f>SUM(C4:C7)</f>
        <v>0</v>
      </c>
      <c r="D8" s="362">
        <f>SUM(D4:D7)</f>
        <v>0</v>
      </c>
      <c r="E8" s="364"/>
      <c r="F8" s="364"/>
      <c r="G8" s="364"/>
      <c r="H8" s="364"/>
      <c r="I8" s="364"/>
      <c r="J8" s="364"/>
      <c r="K8" s="360"/>
    </row>
    <row r="9" spans="1:11" s="361" customFormat="1">
      <c r="A9" s="365" t="s">
        <v>594</v>
      </c>
      <c r="B9" s="362">
        <f>'Sources and Uses Budget'!C9</f>
        <v>0</v>
      </c>
      <c r="C9" s="363"/>
      <c r="D9" s="363"/>
      <c r="E9" s="364"/>
      <c r="F9" s="364"/>
      <c r="G9" s="364"/>
      <c r="H9" s="362">
        <f>'Sources and Uses Budget'!T9</f>
        <v>0</v>
      </c>
      <c r="I9" s="363"/>
      <c r="J9" s="363"/>
      <c r="K9" s="360"/>
    </row>
    <row r="10" spans="1:11" s="361" customFormat="1">
      <c r="A10" s="365" t="s">
        <v>595</v>
      </c>
      <c r="B10" s="362">
        <f>'Sources and Uses Budget'!C10</f>
        <v>0</v>
      </c>
      <c r="C10" s="363"/>
      <c r="D10" s="363"/>
      <c r="E10" s="362">
        <f>'Sources and Uses Budget'!S10</f>
        <v>0</v>
      </c>
      <c r="F10" s="363"/>
      <c r="G10" s="363"/>
      <c r="H10" s="362">
        <f>'Sources and Uses Budget'!T10</f>
        <v>0</v>
      </c>
      <c r="I10" s="363"/>
      <c r="J10" s="363"/>
      <c r="K10" s="360"/>
    </row>
    <row r="11" spans="1:11" s="361" customFormat="1">
      <c r="A11" s="366" t="s">
        <v>596</v>
      </c>
      <c r="B11" s="362">
        <f>'Sources and Uses Budget'!C11</f>
        <v>0</v>
      </c>
      <c r="C11" s="362">
        <f>SUM(C9:C10)</f>
        <v>0</v>
      </c>
      <c r="D11" s="362">
        <f>SUM(D9:D10)</f>
        <v>0</v>
      </c>
      <c r="E11" s="364"/>
      <c r="F11" s="364"/>
      <c r="G11" s="364"/>
      <c r="H11" s="362">
        <f>'Sources and Uses Budget'!T11</f>
        <v>0</v>
      </c>
      <c r="I11" s="362">
        <f>SUM(I9:I10)</f>
        <v>0</v>
      </c>
      <c r="J11" s="362">
        <f>SUM(J9:J10)</f>
        <v>0</v>
      </c>
      <c r="K11" s="360"/>
    </row>
    <row r="12" spans="1:11" s="361" customFormat="1">
      <c r="A12" s="366" t="s">
        <v>84</v>
      </c>
      <c r="B12" s="362">
        <f>'Sources and Uses Budget'!C12</f>
        <v>7850000</v>
      </c>
      <c r="C12" s="362">
        <f>SUM(C8+C11)</f>
        <v>0</v>
      </c>
      <c r="D12" s="362">
        <f>SUM(D8+D11)</f>
        <v>0</v>
      </c>
      <c r="E12" s="364"/>
      <c r="F12" s="364"/>
      <c r="G12" s="364"/>
      <c r="H12" s="364"/>
      <c r="I12" s="364"/>
      <c r="J12" s="364"/>
      <c r="K12" s="360"/>
    </row>
    <row r="13" spans="1:11" s="361" customFormat="1">
      <c r="A13" s="367" t="s">
        <v>902</v>
      </c>
      <c r="B13" s="362">
        <f>'Sources and Uses Budget'!C13</f>
        <v>0</v>
      </c>
      <c r="C13" s="363"/>
      <c r="D13" s="363"/>
      <c r="E13" s="362">
        <f>'Sources and Uses Budget'!S13</f>
        <v>0</v>
      </c>
      <c r="F13" s="363"/>
      <c r="G13" s="363"/>
      <c r="H13" s="362">
        <f>'Sources and Uses Budget'!T13</f>
        <v>0</v>
      </c>
      <c r="I13" s="363"/>
      <c r="J13" s="363"/>
      <c r="K13" s="360"/>
    </row>
    <row r="14" spans="1:11" s="361" customFormat="1" ht="24">
      <c r="A14" s="365" t="s">
        <v>903</v>
      </c>
      <c r="B14" s="362">
        <f>'Sources and Uses Budget'!C14</f>
        <v>0</v>
      </c>
      <c r="C14" s="363"/>
      <c r="D14" s="363"/>
      <c r="E14" s="362">
        <f>'Sources and Uses Budget'!S14</f>
        <v>0</v>
      </c>
      <c r="F14" s="363"/>
      <c r="G14" s="363"/>
      <c r="H14" s="362">
        <f>'Sources and Uses Budget'!T14</f>
        <v>0</v>
      </c>
      <c r="I14" s="363"/>
      <c r="J14" s="363"/>
      <c r="K14" s="360"/>
    </row>
    <row r="15" spans="1:11" s="361" customFormat="1">
      <c r="A15" s="365" t="s">
        <v>1160</v>
      </c>
      <c r="B15" s="362">
        <f>'Sources and Uses Budget'!C15</f>
        <v>0</v>
      </c>
      <c r="C15" s="363"/>
      <c r="D15" s="363"/>
      <c r="E15" s="364">
        <f>'Sources and Uses Budget'!S15</f>
        <v>0</v>
      </c>
      <c r="F15" s="364"/>
      <c r="G15" s="364"/>
      <c r="H15" s="364">
        <f>'Sources and Uses Budget'!T15</f>
        <v>0</v>
      </c>
      <c r="I15" s="364"/>
      <c r="J15" s="364"/>
      <c r="K15" s="360"/>
    </row>
    <row r="16" spans="1:11" s="361" customFormat="1">
      <c r="A16" s="358" t="s">
        <v>597</v>
      </c>
      <c r="B16" s="359"/>
      <c r="C16" s="359"/>
      <c r="D16" s="359"/>
      <c r="E16" s="359"/>
      <c r="F16" s="359"/>
      <c r="G16" s="359"/>
      <c r="H16" s="359"/>
      <c r="I16" s="359"/>
      <c r="J16" s="359"/>
      <c r="K16" s="360"/>
    </row>
    <row r="17" spans="1:11" s="361" customFormat="1">
      <c r="A17" s="365" t="s">
        <v>598</v>
      </c>
      <c r="B17" s="362">
        <f>'Sources and Uses Budget'!C17</f>
        <v>0</v>
      </c>
      <c r="C17" s="363"/>
      <c r="D17" s="363"/>
      <c r="E17" s="362">
        <f>'Sources and Uses Budget'!S17</f>
        <v>0</v>
      </c>
      <c r="F17" s="363"/>
      <c r="G17" s="363"/>
      <c r="H17" s="362">
        <f>'Sources and Uses Budget'!T17</f>
        <v>0</v>
      </c>
      <c r="I17" s="363"/>
      <c r="J17" s="363"/>
      <c r="K17" s="360"/>
    </row>
    <row r="18" spans="1:11" s="361" customFormat="1">
      <c r="A18" s="365" t="s">
        <v>599</v>
      </c>
      <c r="B18" s="362">
        <f>'Sources and Uses Budget'!C18</f>
        <v>0</v>
      </c>
      <c r="C18" s="363"/>
      <c r="D18" s="363"/>
      <c r="E18" s="362">
        <f>'Sources and Uses Budget'!S18</f>
        <v>0</v>
      </c>
      <c r="F18" s="363"/>
      <c r="G18" s="363"/>
      <c r="H18" s="362">
        <f>'Sources and Uses Budget'!T18</f>
        <v>0</v>
      </c>
      <c r="I18" s="363"/>
      <c r="J18" s="363"/>
      <c r="K18" s="360"/>
    </row>
    <row r="19" spans="1:11" s="361" customFormat="1">
      <c r="A19" s="365" t="s">
        <v>600</v>
      </c>
      <c r="B19" s="362">
        <f>'Sources and Uses Budget'!C19</f>
        <v>0</v>
      </c>
      <c r="C19" s="363"/>
      <c r="D19" s="363"/>
      <c r="E19" s="362">
        <f>'Sources and Uses Budget'!S19</f>
        <v>0</v>
      </c>
      <c r="F19" s="363"/>
      <c r="G19" s="363"/>
      <c r="H19" s="362">
        <f>'Sources and Uses Budget'!T19</f>
        <v>0</v>
      </c>
      <c r="I19" s="363"/>
      <c r="J19" s="363"/>
      <c r="K19" s="360"/>
    </row>
    <row r="20" spans="1:11" s="361" customFormat="1">
      <c r="A20" s="365" t="s">
        <v>137</v>
      </c>
      <c r="B20" s="362">
        <f>'Sources and Uses Budget'!C20</f>
        <v>0</v>
      </c>
      <c r="C20" s="363"/>
      <c r="D20" s="363"/>
      <c r="E20" s="362">
        <f>'Sources and Uses Budget'!S20</f>
        <v>0</v>
      </c>
      <c r="F20" s="363"/>
      <c r="G20" s="363"/>
      <c r="H20" s="362">
        <f>'Sources and Uses Budget'!T20</f>
        <v>0</v>
      </c>
      <c r="I20" s="363"/>
      <c r="J20" s="363"/>
      <c r="K20" s="360"/>
    </row>
    <row r="21" spans="1:11" s="361" customFormat="1">
      <c r="A21" s="365" t="s">
        <v>138</v>
      </c>
      <c r="B21" s="362">
        <f>'Sources and Uses Budget'!C21</f>
        <v>0</v>
      </c>
      <c r="C21" s="363"/>
      <c r="D21" s="363"/>
      <c r="E21" s="362">
        <f>'Sources and Uses Budget'!S21</f>
        <v>0</v>
      </c>
      <c r="F21" s="363"/>
      <c r="G21" s="363"/>
      <c r="H21" s="362">
        <f>'Sources and Uses Budget'!T21</f>
        <v>0</v>
      </c>
      <c r="I21" s="363"/>
      <c r="J21" s="363"/>
      <c r="K21" s="360"/>
    </row>
    <row r="22" spans="1:11" s="361" customFormat="1">
      <c r="A22" s="365" t="s">
        <v>139</v>
      </c>
      <c r="B22" s="362">
        <f>'Sources and Uses Budget'!C22</f>
        <v>0</v>
      </c>
      <c r="C22" s="363"/>
      <c r="D22" s="363"/>
      <c r="E22" s="362">
        <f>'Sources and Uses Budget'!S22</f>
        <v>0</v>
      </c>
      <c r="F22" s="363"/>
      <c r="G22" s="363"/>
      <c r="H22" s="362">
        <f>'Sources and Uses Budget'!T22</f>
        <v>0</v>
      </c>
      <c r="I22" s="363"/>
      <c r="J22" s="363"/>
      <c r="K22" s="360"/>
    </row>
    <row r="23" spans="1:11" s="361" customFormat="1">
      <c r="A23" s="365" t="s">
        <v>140</v>
      </c>
      <c r="B23" s="362">
        <f>'Sources and Uses Budget'!C23</f>
        <v>0</v>
      </c>
      <c r="C23" s="363"/>
      <c r="D23" s="363"/>
      <c r="E23" s="362">
        <f>'Sources and Uses Budget'!S23</f>
        <v>0</v>
      </c>
      <c r="F23" s="363"/>
      <c r="G23" s="363"/>
      <c r="H23" s="362">
        <f>'Sources and Uses Budget'!T23</f>
        <v>0</v>
      </c>
      <c r="I23" s="363"/>
      <c r="J23" s="363"/>
      <c r="K23" s="360"/>
    </row>
    <row r="24" spans="1:11" s="361" customFormat="1">
      <c r="A24" s="509" t="s">
        <v>1639</v>
      </c>
      <c r="B24" s="362">
        <f>'Sources and Uses Budget'!C24</f>
        <v>0</v>
      </c>
      <c r="C24" s="363"/>
      <c r="D24" s="363"/>
      <c r="E24" s="362">
        <f>'Sources and Uses Budget'!S24</f>
        <v>0</v>
      </c>
      <c r="F24" s="363"/>
      <c r="G24" s="363"/>
      <c r="H24" s="362">
        <f>'Sources and Uses Budget'!T24</f>
        <v>0</v>
      </c>
      <c r="I24" s="363"/>
      <c r="J24" s="363"/>
      <c r="K24" s="360"/>
    </row>
    <row r="25" spans="1:11" s="361" customFormat="1">
      <c r="A25" s="365">
        <f>'Sources and Uses Budget'!$A25</f>
        <v>0</v>
      </c>
      <c r="B25" s="362">
        <f>'Sources and Uses Budget'!C25</f>
        <v>0</v>
      </c>
      <c r="C25" s="363"/>
      <c r="D25" s="363"/>
      <c r="E25" s="362">
        <f>'Sources and Uses Budget'!S25</f>
        <v>0</v>
      </c>
      <c r="F25" s="363"/>
      <c r="G25" s="363"/>
      <c r="H25" s="362">
        <f>'Sources and Uses Budget'!T25</f>
        <v>0</v>
      </c>
      <c r="I25" s="363"/>
      <c r="J25" s="363"/>
      <c r="K25" s="360"/>
    </row>
    <row r="26" spans="1:11" s="361" customFormat="1">
      <c r="A26" s="366" t="s">
        <v>133</v>
      </c>
      <c r="B26" s="362">
        <f>'Sources and Uses Budget'!C26</f>
        <v>0</v>
      </c>
      <c r="C26" s="362">
        <f>SUM(C17:C25)</f>
        <v>0</v>
      </c>
      <c r="D26" s="362">
        <f>SUM(D17:D25)</f>
        <v>0</v>
      </c>
      <c r="E26" s="362">
        <f>'Sources and Uses Budget'!S26</f>
        <v>0</v>
      </c>
      <c r="F26" s="368">
        <f>SUM(F17:F25)</f>
        <v>0</v>
      </c>
      <c r="G26" s="368">
        <f>SUM(G17:G25)</f>
        <v>0</v>
      </c>
      <c r="H26" s="362">
        <f>'Sources and Uses Budget'!T26</f>
        <v>0</v>
      </c>
      <c r="I26" s="368">
        <f>SUM(I17:I25)</f>
        <v>0</v>
      </c>
      <c r="J26" s="368">
        <f>SUM(J17:J25)</f>
        <v>0</v>
      </c>
      <c r="K26" s="360"/>
    </row>
    <row r="27" spans="1:11" s="361" customFormat="1">
      <c r="A27" s="366" t="s">
        <v>141</v>
      </c>
      <c r="B27" s="362">
        <f>'Sources and Uses Budget'!C27</f>
        <v>0</v>
      </c>
      <c r="C27" s="363"/>
      <c r="D27" s="363"/>
      <c r="E27" s="362">
        <f>'Sources and Uses Budget'!S27</f>
        <v>0</v>
      </c>
      <c r="F27" s="363"/>
      <c r="G27" s="363"/>
      <c r="H27" s="362">
        <f>'Sources and Uses Budget'!T27</f>
        <v>0</v>
      </c>
      <c r="I27" s="363"/>
      <c r="J27" s="363"/>
      <c r="K27" s="360"/>
    </row>
    <row r="28" spans="1:11" s="361" customFormat="1">
      <c r="A28" s="358" t="s">
        <v>142</v>
      </c>
      <c r="B28" s="359"/>
      <c r="C28" s="359"/>
      <c r="D28" s="359"/>
      <c r="E28" s="359"/>
      <c r="F28" s="359"/>
      <c r="G28" s="359"/>
      <c r="H28" s="359"/>
      <c r="I28" s="359"/>
      <c r="J28" s="359"/>
      <c r="K28" s="360"/>
    </row>
    <row r="29" spans="1:11" s="361" customFormat="1">
      <c r="A29" s="145" t="s">
        <v>598</v>
      </c>
      <c r="B29" s="362">
        <f>'Sources and Uses Budget'!C29</f>
        <v>970502</v>
      </c>
      <c r="C29" s="363"/>
      <c r="D29" s="363"/>
      <c r="E29" s="362">
        <f>'Sources and Uses Budget'!S29</f>
        <v>970502</v>
      </c>
      <c r="F29" s="363"/>
      <c r="G29" s="363"/>
      <c r="H29" s="362">
        <f>'Sources and Uses Budget'!T29</f>
        <v>0</v>
      </c>
      <c r="I29" s="363"/>
      <c r="J29" s="363"/>
      <c r="K29" s="360"/>
    </row>
    <row r="30" spans="1:11" s="361" customFormat="1">
      <c r="A30" s="145" t="s">
        <v>599</v>
      </c>
      <c r="B30" s="362">
        <f>'Sources and Uses Budget'!C30</f>
        <v>39790599</v>
      </c>
      <c r="C30" s="363"/>
      <c r="D30" s="363"/>
      <c r="E30" s="362">
        <f>'Sources and Uses Budget'!S30</f>
        <v>39790599</v>
      </c>
      <c r="F30" s="363"/>
      <c r="G30" s="363"/>
      <c r="H30" s="362">
        <f>'Sources and Uses Budget'!T30</f>
        <v>0</v>
      </c>
      <c r="I30" s="363"/>
      <c r="J30" s="363"/>
      <c r="K30" s="360"/>
    </row>
    <row r="31" spans="1:11" s="361" customFormat="1">
      <c r="A31" s="145" t="s">
        <v>600</v>
      </c>
      <c r="B31" s="362">
        <f>'Sources and Uses Budget'!C31</f>
        <v>2329206</v>
      </c>
      <c r="C31" s="363"/>
      <c r="D31" s="363"/>
      <c r="E31" s="362">
        <f>'Sources and Uses Budget'!S31</f>
        <v>2329206</v>
      </c>
      <c r="F31" s="363"/>
      <c r="G31" s="363"/>
      <c r="H31" s="362">
        <f>'Sources and Uses Budget'!T31</f>
        <v>0</v>
      </c>
      <c r="I31" s="363"/>
      <c r="J31" s="363"/>
      <c r="K31" s="360"/>
    </row>
    <row r="32" spans="1:11" s="361" customFormat="1">
      <c r="A32" s="145" t="s">
        <v>137</v>
      </c>
      <c r="B32" s="362">
        <f>'Sources and Uses Budget'!C32</f>
        <v>776402</v>
      </c>
      <c r="C32" s="363"/>
      <c r="D32" s="363"/>
      <c r="E32" s="362">
        <f>'Sources and Uses Budget'!S32</f>
        <v>776402</v>
      </c>
      <c r="F32" s="363"/>
      <c r="G32" s="363"/>
      <c r="H32" s="362">
        <f>'Sources and Uses Budget'!T32</f>
        <v>0</v>
      </c>
      <c r="I32" s="363"/>
      <c r="J32" s="363"/>
      <c r="K32" s="360"/>
    </row>
    <row r="33" spans="1:11" s="361" customFormat="1">
      <c r="A33" s="145" t="s">
        <v>138</v>
      </c>
      <c r="B33" s="362">
        <f>'Sources and Uses Budget'!C33</f>
        <v>2329206</v>
      </c>
      <c r="C33" s="363"/>
      <c r="D33" s="363"/>
      <c r="E33" s="362">
        <f>'Sources and Uses Budget'!S33</f>
        <v>2329206</v>
      </c>
      <c r="F33" s="363"/>
      <c r="G33" s="363"/>
      <c r="H33" s="362">
        <f>'Sources and Uses Budget'!T33</f>
        <v>0</v>
      </c>
      <c r="I33" s="363"/>
      <c r="J33" s="363"/>
      <c r="K33" s="360"/>
    </row>
    <row r="34" spans="1:11" s="361" customFormat="1">
      <c r="A34" s="145" t="s">
        <v>139</v>
      </c>
      <c r="B34" s="362">
        <f>'Sources and Uses Budget'!C34</f>
        <v>0</v>
      </c>
      <c r="C34" s="363"/>
      <c r="D34" s="363"/>
      <c r="E34" s="362">
        <f>'Sources and Uses Budget'!S34</f>
        <v>0</v>
      </c>
      <c r="F34" s="363"/>
      <c r="G34" s="363"/>
      <c r="H34" s="362">
        <f>'Sources and Uses Budget'!T34</f>
        <v>0</v>
      </c>
      <c r="I34" s="363"/>
      <c r="J34" s="363"/>
      <c r="K34" s="360"/>
    </row>
    <row r="35" spans="1:11" s="361" customFormat="1">
      <c r="A35" s="145" t="s">
        <v>140</v>
      </c>
      <c r="B35" s="362">
        <f>'Sources and Uses Budget'!C35</f>
        <v>776402</v>
      </c>
      <c r="C35" s="363"/>
      <c r="D35" s="363"/>
      <c r="E35" s="362">
        <f>'Sources and Uses Budget'!S35</f>
        <v>776402</v>
      </c>
      <c r="F35" s="363"/>
      <c r="G35" s="363"/>
      <c r="H35" s="362">
        <f>'Sources and Uses Budget'!T35</f>
        <v>0</v>
      </c>
      <c r="I35" s="363"/>
      <c r="J35" s="363"/>
      <c r="K35" s="360"/>
    </row>
    <row r="36" spans="1:11" s="361" customFormat="1">
      <c r="A36" s="509" t="s">
        <v>1639</v>
      </c>
      <c r="B36" s="362">
        <f>'Sources and Uses Budget'!C36</f>
        <v>0</v>
      </c>
      <c r="C36" s="363"/>
      <c r="D36" s="363"/>
      <c r="E36" s="362">
        <f>'Sources and Uses Budget'!S36</f>
        <v>0</v>
      </c>
      <c r="F36" s="363"/>
      <c r="G36" s="363"/>
      <c r="H36" s="362">
        <f>'Sources and Uses Budget'!T36</f>
        <v>0</v>
      </c>
      <c r="I36" s="363"/>
      <c r="J36" s="363"/>
      <c r="K36" s="360"/>
    </row>
    <row r="37" spans="1:11" s="361" customFormat="1">
      <c r="A37" s="365" t="str">
        <f>'Sources and Uses Budget'!$A37</f>
        <v>Other: (Specify)</v>
      </c>
      <c r="B37" s="362">
        <f>'Sources and Uses Budget'!C37</f>
        <v>0</v>
      </c>
      <c r="C37" s="363"/>
      <c r="D37" s="363"/>
      <c r="E37" s="362">
        <f>'Sources and Uses Budget'!S37</f>
        <v>0</v>
      </c>
      <c r="F37" s="363"/>
      <c r="G37" s="363"/>
      <c r="H37" s="362">
        <f>'Sources and Uses Budget'!T37</f>
        <v>0</v>
      </c>
      <c r="I37" s="363"/>
      <c r="J37" s="363"/>
      <c r="K37" s="360"/>
    </row>
    <row r="38" spans="1:11" s="361" customFormat="1">
      <c r="A38" s="366" t="s">
        <v>143</v>
      </c>
      <c r="B38" s="362">
        <f>'Sources and Uses Budget'!C38</f>
        <v>46972317</v>
      </c>
      <c r="C38" s="362">
        <f>SUM(C29:C37)</f>
        <v>0</v>
      </c>
      <c r="D38" s="362">
        <f>SUM(D29:D37)</f>
        <v>0</v>
      </c>
      <c r="E38" s="362">
        <f>'Sources and Uses Budget'!S38</f>
        <v>46972317</v>
      </c>
      <c r="F38" s="368">
        <f>SUM(F29:F37)</f>
        <v>0</v>
      </c>
      <c r="G38" s="368">
        <f>SUM(G29:G37)</f>
        <v>0</v>
      </c>
      <c r="H38" s="362">
        <f>'Sources and Uses Budget'!T38</f>
        <v>0</v>
      </c>
      <c r="I38" s="368">
        <f>SUM(I29:I37)</f>
        <v>0</v>
      </c>
      <c r="J38" s="368">
        <f>SUM(J29:J37)</f>
        <v>0</v>
      </c>
      <c r="K38" s="360"/>
    </row>
    <row r="39" spans="1:11" s="361" customFormat="1">
      <c r="A39" s="358" t="s">
        <v>144</v>
      </c>
      <c r="B39" s="359"/>
      <c r="C39" s="359"/>
      <c r="D39" s="359"/>
      <c r="E39" s="359"/>
      <c r="F39" s="359"/>
      <c r="G39" s="359"/>
      <c r="H39" s="359"/>
      <c r="I39" s="359"/>
      <c r="J39" s="359"/>
      <c r="K39" s="360"/>
    </row>
    <row r="40" spans="1:11" s="361" customFormat="1">
      <c r="A40" s="365" t="s">
        <v>145</v>
      </c>
      <c r="B40" s="362">
        <f>'Sources and Uses Budget'!C40</f>
        <v>5397894</v>
      </c>
      <c r="C40" s="363"/>
      <c r="D40" s="363"/>
      <c r="E40" s="362">
        <f>'Sources and Uses Budget'!S40</f>
        <v>4694306</v>
      </c>
      <c r="F40" s="363"/>
      <c r="G40" s="363"/>
      <c r="H40" s="362">
        <f>'Sources and Uses Budget'!T40</f>
        <v>0</v>
      </c>
      <c r="I40" s="363"/>
      <c r="J40" s="363"/>
      <c r="K40" s="360"/>
    </row>
    <row r="41" spans="1:11" s="361" customFormat="1">
      <c r="A41" s="365" t="s">
        <v>146</v>
      </c>
      <c r="B41" s="362">
        <f>'Sources and Uses Budget'!C41</f>
        <v>0</v>
      </c>
      <c r="C41" s="363"/>
      <c r="D41" s="363"/>
      <c r="E41" s="362">
        <f>'Sources and Uses Budget'!S41</f>
        <v>0</v>
      </c>
      <c r="F41" s="363"/>
      <c r="G41" s="363"/>
      <c r="H41" s="362">
        <f>'Sources and Uses Budget'!T41</f>
        <v>0</v>
      </c>
      <c r="I41" s="363"/>
      <c r="J41" s="363"/>
      <c r="K41" s="360"/>
    </row>
    <row r="42" spans="1:11" s="361" customFormat="1">
      <c r="A42" s="366" t="s">
        <v>147</v>
      </c>
      <c r="B42" s="362">
        <f>'Sources and Uses Budget'!C42</f>
        <v>5397894</v>
      </c>
      <c r="C42" s="362">
        <f>SUM(C39:C41)</f>
        <v>0</v>
      </c>
      <c r="D42" s="362">
        <f>SUM(D39:D41)</f>
        <v>0</v>
      </c>
      <c r="E42" s="362">
        <f>'Sources and Uses Budget'!S42</f>
        <v>4694306</v>
      </c>
      <c r="F42" s="368">
        <f>SUM(F40:F41)</f>
        <v>0</v>
      </c>
      <c r="G42" s="368">
        <f>SUM(G40:G41)</f>
        <v>0</v>
      </c>
      <c r="H42" s="362">
        <f>'Sources and Uses Budget'!T42</f>
        <v>0</v>
      </c>
      <c r="I42" s="368">
        <f>SUM(I40:I41)</f>
        <v>0</v>
      </c>
      <c r="J42" s="368">
        <f>SUM(J40:J41)</f>
        <v>0</v>
      </c>
      <c r="K42" s="360"/>
    </row>
    <row r="43" spans="1:11" s="361" customFormat="1">
      <c r="A43" s="366" t="s">
        <v>148</v>
      </c>
      <c r="B43" s="362">
        <f>'Sources and Uses Budget'!C43</f>
        <v>0</v>
      </c>
      <c r="C43" s="363"/>
      <c r="D43" s="363"/>
      <c r="E43" s="362">
        <f>'Sources and Uses Budget'!S43</f>
        <v>0</v>
      </c>
      <c r="F43" s="363"/>
      <c r="G43" s="363"/>
      <c r="H43" s="362">
        <f>'Sources and Uses Budget'!T43</f>
        <v>0</v>
      </c>
      <c r="I43" s="363"/>
      <c r="J43" s="363"/>
      <c r="K43" s="360"/>
    </row>
    <row r="44" spans="1:11" s="361" customFormat="1">
      <c r="A44" s="358" t="s">
        <v>149</v>
      </c>
      <c r="B44" s="359"/>
      <c r="C44" s="359"/>
      <c r="D44" s="359"/>
      <c r="E44" s="359"/>
      <c r="F44" s="359"/>
      <c r="G44" s="359"/>
      <c r="H44" s="359"/>
      <c r="I44" s="359"/>
      <c r="J44" s="359"/>
      <c r="K44" s="360"/>
    </row>
    <row r="45" spans="1:11" s="361" customFormat="1">
      <c r="A45" s="365" t="s">
        <v>150</v>
      </c>
      <c r="B45" s="362">
        <f>'Sources and Uses Budget'!C45</f>
        <v>6955593</v>
      </c>
      <c r="C45" s="363"/>
      <c r="D45" s="363"/>
      <c r="E45" s="362">
        <f>'Sources and Uses Budget'!S45</f>
        <v>5100768</v>
      </c>
      <c r="F45" s="363"/>
      <c r="G45" s="363"/>
      <c r="H45" s="362">
        <f>'Sources and Uses Budget'!T45</f>
        <v>0</v>
      </c>
      <c r="I45" s="363"/>
      <c r="J45" s="363"/>
      <c r="K45" s="360"/>
    </row>
    <row r="46" spans="1:11" s="361" customFormat="1">
      <c r="A46" s="365" t="s">
        <v>151</v>
      </c>
      <c r="B46" s="362">
        <f>'Sources and Uses Budget'!C46</f>
        <v>636751</v>
      </c>
      <c r="C46" s="363"/>
      <c r="D46" s="363"/>
      <c r="E46" s="362">
        <f>'Sources and Uses Budget'!S46</f>
        <v>0</v>
      </c>
      <c r="F46" s="363"/>
      <c r="G46" s="363"/>
      <c r="H46" s="362">
        <f>'Sources and Uses Budget'!T46</f>
        <v>0</v>
      </c>
      <c r="I46" s="363"/>
      <c r="J46" s="363"/>
      <c r="K46" s="360"/>
    </row>
    <row r="47" spans="1:11" s="361" customFormat="1" ht="12" customHeight="1">
      <c r="A47" s="365" t="s">
        <v>152</v>
      </c>
      <c r="B47" s="362">
        <f>'Sources and Uses Budget'!C47</f>
        <v>40000</v>
      </c>
      <c r="C47" s="363"/>
      <c r="D47" s="363"/>
      <c r="E47" s="362">
        <f>'Sources and Uses Budget'!S47</f>
        <v>30000</v>
      </c>
      <c r="F47" s="363"/>
      <c r="G47" s="363"/>
      <c r="H47" s="362">
        <f>'Sources and Uses Budget'!T47</f>
        <v>0</v>
      </c>
      <c r="I47" s="363"/>
      <c r="J47" s="363"/>
      <c r="K47" s="360"/>
    </row>
    <row r="48" spans="1:11" s="361" customFormat="1">
      <c r="A48" s="365" t="s">
        <v>153</v>
      </c>
      <c r="B48" s="362">
        <f>'Sources and Uses Budget'!C48</f>
        <v>106125</v>
      </c>
      <c r="C48" s="363"/>
      <c r="D48" s="363"/>
      <c r="E48" s="362">
        <f>'Sources and Uses Budget'!S48</f>
        <v>106125</v>
      </c>
      <c r="F48" s="363"/>
      <c r="G48" s="363"/>
      <c r="H48" s="362">
        <f>'Sources and Uses Budget'!T48</f>
        <v>0</v>
      </c>
      <c r="I48" s="363"/>
      <c r="J48" s="363"/>
      <c r="K48" s="360"/>
    </row>
    <row r="49" spans="1:11" s="361" customFormat="1">
      <c r="A49" s="284" t="s">
        <v>57</v>
      </c>
      <c r="B49" s="362">
        <f>'Sources and Uses Budget'!C49</f>
        <v>106125</v>
      </c>
      <c r="C49" s="363"/>
      <c r="D49" s="363"/>
      <c r="E49" s="362">
        <f>'Sources and Uses Budget'!S49</f>
        <v>106125</v>
      </c>
      <c r="F49" s="363"/>
      <c r="G49" s="363"/>
      <c r="H49" s="362">
        <f>'Sources and Uses Budget'!T49</f>
        <v>0</v>
      </c>
      <c r="I49" s="363"/>
      <c r="J49" s="363"/>
      <c r="K49" s="360"/>
    </row>
    <row r="50" spans="1:11" s="361" customFormat="1">
      <c r="A50" s="365" t="s">
        <v>156</v>
      </c>
      <c r="B50" s="362">
        <f>'Sources and Uses Budget'!C50</f>
        <v>0</v>
      </c>
      <c r="C50" s="363"/>
      <c r="D50" s="363"/>
      <c r="E50" s="362">
        <f>'Sources and Uses Budget'!S50</f>
        <v>0</v>
      </c>
      <c r="F50" s="363"/>
      <c r="G50" s="363"/>
      <c r="H50" s="362">
        <f>'Sources and Uses Budget'!T50</f>
        <v>0</v>
      </c>
      <c r="I50" s="363"/>
      <c r="J50" s="363"/>
      <c r="K50" s="360"/>
    </row>
    <row r="51" spans="1:11" s="361" customFormat="1">
      <c r="A51" s="365" t="s">
        <v>154</v>
      </c>
      <c r="B51" s="362">
        <f>'Sources and Uses Budget'!C51</f>
        <v>0</v>
      </c>
      <c r="C51" s="363"/>
      <c r="D51" s="363"/>
      <c r="E51" s="362">
        <f>'Sources and Uses Budget'!S51</f>
        <v>0</v>
      </c>
      <c r="F51" s="363"/>
      <c r="G51" s="363"/>
      <c r="H51" s="362">
        <f>'Sources and Uses Budget'!T51</f>
        <v>0</v>
      </c>
      <c r="I51" s="363"/>
      <c r="J51" s="363"/>
      <c r="K51" s="360"/>
    </row>
    <row r="52" spans="1:11" s="361" customFormat="1">
      <c r="A52" s="365" t="s">
        <v>155</v>
      </c>
      <c r="B52" s="362">
        <f>'Sources and Uses Budget'!C52</f>
        <v>0</v>
      </c>
      <c r="C52" s="363"/>
      <c r="D52" s="363"/>
      <c r="E52" s="362">
        <f>'Sources and Uses Budget'!S52</f>
        <v>0</v>
      </c>
      <c r="F52" s="363"/>
      <c r="G52" s="363"/>
      <c r="H52" s="362">
        <f>'Sources and Uses Budget'!T52</f>
        <v>0</v>
      </c>
      <c r="I52" s="363"/>
      <c r="J52" s="363"/>
      <c r="K52" s="360"/>
    </row>
    <row r="53" spans="1:11" s="361" customFormat="1" ht="36">
      <c r="A53" s="365" t="str">
        <f>'Sources and Uses Budget'!$A53</f>
        <v>Other: Bond Underwriting, Trustee, Rating, Monitoring Fee, Cost of Issuance Contingency</v>
      </c>
      <c r="B53" s="362">
        <f>'Sources and Uses Budget'!C53</f>
        <v>649121</v>
      </c>
      <c r="C53" s="363"/>
      <c r="D53" s="363"/>
      <c r="E53" s="362">
        <f>'Sources and Uses Budget'!S53</f>
        <v>0</v>
      </c>
      <c r="F53" s="363"/>
      <c r="G53" s="363"/>
      <c r="H53" s="362">
        <f>'Sources and Uses Budget'!T53</f>
        <v>0</v>
      </c>
      <c r="I53" s="363"/>
      <c r="J53" s="363"/>
      <c r="K53" s="360"/>
    </row>
    <row r="54" spans="1:11" s="370" customFormat="1">
      <c r="A54" s="366" t="s">
        <v>157</v>
      </c>
      <c r="B54" s="362">
        <f>'Sources and Uses Budget'!C54</f>
        <v>8493715</v>
      </c>
      <c r="C54" s="368">
        <f>SUM(C45:C53)</f>
        <v>0</v>
      </c>
      <c r="D54" s="368">
        <f>SUM(D45:D53)</f>
        <v>0</v>
      </c>
      <c r="E54" s="362">
        <f>'Sources and Uses Budget'!S54</f>
        <v>5343018</v>
      </c>
      <c r="F54" s="368">
        <f>SUM(F45:F53)</f>
        <v>0</v>
      </c>
      <c r="G54" s="368">
        <f>SUM(G45:G53)</f>
        <v>0</v>
      </c>
      <c r="H54" s="362">
        <f>'Sources and Uses Budget'!T54</f>
        <v>0</v>
      </c>
      <c r="I54" s="368">
        <f>SUM(I45:I53)</f>
        <v>0</v>
      </c>
      <c r="J54" s="368">
        <f>SUM(J45:J53)</f>
        <v>0</v>
      </c>
      <c r="K54" s="369"/>
    </row>
    <row r="55" spans="1:11" s="361" customFormat="1">
      <c r="A55" s="358" t="s">
        <v>417</v>
      </c>
      <c r="B55" s="359"/>
      <c r="C55" s="359"/>
      <c r="D55" s="359"/>
      <c r="E55" s="359"/>
      <c r="F55" s="359"/>
      <c r="G55" s="359"/>
      <c r="H55" s="359"/>
      <c r="I55" s="359"/>
      <c r="J55" s="359"/>
      <c r="K55" s="360"/>
    </row>
    <row r="56" spans="1:11" s="361" customFormat="1">
      <c r="A56" s="365" t="s">
        <v>158</v>
      </c>
      <c r="B56" s="362">
        <f>'Sources and Uses Budget'!C56</f>
        <v>0</v>
      </c>
      <c r="C56" s="363"/>
      <c r="D56" s="363"/>
      <c r="E56" s="364"/>
      <c r="F56" s="364"/>
      <c r="G56" s="364"/>
      <c r="H56" s="364"/>
      <c r="I56" s="364"/>
      <c r="J56" s="364"/>
      <c r="K56" s="360"/>
    </row>
    <row r="57" spans="1:11" s="361" customFormat="1" ht="12" customHeight="1">
      <c r="A57" s="365" t="s">
        <v>152</v>
      </c>
      <c r="B57" s="362">
        <f>'Sources and Uses Budget'!C57</f>
        <v>0</v>
      </c>
      <c r="C57" s="363"/>
      <c r="D57" s="363"/>
      <c r="E57" s="364"/>
      <c r="F57" s="364"/>
      <c r="G57" s="364"/>
      <c r="H57" s="364"/>
      <c r="I57" s="364"/>
      <c r="J57" s="364"/>
      <c r="K57" s="360"/>
    </row>
    <row r="58" spans="1:11" s="361" customFormat="1">
      <c r="A58" s="365" t="s">
        <v>156</v>
      </c>
      <c r="B58" s="362">
        <f>'Sources and Uses Budget'!C58</f>
        <v>0</v>
      </c>
      <c r="C58" s="363"/>
      <c r="D58" s="363"/>
      <c r="E58" s="364"/>
      <c r="F58" s="364"/>
      <c r="G58" s="364"/>
      <c r="H58" s="364"/>
      <c r="I58" s="364"/>
      <c r="J58" s="364"/>
      <c r="K58" s="360"/>
    </row>
    <row r="59" spans="1:11" s="361" customFormat="1">
      <c r="A59" s="365" t="s">
        <v>154</v>
      </c>
      <c r="B59" s="362">
        <f>'Sources and Uses Budget'!C59</f>
        <v>0</v>
      </c>
      <c r="C59" s="363"/>
      <c r="D59" s="363"/>
      <c r="E59" s="364"/>
      <c r="F59" s="364"/>
      <c r="G59" s="364"/>
      <c r="H59" s="364"/>
      <c r="I59" s="364"/>
      <c r="J59" s="364"/>
      <c r="K59" s="360"/>
    </row>
    <row r="60" spans="1:11" s="361" customFormat="1">
      <c r="A60" s="365" t="s">
        <v>155</v>
      </c>
      <c r="B60" s="362">
        <f>'Sources and Uses Budget'!C60</f>
        <v>0</v>
      </c>
      <c r="C60" s="363"/>
      <c r="D60" s="363"/>
      <c r="E60" s="364"/>
      <c r="F60" s="364"/>
      <c r="G60" s="364"/>
      <c r="H60" s="364"/>
      <c r="I60" s="364"/>
      <c r="J60" s="364"/>
      <c r="K60" s="360"/>
    </row>
    <row r="61" spans="1:11" s="361" customFormat="1">
      <c r="A61" s="365" t="str">
        <f>'Sources and Uses Budget'!$A61</f>
        <v>Other: (Specify)</v>
      </c>
      <c r="B61" s="362">
        <f>'Sources and Uses Budget'!C61</f>
        <v>0</v>
      </c>
      <c r="C61" s="363"/>
      <c r="D61" s="363"/>
      <c r="E61" s="364"/>
      <c r="F61" s="364"/>
      <c r="G61" s="364"/>
      <c r="H61" s="364"/>
      <c r="I61" s="364"/>
      <c r="J61" s="364"/>
      <c r="K61" s="360"/>
    </row>
    <row r="62" spans="1:11" s="361" customFormat="1" ht="13.7" customHeight="1">
      <c r="A62" s="366" t="s">
        <v>300</v>
      </c>
      <c r="B62" s="362">
        <f>'Sources and Uses Budget'!C62</f>
        <v>0</v>
      </c>
      <c r="C62" s="362">
        <f>SUM(C56:C61)</f>
        <v>0</v>
      </c>
      <c r="D62" s="362">
        <f>SUM(D56:D61)</f>
        <v>0</v>
      </c>
      <c r="E62" s="364"/>
      <c r="F62" s="364"/>
      <c r="G62" s="364"/>
      <c r="H62" s="364"/>
      <c r="I62" s="364"/>
      <c r="J62" s="364"/>
      <c r="K62" s="360"/>
    </row>
    <row r="63" spans="1:11" s="361" customFormat="1">
      <c r="A63" s="371" t="s">
        <v>301</v>
      </c>
      <c r="B63" s="362">
        <f>'Sources and Uses Budget'!C63</f>
        <v>68713926</v>
      </c>
      <c r="C63" s="362">
        <f>SUM(C8+C11+C13+C14+C15+C26+C27+C38+C42+C43+C54+C62)</f>
        <v>0</v>
      </c>
      <c r="D63" s="362">
        <f>SUM(D8+D11+D13+D14+D15+D26+D27+D38+D42+D43+D54+D62)</f>
        <v>0</v>
      </c>
      <c r="E63" s="362">
        <f>'Sources and Uses Budget'!S63</f>
        <v>57009641</v>
      </c>
      <c r="F63" s="362">
        <f>SUM(F10+F13+F14+F15+F26+F27+F38+F42+F43+F54)</f>
        <v>0</v>
      </c>
      <c r="G63" s="362">
        <f>SUM(G10+G13+G14+G15+G26+G27+G38+G42+G43+G54)</f>
        <v>0</v>
      </c>
      <c r="H63" s="362">
        <f>'Sources and Uses Budget'!T63</f>
        <v>0</v>
      </c>
      <c r="I63" s="362">
        <f>SUM(I11+I13+I14+I15+I26+I27+I38+I42+I43+I54)</f>
        <v>0</v>
      </c>
      <c r="J63" s="362">
        <f>SUM(J11+J13+J14+J15+J26+J27+J38+J42+J43+J54)</f>
        <v>0</v>
      </c>
      <c r="K63" s="360"/>
    </row>
    <row r="64" spans="1:11" s="361" customFormat="1" ht="24">
      <c r="A64" s="141" t="s">
        <v>1643</v>
      </c>
      <c r="B64" s="359"/>
      <c r="C64" s="359"/>
      <c r="D64" s="359"/>
      <c r="E64" s="359"/>
      <c r="F64" s="359"/>
      <c r="G64" s="359"/>
      <c r="H64" s="359"/>
      <c r="I64" s="359"/>
      <c r="J64" s="359"/>
      <c r="K64" s="360"/>
    </row>
    <row r="65" spans="1:11" s="361" customFormat="1">
      <c r="A65" s="145" t="s">
        <v>170</v>
      </c>
      <c r="B65" s="362">
        <f>'Sources and Uses Budget'!C65</f>
        <v>115000</v>
      </c>
      <c r="C65" s="363"/>
      <c r="D65" s="363"/>
      <c r="E65" s="362">
        <f>'Sources and Uses Budget'!S65</f>
        <v>65000</v>
      </c>
      <c r="F65" s="363"/>
      <c r="G65" s="363"/>
      <c r="H65" s="362">
        <f>'Sources and Uses Budget'!T65</f>
        <v>0</v>
      </c>
      <c r="I65" s="363"/>
      <c r="J65" s="363"/>
      <c r="K65" s="360"/>
    </row>
    <row r="66" spans="1:11" s="361" customFormat="1" ht="24">
      <c r="A66" s="284" t="s">
        <v>1640</v>
      </c>
      <c r="B66" s="362">
        <f>'Sources and Uses Budget'!C66</f>
        <v>0</v>
      </c>
      <c r="C66" s="363"/>
      <c r="D66" s="363"/>
      <c r="E66" s="362">
        <f>'Sources and Uses Budget'!S66</f>
        <v>0</v>
      </c>
      <c r="F66" s="363"/>
      <c r="G66" s="363"/>
      <c r="H66" s="362">
        <f>'Sources and Uses Budget'!T66</f>
        <v>0</v>
      </c>
      <c r="I66" s="363"/>
      <c r="J66" s="363"/>
      <c r="K66" s="360"/>
    </row>
    <row r="67" spans="1:11" s="361" customFormat="1" ht="24">
      <c r="A67" s="284" t="s">
        <v>1641</v>
      </c>
      <c r="B67" s="362">
        <f>'Sources and Uses Budget'!C67</f>
        <v>46400</v>
      </c>
      <c r="C67" s="363"/>
      <c r="D67" s="363"/>
      <c r="E67" s="362">
        <f>'Sources and Uses Budget'!S67</f>
        <v>46400</v>
      </c>
      <c r="F67" s="363"/>
      <c r="G67" s="363"/>
      <c r="H67" s="362">
        <f>'Sources and Uses Budget'!T67</f>
        <v>0</v>
      </c>
      <c r="I67" s="363"/>
      <c r="J67" s="363"/>
      <c r="K67" s="360"/>
    </row>
    <row r="68" spans="1:11" s="361" customFormat="1">
      <c r="A68" s="284" t="s">
        <v>1647</v>
      </c>
      <c r="B68" s="362">
        <f>'Sources and Uses Budget'!C68</f>
        <v>0</v>
      </c>
      <c r="C68" s="363"/>
      <c r="D68" s="363"/>
      <c r="E68" s="362">
        <f>'Sources and Uses Budget'!S68</f>
        <v>0</v>
      </c>
      <c r="F68" s="363"/>
      <c r="G68" s="363"/>
      <c r="H68" s="362">
        <f>'Sources and Uses Budget'!T68</f>
        <v>0</v>
      </c>
      <c r="I68" s="363"/>
      <c r="J68" s="363"/>
      <c r="K68" s="360"/>
    </row>
    <row r="69" spans="1:11" s="361" customFormat="1">
      <c r="A69" s="365" t="str">
        <f>'Sources and Uses Budget'!$A69</f>
        <v>Other: Owner Legal</v>
      </c>
      <c r="B69" s="362">
        <f>'Sources and Uses Budget'!C69</f>
        <v>1350000</v>
      </c>
      <c r="C69" s="363"/>
      <c r="D69" s="363"/>
      <c r="E69" s="362">
        <f>'Sources and Uses Budget'!S69</f>
        <v>0</v>
      </c>
      <c r="F69" s="363"/>
      <c r="G69" s="363"/>
      <c r="H69" s="362">
        <f>'Sources and Uses Budget'!T69</f>
        <v>0</v>
      </c>
      <c r="I69" s="363"/>
      <c r="J69" s="363"/>
      <c r="K69" s="360"/>
    </row>
    <row r="70" spans="1:11" s="361" customFormat="1">
      <c r="A70" s="366" t="s">
        <v>601</v>
      </c>
      <c r="B70" s="362">
        <f>'Sources and Uses Budget'!C70</f>
        <v>1511400</v>
      </c>
      <c r="C70" s="362">
        <f>SUM(C64:C69)</f>
        <v>0</v>
      </c>
      <c r="D70" s="362">
        <f>SUM(D64:D69)</f>
        <v>0</v>
      </c>
      <c r="E70" s="362">
        <f>'Sources and Uses Budget'!S70</f>
        <v>111400</v>
      </c>
      <c r="F70" s="368">
        <f>SUM(F65:F69)</f>
        <v>0</v>
      </c>
      <c r="G70" s="368">
        <f>SUM(G65:G69)</f>
        <v>0</v>
      </c>
      <c r="H70" s="362">
        <f>'Sources and Uses Budget'!T70</f>
        <v>0</v>
      </c>
      <c r="I70" s="368">
        <f>SUM(I65:I69)</f>
        <v>0</v>
      </c>
      <c r="J70" s="368">
        <f>SUM(J65:J69)</f>
        <v>0</v>
      </c>
      <c r="K70" s="360"/>
    </row>
    <row r="71" spans="1:11" s="361" customFormat="1">
      <c r="A71" s="358" t="s">
        <v>602</v>
      </c>
      <c r="B71" s="359"/>
      <c r="C71" s="359"/>
      <c r="D71" s="359"/>
      <c r="E71" s="359"/>
      <c r="F71" s="359"/>
      <c r="G71" s="359"/>
      <c r="H71" s="359"/>
      <c r="I71" s="359"/>
      <c r="J71" s="359"/>
      <c r="K71" s="360"/>
    </row>
    <row r="72" spans="1:11" s="361" customFormat="1">
      <c r="A72" s="365" t="s">
        <v>603</v>
      </c>
      <c r="B72" s="362">
        <f>'Sources and Uses Budget'!C72</f>
        <v>0</v>
      </c>
      <c r="C72" s="363"/>
      <c r="D72" s="363"/>
      <c r="E72" s="364"/>
      <c r="F72" s="364"/>
      <c r="G72" s="364"/>
      <c r="H72" s="364"/>
      <c r="I72" s="364"/>
      <c r="J72" s="364"/>
      <c r="K72" s="360"/>
    </row>
    <row r="73" spans="1:11" s="361" customFormat="1">
      <c r="A73" s="365" t="s">
        <v>604</v>
      </c>
      <c r="B73" s="362">
        <f>'Sources and Uses Budget'!C73</f>
        <v>0</v>
      </c>
      <c r="C73" s="363"/>
      <c r="D73" s="363"/>
      <c r="E73" s="364"/>
      <c r="F73" s="364"/>
      <c r="G73" s="364"/>
      <c r="H73" s="364"/>
      <c r="I73" s="364"/>
      <c r="J73" s="364"/>
      <c r="K73" s="360"/>
    </row>
    <row r="74" spans="1:11" s="361" customFormat="1">
      <c r="A74" s="367" t="s">
        <v>985</v>
      </c>
      <c r="B74" s="362">
        <f>'Sources and Uses Budget'!C74</f>
        <v>0</v>
      </c>
      <c r="C74" s="363"/>
      <c r="D74" s="363"/>
      <c r="E74" s="364"/>
      <c r="F74" s="364"/>
      <c r="G74" s="364"/>
      <c r="H74" s="364"/>
      <c r="I74" s="364"/>
      <c r="J74" s="364"/>
      <c r="K74" s="360"/>
    </row>
    <row r="75" spans="1:11" s="361" customFormat="1">
      <c r="A75" s="365" t="s">
        <v>605</v>
      </c>
      <c r="B75" s="362">
        <f>'Sources and Uses Budget'!C75</f>
        <v>1042396</v>
      </c>
      <c r="C75" s="363"/>
      <c r="D75" s="363"/>
      <c r="E75" s="364"/>
      <c r="F75" s="364"/>
      <c r="G75" s="364"/>
      <c r="H75" s="364"/>
      <c r="I75" s="364"/>
      <c r="J75" s="364"/>
      <c r="K75" s="360"/>
    </row>
    <row r="76" spans="1:11" s="361" customFormat="1">
      <c r="A76" s="365" t="str">
        <f>'Sources and Uses Budget'!$A76</f>
        <v>Other: (Specify)</v>
      </c>
      <c r="B76" s="362">
        <f>'Sources and Uses Budget'!C76</f>
        <v>0</v>
      </c>
      <c r="C76" s="363"/>
      <c r="D76" s="363"/>
      <c r="E76" s="364"/>
      <c r="F76" s="364"/>
      <c r="G76" s="364"/>
      <c r="H76" s="364"/>
      <c r="I76" s="364"/>
      <c r="J76" s="364"/>
      <c r="K76" s="360"/>
    </row>
    <row r="77" spans="1:11" s="361" customFormat="1">
      <c r="A77" s="366" t="s">
        <v>606</v>
      </c>
      <c r="B77" s="362">
        <f>'Sources and Uses Budget'!C77</f>
        <v>1042396</v>
      </c>
      <c r="C77" s="362">
        <f>SUM(C72:C76)</f>
        <v>0</v>
      </c>
      <c r="D77" s="362">
        <f>SUM(D72:D76)</f>
        <v>0</v>
      </c>
      <c r="E77" s="364"/>
      <c r="F77" s="364"/>
      <c r="G77" s="364"/>
      <c r="H77" s="364"/>
      <c r="I77" s="364"/>
      <c r="J77" s="364"/>
      <c r="K77" s="360"/>
    </row>
    <row r="78" spans="1:11" s="361" customFormat="1">
      <c r="A78" s="358" t="s">
        <v>1209</v>
      </c>
      <c r="B78" s="359"/>
      <c r="C78" s="359"/>
      <c r="D78" s="359"/>
      <c r="E78" s="359"/>
      <c r="F78" s="359"/>
      <c r="G78" s="359"/>
      <c r="H78" s="359"/>
      <c r="I78" s="359"/>
      <c r="J78" s="359"/>
      <c r="K78" s="360"/>
    </row>
    <row r="79" spans="1:11" s="361" customFormat="1">
      <c r="A79" s="365" t="s">
        <v>1211</v>
      </c>
      <c r="B79" s="362">
        <f>'Sources and Uses Budget'!C79</f>
        <v>1941005</v>
      </c>
      <c r="C79" s="363"/>
      <c r="D79" s="363"/>
      <c r="E79" s="362">
        <f>'Sources and Uses Budget'!S79</f>
        <v>1941005</v>
      </c>
      <c r="F79" s="363"/>
      <c r="G79" s="363"/>
      <c r="H79" s="362">
        <f>'Sources and Uses Budget'!T79</f>
        <v>0</v>
      </c>
      <c r="I79" s="363"/>
      <c r="J79" s="363"/>
      <c r="K79" s="360"/>
    </row>
    <row r="80" spans="1:11" s="361" customFormat="1">
      <c r="A80" s="365" t="s">
        <v>58</v>
      </c>
      <c r="B80" s="362">
        <f>'Sources and Uses Budget'!C80</f>
        <v>0</v>
      </c>
      <c r="C80" s="363"/>
      <c r="D80" s="363"/>
      <c r="E80" s="362">
        <f>'Sources and Uses Budget'!S80</f>
        <v>0</v>
      </c>
      <c r="F80" s="363"/>
      <c r="G80" s="363"/>
      <c r="H80" s="362">
        <f>'Sources and Uses Budget'!T80</f>
        <v>0</v>
      </c>
      <c r="I80" s="363"/>
      <c r="J80" s="363"/>
      <c r="K80" s="360"/>
    </row>
    <row r="81" spans="1:11" s="361" customFormat="1">
      <c r="A81" s="366" t="s">
        <v>1208</v>
      </c>
      <c r="B81" s="362">
        <f>'Sources and Uses Budget'!C81</f>
        <v>1941005</v>
      </c>
      <c r="C81" s="362">
        <f>SUM(C79:C80)</f>
        <v>0</v>
      </c>
      <c r="D81" s="362">
        <f>SUM(D79:D80)</f>
        <v>0</v>
      </c>
      <c r="E81" s="362">
        <f>'Sources and Uses Budget'!S81</f>
        <v>1941005</v>
      </c>
      <c r="F81" s="362">
        <f>SUM(F79:F80)</f>
        <v>0</v>
      </c>
      <c r="G81" s="362">
        <f>SUM(G79:G80)</f>
        <v>0</v>
      </c>
      <c r="H81" s="362">
        <f>'Sources and Uses Budget'!T81</f>
        <v>0</v>
      </c>
      <c r="I81" s="362">
        <f>SUM(I79:I80)</f>
        <v>0</v>
      </c>
      <c r="J81" s="362">
        <f>SUM(J79:J80)</f>
        <v>0</v>
      </c>
      <c r="K81" s="360"/>
    </row>
    <row r="82" spans="1:11" s="361" customFormat="1">
      <c r="A82" s="358" t="s">
        <v>765</v>
      </c>
      <c r="B82" s="359"/>
      <c r="C82" s="359"/>
      <c r="D82" s="359"/>
      <c r="E82" s="359"/>
      <c r="F82" s="359"/>
      <c r="G82" s="359"/>
      <c r="H82" s="359"/>
      <c r="I82" s="359"/>
      <c r="J82" s="359"/>
      <c r="K82" s="360"/>
    </row>
    <row r="83" spans="1:11" s="361" customFormat="1" ht="13.7" customHeight="1">
      <c r="A83" s="145" t="s">
        <v>2095</v>
      </c>
      <c r="B83" s="362">
        <f>'Sources and Uses Budget'!C83</f>
        <v>202012</v>
      </c>
      <c r="C83" s="363"/>
      <c r="D83" s="363"/>
      <c r="E83" s="364"/>
      <c r="F83" s="364"/>
      <c r="G83" s="364"/>
      <c r="H83" s="364"/>
      <c r="I83" s="364"/>
      <c r="J83" s="364"/>
      <c r="K83" s="360"/>
    </row>
    <row r="84" spans="1:11" s="361" customFormat="1">
      <c r="A84" s="145" t="s">
        <v>767</v>
      </c>
      <c r="B84" s="362">
        <f>'Sources and Uses Budget'!C84</f>
        <v>0</v>
      </c>
      <c r="C84" s="363"/>
      <c r="D84" s="363"/>
      <c r="E84" s="362">
        <f>'Sources and Uses Budget'!S84</f>
        <v>0</v>
      </c>
      <c r="F84" s="363"/>
      <c r="G84" s="363"/>
      <c r="H84" s="362">
        <f>'Sources and Uses Budget'!T84</f>
        <v>0</v>
      </c>
      <c r="I84" s="363"/>
      <c r="J84" s="363"/>
      <c r="K84" s="360"/>
    </row>
    <row r="85" spans="1:11" s="361" customFormat="1">
      <c r="A85" s="145" t="s">
        <v>768</v>
      </c>
      <c r="B85" s="362">
        <f>'Sources and Uses Budget'!C85</f>
        <v>0</v>
      </c>
      <c r="C85" s="363"/>
      <c r="D85" s="363"/>
      <c r="E85" s="362">
        <f>'Sources and Uses Budget'!S85</f>
        <v>0</v>
      </c>
      <c r="F85" s="363"/>
      <c r="G85" s="363"/>
      <c r="H85" s="362">
        <f>'Sources and Uses Budget'!T85</f>
        <v>0</v>
      </c>
      <c r="I85" s="363"/>
      <c r="J85" s="363"/>
      <c r="K85" s="360"/>
    </row>
    <row r="86" spans="1:11" s="361" customFormat="1">
      <c r="A86" s="145" t="s">
        <v>769</v>
      </c>
      <c r="B86" s="362">
        <f>'Sources and Uses Budget'!C86</f>
        <v>974400</v>
      </c>
      <c r="C86" s="363"/>
      <c r="D86" s="363"/>
      <c r="E86" s="362">
        <f>'Sources and Uses Budget'!S86</f>
        <v>974400</v>
      </c>
      <c r="F86" s="363"/>
      <c r="G86" s="363"/>
      <c r="H86" s="362">
        <f>'Sources and Uses Budget'!T86</f>
        <v>0</v>
      </c>
      <c r="I86" s="363"/>
      <c r="J86" s="363"/>
      <c r="K86" s="360"/>
    </row>
    <row r="87" spans="1:11" s="361" customFormat="1">
      <c r="A87" s="145" t="s">
        <v>770</v>
      </c>
      <c r="B87" s="362">
        <f>'Sources and Uses Budget'!C87</f>
        <v>0</v>
      </c>
      <c r="C87" s="363"/>
      <c r="D87" s="363"/>
      <c r="E87" s="362">
        <f>'Sources and Uses Budget'!S87</f>
        <v>0</v>
      </c>
      <c r="F87" s="363"/>
      <c r="G87" s="363"/>
      <c r="H87" s="362">
        <f>'Sources and Uses Budget'!T87</f>
        <v>0</v>
      </c>
      <c r="I87" s="363"/>
      <c r="J87" s="363"/>
      <c r="K87" s="360"/>
    </row>
    <row r="88" spans="1:11" s="361" customFormat="1">
      <c r="A88" s="145" t="s">
        <v>771</v>
      </c>
      <c r="B88" s="362">
        <f>'Sources and Uses Budget'!C88</f>
        <v>100000</v>
      </c>
      <c r="C88" s="363"/>
      <c r="D88" s="363"/>
      <c r="E88" s="364"/>
      <c r="F88" s="364"/>
      <c r="G88" s="364"/>
      <c r="H88" s="364"/>
      <c r="I88" s="364"/>
      <c r="J88" s="364"/>
      <c r="K88" s="360"/>
    </row>
    <row r="89" spans="1:11" s="361" customFormat="1">
      <c r="A89" s="145" t="s">
        <v>772</v>
      </c>
      <c r="B89" s="362">
        <f>'Sources and Uses Budget'!C89</f>
        <v>945000</v>
      </c>
      <c r="C89" s="363"/>
      <c r="D89" s="363"/>
      <c r="E89" s="362">
        <f>'Sources and Uses Budget'!S89</f>
        <v>945000</v>
      </c>
      <c r="F89" s="363"/>
      <c r="G89" s="363"/>
      <c r="H89" s="362">
        <f>'Sources and Uses Budget'!T89</f>
        <v>0</v>
      </c>
      <c r="I89" s="363"/>
      <c r="J89" s="363"/>
      <c r="K89" s="360"/>
    </row>
    <row r="90" spans="1:11" s="361" customFormat="1">
      <c r="A90" s="145" t="s">
        <v>773</v>
      </c>
      <c r="B90" s="362">
        <f>'Sources and Uses Budget'!C90</f>
        <v>0</v>
      </c>
      <c r="C90" s="363"/>
      <c r="D90" s="363"/>
      <c r="E90" s="362">
        <f>'Sources and Uses Budget'!S90</f>
        <v>0</v>
      </c>
      <c r="F90" s="363"/>
      <c r="G90" s="363"/>
      <c r="H90" s="362">
        <f>'Sources and Uses Budget'!T90</f>
        <v>0</v>
      </c>
      <c r="I90" s="363"/>
      <c r="J90" s="363"/>
      <c r="K90" s="360"/>
    </row>
    <row r="91" spans="1:11" s="361" customFormat="1">
      <c r="A91" s="155" t="s">
        <v>371</v>
      </c>
      <c r="B91" s="362">
        <f>'Sources and Uses Budget'!C91</f>
        <v>0</v>
      </c>
      <c r="C91" s="363"/>
      <c r="D91" s="363"/>
      <c r="E91" s="362">
        <f>'Sources and Uses Budget'!S91</f>
        <v>0</v>
      </c>
      <c r="F91" s="363"/>
      <c r="G91" s="363"/>
      <c r="H91" s="362">
        <f>'Sources and Uses Budget'!T91</f>
        <v>0</v>
      </c>
      <c r="I91" s="363"/>
      <c r="J91" s="363"/>
      <c r="K91" s="360"/>
    </row>
    <row r="92" spans="1:11" s="361" customFormat="1">
      <c r="A92" s="509" t="s">
        <v>1210</v>
      </c>
      <c r="B92" s="362">
        <f>'Sources and Uses Budget'!C92</f>
        <v>0</v>
      </c>
      <c r="C92" s="363"/>
      <c r="D92" s="363"/>
      <c r="E92" s="362">
        <f>'Sources and Uses Budget'!S92</f>
        <v>0</v>
      </c>
      <c r="F92" s="363"/>
      <c r="G92" s="363"/>
      <c r="H92" s="362">
        <f>'Sources and Uses Budget'!T92</f>
        <v>0</v>
      </c>
      <c r="I92" s="363"/>
      <c r="J92" s="363"/>
      <c r="K92" s="360"/>
    </row>
    <row r="93" spans="1:11" s="361" customFormat="1" ht="24">
      <c r="A93" s="365" t="str">
        <f>'Sources and Uses Budget'!$A93</f>
        <v>Other: Real Estate Taxes During Construction &amp; Builder's Insurance</v>
      </c>
      <c r="B93" s="362">
        <f>'Sources and Uses Budget'!C93</f>
        <v>847871</v>
      </c>
      <c r="C93" s="363"/>
      <c r="D93" s="363"/>
      <c r="E93" s="362">
        <f>'Sources and Uses Budget'!S93</f>
        <v>847871</v>
      </c>
      <c r="F93" s="363"/>
      <c r="G93" s="363"/>
      <c r="H93" s="362">
        <f>'Sources and Uses Budget'!T93</f>
        <v>0</v>
      </c>
      <c r="I93" s="363"/>
      <c r="J93" s="363"/>
      <c r="K93" s="360"/>
    </row>
    <row r="94" spans="1:11" s="361" customFormat="1">
      <c r="A94" s="365" t="str">
        <f>'Sources and Uses Budget'!$A94</f>
        <v>Other: Construction Monitoring Fees</v>
      </c>
      <c r="B94" s="362">
        <f>'Sources and Uses Budget'!C94</f>
        <v>195000</v>
      </c>
      <c r="C94" s="363"/>
      <c r="D94" s="363"/>
      <c r="E94" s="362">
        <f>'Sources and Uses Budget'!S94</f>
        <v>195000</v>
      </c>
      <c r="F94" s="363"/>
      <c r="G94" s="363"/>
      <c r="H94" s="362">
        <f>'Sources and Uses Budget'!T94</f>
        <v>0</v>
      </c>
      <c r="I94" s="363"/>
      <c r="J94" s="363"/>
      <c r="K94" s="360"/>
    </row>
    <row r="95" spans="1:11" s="361" customFormat="1">
      <c r="A95" s="365" t="str">
        <f>'Sources and Uses Budget'!$A95</f>
        <v>Other: Transfer Tax</v>
      </c>
      <c r="B95" s="362">
        <f>'Sources and Uses Budget'!C95</f>
        <v>430000</v>
      </c>
      <c r="C95" s="363"/>
      <c r="D95" s="363"/>
      <c r="E95" s="362">
        <f>'Sources and Uses Budget'!S95</f>
        <v>0</v>
      </c>
      <c r="F95" s="363"/>
      <c r="G95" s="363"/>
      <c r="H95" s="362">
        <f>'Sources and Uses Budget'!T95</f>
        <v>0</v>
      </c>
      <c r="I95" s="363"/>
      <c r="J95" s="363"/>
      <c r="K95" s="360"/>
    </row>
    <row r="96" spans="1:11" s="361" customFormat="1">
      <c r="A96" s="366" t="s">
        <v>774</v>
      </c>
      <c r="B96" s="362">
        <f>'Sources and Uses Budget'!C96</f>
        <v>3694283</v>
      </c>
      <c r="C96" s="362">
        <f>SUM(C83:C95)</f>
        <v>0</v>
      </c>
      <c r="D96" s="362">
        <f>SUM(D83:D95)</f>
        <v>0</v>
      </c>
      <c r="E96" s="362">
        <f>'Sources and Uses Budget'!S96</f>
        <v>2962271</v>
      </c>
      <c r="F96" s="368">
        <f>SUM(F84:F87,F89:F95)</f>
        <v>0</v>
      </c>
      <c r="G96" s="368">
        <f>SUM(G84:G87,G89:G95)</f>
        <v>0</v>
      </c>
      <c r="H96" s="362">
        <f>'Sources and Uses Budget'!T96</f>
        <v>0</v>
      </c>
      <c r="I96" s="362">
        <f>SUM(I84:I87,I89:I95)</f>
        <v>0</v>
      </c>
      <c r="J96" s="362">
        <f>SUM(J84:J87,J89:J95)</f>
        <v>0</v>
      </c>
      <c r="K96" s="360"/>
    </row>
    <row r="97" spans="1:11" s="361" customFormat="1">
      <c r="A97" s="366" t="s">
        <v>1028</v>
      </c>
      <c r="B97" s="362">
        <f>'Sources and Uses Budget'!C97</f>
        <v>76903010</v>
      </c>
      <c r="C97" s="362">
        <f>SUM(C63+C70+C77+C81+C96)</f>
        <v>0</v>
      </c>
      <c r="D97" s="362">
        <f>SUM(D63+D70+D77+D81+D96)</f>
        <v>0</v>
      </c>
      <c r="E97" s="362">
        <f>'Sources and Uses Budget'!S97</f>
        <v>62024317</v>
      </c>
      <c r="F97" s="368">
        <f>SUM(+F63+F70+F81+F96)</f>
        <v>0</v>
      </c>
      <c r="G97" s="368">
        <f>SUM(+G63+G70+G81+G96)</f>
        <v>0</v>
      </c>
      <c r="H97" s="362">
        <f>'Sources and Uses Budget'!T97</f>
        <v>0</v>
      </c>
      <c r="I97" s="368">
        <f>SUM(I63+I70+I81+I96)</f>
        <v>0</v>
      </c>
      <c r="J97" s="368">
        <f>SUM(J63+J70+J81+J96)</f>
        <v>0</v>
      </c>
      <c r="K97" s="360"/>
    </row>
    <row r="98" spans="1:11" s="361" customFormat="1">
      <c r="A98" s="358" t="s">
        <v>776</v>
      </c>
      <c r="B98" s="359"/>
      <c r="C98" s="359"/>
      <c r="D98" s="359"/>
      <c r="E98" s="359"/>
      <c r="F98" s="359"/>
      <c r="G98" s="359"/>
      <c r="H98" s="359"/>
      <c r="I98" s="359"/>
      <c r="J98" s="359"/>
      <c r="K98" s="360"/>
    </row>
    <row r="99" spans="1:11" s="361" customFormat="1">
      <c r="A99" s="145" t="s">
        <v>777</v>
      </c>
      <c r="B99" s="362">
        <f>'Sources and Uses Budget'!C99</f>
        <v>9287728</v>
      </c>
      <c r="C99" s="363"/>
      <c r="D99" s="363"/>
      <c r="E99" s="362">
        <f>'Sources and Uses Budget'!S99</f>
        <v>9287728</v>
      </c>
      <c r="F99" s="363"/>
      <c r="G99" s="363"/>
      <c r="H99" s="362">
        <f>'Sources and Uses Budget'!T99</f>
        <v>0</v>
      </c>
      <c r="I99" s="363"/>
      <c r="J99" s="363"/>
      <c r="K99" s="360"/>
    </row>
    <row r="100" spans="1:11" s="361" customFormat="1">
      <c r="A100" s="284" t="s">
        <v>1645</v>
      </c>
      <c r="B100" s="362">
        <f>'Sources and Uses Budget'!C100</f>
        <v>0</v>
      </c>
      <c r="C100" s="363"/>
      <c r="D100" s="363"/>
      <c r="E100" s="362">
        <f>'Sources and Uses Budget'!S100</f>
        <v>0</v>
      </c>
      <c r="F100" s="363"/>
      <c r="G100" s="363"/>
      <c r="H100" s="362">
        <f>'Sources and Uses Budget'!T100</f>
        <v>0</v>
      </c>
      <c r="I100" s="363"/>
      <c r="J100" s="363"/>
      <c r="K100" s="360"/>
    </row>
    <row r="101" spans="1:11" s="361" customFormat="1">
      <c r="A101" s="145" t="s">
        <v>778</v>
      </c>
      <c r="B101" s="362">
        <f>'Sources and Uses Budget'!C101</f>
        <v>0</v>
      </c>
      <c r="C101" s="363"/>
      <c r="D101" s="363"/>
      <c r="E101" s="362">
        <f>'Sources and Uses Budget'!S101</f>
        <v>0</v>
      </c>
      <c r="F101" s="363"/>
      <c r="G101" s="363"/>
      <c r="H101" s="362">
        <f>'Sources and Uses Budget'!T101</f>
        <v>0</v>
      </c>
      <c r="I101" s="363"/>
      <c r="J101" s="363"/>
      <c r="K101" s="360"/>
    </row>
    <row r="102" spans="1:11" s="361" customFormat="1" ht="12" customHeight="1">
      <c r="A102" s="284" t="s">
        <v>1646</v>
      </c>
      <c r="B102" s="362">
        <f>'Sources and Uses Budget'!C102</f>
        <v>0</v>
      </c>
      <c r="C102" s="363"/>
      <c r="D102" s="363"/>
      <c r="E102" s="362">
        <f>'Sources and Uses Budget'!S102</f>
        <v>0</v>
      </c>
      <c r="F102" s="363"/>
      <c r="G102" s="363"/>
      <c r="H102" s="362">
        <f>'Sources and Uses Budget'!T102</f>
        <v>0</v>
      </c>
      <c r="I102" s="363"/>
      <c r="J102" s="363"/>
      <c r="K102" s="360"/>
    </row>
    <row r="103" spans="1:11" s="361" customFormat="1">
      <c r="A103" s="365" t="str">
        <f>'Sources and Uses Budget'!$A103</f>
        <v>Other: (Specify)</v>
      </c>
      <c r="B103" s="362">
        <f>'Sources and Uses Budget'!C103</f>
        <v>0</v>
      </c>
      <c r="C103" s="363"/>
      <c r="D103" s="363"/>
      <c r="E103" s="362">
        <f>'Sources and Uses Budget'!S103</f>
        <v>0</v>
      </c>
      <c r="F103" s="363"/>
      <c r="G103" s="363"/>
      <c r="H103" s="362">
        <f>'Sources and Uses Budget'!T103</f>
        <v>0</v>
      </c>
      <c r="I103" s="363"/>
      <c r="J103" s="363"/>
      <c r="K103" s="360"/>
    </row>
    <row r="104" spans="1:11" s="361" customFormat="1">
      <c r="A104" s="366" t="s">
        <v>779</v>
      </c>
      <c r="B104" s="362">
        <f>'Sources and Uses Budget'!C104</f>
        <v>9287728</v>
      </c>
      <c r="C104" s="362">
        <f>SUM(C99:C103)</f>
        <v>0</v>
      </c>
      <c r="D104" s="362">
        <f>SUM(D99:D103)</f>
        <v>0</v>
      </c>
      <c r="E104" s="362">
        <f>'Sources and Uses Budget'!S104</f>
        <v>9287728</v>
      </c>
      <c r="F104" s="368">
        <f>SUM(F99:F103)</f>
        <v>0</v>
      </c>
      <c r="G104" s="368">
        <f>SUM(G99:G103)</f>
        <v>0</v>
      </c>
      <c r="H104" s="362">
        <f>'Sources and Uses Budget'!T104</f>
        <v>0</v>
      </c>
      <c r="I104" s="368">
        <f>SUM(I99:I103)</f>
        <v>0</v>
      </c>
      <c r="J104" s="368">
        <f>SUM(J99:J103)</f>
        <v>0</v>
      </c>
      <c r="K104" s="360"/>
    </row>
    <row r="105" spans="1:11" s="361" customFormat="1">
      <c r="A105" s="366" t="s">
        <v>1029</v>
      </c>
      <c r="B105" s="362">
        <f>'Sources and Uses Budget'!C105</f>
        <v>86190738</v>
      </c>
      <c r="C105" s="368">
        <f>SUM(C97+C104)</f>
        <v>0</v>
      </c>
      <c r="D105" s="368">
        <f>SUM(D97+D104)</f>
        <v>0</v>
      </c>
      <c r="E105" s="362">
        <f>'Sources and Uses Budget'!S105</f>
        <v>71312045</v>
      </c>
      <c r="F105" s="368">
        <f>F97+F104</f>
        <v>0</v>
      </c>
      <c r="G105" s="368">
        <f>G97+G104</f>
        <v>0</v>
      </c>
      <c r="H105" s="362">
        <f>'Sources and Uses Budget'!T105</f>
        <v>0</v>
      </c>
      <c r="I105" s="368">
        <f>I97+I104</f>
        <v>0</v>
      </c>
      <c r="J105" s="368">
        <f>J97+J104</f>
        <v>0</v>
      </c>
      <c r="K105" s="360"/>
    </row>
    <row r="106" spans="1:11" s="361" customFormat="1">
      <c r="A106" s="372"/>
      <c r="B106" s="373"/>
      <c r="C106" s="373"/>
      <c r="D106" s="373"/>
      <c r="E106" s="362">
        <f>'Sources and Uses Budget'!S106</f>
        <v>0</v>
      </c>
      <c r="F106" s="363"/>
      <c r="G106" s="363"/>
      <c r="H106" s="362">
        <f>'Sources and Uses Budget'!T106</f>
        <v>0</v>
      </c>
      <c r="I106" s="363"/>
      <c r="J106" s="363"/>
      <c r="K106" s="360"/>
    </row>
    <row r="107" spans="1:11" s="361" customFormat="1">
      <c r="A107" s="374"/>
      <c r="B107" s="375"/>
      <c r="C107" s="373"/>
      <c r="D107" s="455" t="s">
        <v>374</v>
      </c>
      <c r="E107" s="362">
        <f>'Sources and Uses Budget'!S107</f>
        <v>71312045</v>
      </c>
      <c r="F107" s="368">
        <f>F105+F106</f>
        <v>0</v>
      </c>
      <c r="G107" s="368">
        <f>G105+G106</f>
        <v>0</v>
      </c>
      <c r="H107" s="362">
        <f>'Sources and Uses Budget'!T107</f>
        <v>0</v>
      </c>
      <c r="I107" s="368">
        <f>I105+I106</f>
        <v>0</v>
      </c>
      <c r="J107" s="368">
        <f>J105+J106</f>
        <v>0</v>
      </c>
      <c r="K107" s="360"/>
    </row>
    <row r="108" spans="1:11" s="361" customFormat="1">
      <c r="A108" s="374"/>
      <c r="B108" s="376"/>
      <c r="C108" s="376"/>
      <c r="D108" s="376"/>
      <c r="J108" s="377"/>
      <c r="K108" s="360"/>
    </row>
    <row r="109" spans="1:11" s="361" customFormat="1">
      <c r="A109" s="374"/>
      <c r="B109" s="376"/>
      <c r="C109" s="376"/>
      <c r="D109" s="376"/>
      <c r="J109" s="377"/>
      <c r="K109" s="360"/>
    </row>
    <row r="110" spans="1:11" s="361" customFormat="1">
      <c r="A110" s="374"/>
      <c r="B110" s="376"/>
      <c r="C110" s="376"/>
      <c r="D110" s="376"/>
      <c r="J110" s="377"/>
      <c r="K110" s="360"/>
    </row>
    <row r="111" spans="1:11" s="361" customFormat="1" ht="12.75">
      <c r="A111" s="378"/>
      <c r="B111" s="376"/>
      <c r="C111" s="376"/>
      <c r="D111" s="376"/>
      <c r="J111" s="377"/>
      <c r="K111" s="360"/>
    </row>
    <row r="112" spans="1:11" s="361" customFormat="1" ht="12.75">
      <c r="A112" s="378"/>
      <c r="B112" s="376"/>
      <c r="C112" s="376"/>
      <c r="D112" s="376"/>
      <c r="J112" s="377"/>
      <c r="K112" s="360"/>
    </row>
    <row r="113" spans="1:11" s="361" customFormat="1" ht="14.25">
      <c r="A113" s="379"/>
      <c r="B113" s="376"/>
      <c r="C113" s="376"/>
      <c r="D113" s="376"/>
      <c r="J113" s="377"/>
      <c r="K113" s="360"/>
    </row>
    <row r="114" spans="1:11" s="361" customFormat="1" ht="12.75">
      <c r="A114" s="378"/>
      <c r="J114" s="377"/>
      <c r="K114" s="360"/>
    </row>
    <row r="115" spans="1:11" s="361" customFormat="1" ht="14.25">
      <c r="A115" s="379"/>
      <c r="J115" s="377"/>
      <c r="K115" s="360"/>
    </row>
    <row r="116" spans="1:11" s="361" customFormat="1" ht="14.25">
      <c r="A116" s="379"/>
      <c r="J116" s="377"/>
      <c r="K116" s="360"/>
    </row>
    <row r="117" spans="1:11" s="361" customFormat="1">
      <c r="B117" s="376"/>
      <c r="C117" s="376"/>
      <c r="D117" s="376"/>
      <c r="J117" s="377"/>
      <c r="K117" s="360"/>
    </row>
    <row r="118" spans="1:11" s="361" customFormat="1">
      <c r="J118" s="377"/>
      <c r="K118" s="360"/>
    </row>
    <row r="119" spans="1:11" s="361" customFormat="1">
      <c r="J119" s="377"/>
      <c r="K119" s="360"/>
    </row>
    <row r="120" spans="1:11" s="361" customFormat="1">
      <c r="J120" s="377"/>
      <c r="K120" s="360"/>
    </row>
    <row r="121" spans="1:11" s="361" customFormat="1" ht="14.25">
      <c r="A121" s="379"/>
      <c r="J121" s="377"/>
      <c r="K121" s="360"/>
    </row>
    <row r="122" spans="1:11" s="381" customFormat="1" ht="15.75">
      <c r="A122" s="380"/>
      <c r="J122" s="382"/>
      <c r="K122" s="383"/>
    </row>
    <row r="123" spans="1:11" s="361" customFormat="1">
      <c r="A123" s="384"/>
      <c r="J123" s="377"/>
      <c r="K123" s="360"/>
    </row>
    <row r="124" spans="1:11" s="361" customFormat="1">
      <c r="B124" s="385"/>
      <c r="D124" s="1871"/>
      <c r="E124" s="1312"/>
      <c r="F124" s="1312"/>
      <c r="G124" s="1312"/>
      <c r="H124" s="1312"/>
      <c r="I124" s="1312"/>
      <c r="J124" s="377"/>
      <c r="K124" s="360"/>
    </row>
    <row r="125" spans="1:11" s="361" customFormat="1" ht="12.75">
      <c r="A125" s="386"/>
      <c r="B125" s="385"/>
      <c r="C125" s="386"/>
      <c r="D125" s="1312"/>
      <c r="E125" s="1312"/>
      <c r="F125" s="1312"/>
      <c r="G125" s="1312"/>
      <c r="H125" s="1312"/>
      <c r="I125" s="1312"/>
      <c r="J125" s="377"/>
      <c r="K125" s="360"/>
    </row>
    <row r="126" spans="1:11" s="361" customFormat="1" ht="12.75">
      <c r="A126" s="386"/>
      <c r="B126" s="385"/>
      <c r="C126" s="386"/>
      <c r="D126" s="1312"/>
      <c r="E126" s="1312"/>
      <c r="F126" s="1312"/>
      <c r="G126" s="1312"/>
      <c r="H126" s="1312"/>
      <c r="I126" s="1312"/>
      <c r="J126" s="377"/>
      <c r="K126" s="360"/>
    </row>
    <row r="127" spans="1:11" s="361" customFormat="1" ht="12.75">
      <c r="A127" s="386"/>
      <c r="B127" s="385"/>
      <c r="C127" s="386"/>
      <c r="D127" s="387"/>
      <c r="E127" s="386"/>
      <c r="F127" s="386"/>
      <c r="G127" s="386"/>
      <c r="J127" s="377"/>
      <c r="K127" s="360"/>
    </row>
    <row r="128" spans="1:11" s="361" customFormat="1" ht="12.75">
      <c r="A128" s="386"/>
      <c r="B128" s="385"/>
      <c r="C128" s="386"/>
      <c r="D128" s="387"/>
      <c r="E128" s="386"/>
      <c r="F128" s="386"/>
      <c r="G128" s="386"/>
      <c r="J128" s="377"/>
      <c r="K128" s="360"/>
    </row>
    <row r="129" spans="1:11" s="361" customFormat="1" ht="12.75">
      <c r="A129" s="386"/>
      <c r="B129" s="385"/>
      <c r="C129" s="386"/>
      <c r="D129" s="386"/>
      <c r="E129" s="386"/>
      <c r="F129" s="386"/>
      <c r="G129" s="386"/>
      <c r="J129" s="377"/>
      <c r="K129" s="360"/>
    </row>
    <row r="130" spans="1:11" s="361" customFormat="1" ht="12.75">
      <c r="A130" s="386"/>
      <c r="B130" s="385"/>
      <c r="C130" s="386"/>
      <c r="D130" s="386"/>
      <c r="E130" s="386"/>
      <c r="F130" s="386"/>
      <c r="G130" s="386"/>
      <c r="J130" s="377"/>
      <c r="K130" s="360"/>
    </row>
    <row r="131" spans="1:11" s="361" customFormat="1" ht="12.75">
      <c r="A131" s="386"/>
      <c r="B131" s="388"/>
      <c r="C131" s="386"/>
      <c r="D131" s="386"/>
      <c r="E131" s="386"/>
      <c r="F131" s="386"/>
      <c r="G131" s="386"/>
      <c r="J131" s="377"/>
      <c r="K131" s="360"/>
    </row>
    <row r="132" spans="1:11" s="361" customFormat="1" ht="12.75">
      <c r="A132" s="389"/>
      <c r="B132" s="390"/>
      <c r="C132" s="386"/>
      <c r="D132" s="391"/>
      <c r="E132" s="386"/>
      <c r="F132" s="386"/>
      <c r="G132" s="386"/>
      <c r="J132" s="377"/>
      <c r="K132" s="360"/>
    </row>
    <row r="133" spans="1:11" s="361" customFormat="1" ht="12.75">
      <c r="A133" s="392"/>
      <c r="B133" s="386"/>
      <c r="C133" s="386"/>
      <c r="D133" s="386"/>
      <c r="E133" s="386"/>
      <c r="F133" s="386"/>
      <c r="G133" s="386"/>
      <c r="J133" s="377"/>
      <c r="K133" s="360"/>
    </row>
    <row r="134" spans="1:11" s="361" customFormat="1" ht="12.75">
      <c r="A134" s="392"/>
      <c r="B134" s="386"/>
      <c r="C134" s="386"/>
      <c r="D134" s="386"/>
      <c r="E134" s="386"/>
      <c r="F134" s="386"/>
      <c r="G134" s="386"/>
      <c r="J134" s="377"/>
      <c r="K134" s="360"/>
    </row>
    <row r="135" spans="1:11" s="361" customFormat="1" ht="12.75">
      <c r="A135" s="393"/>
      <c r="B135" s="386"/>
      <c r="C135" s="386"/>
      <c r="D135" s="386"/>
      <c r="E135" s="386"/>
      <c r="F135" s="386"/>
      <c r="G135" s="386"/>
      <c r="J135" s="377"/>
      <c r="K135" s="360"/>
    </row>
    <row r="136" spans="1:11" s="361" customFormat="1" ht="12.75">
      <c r="A136" s="378"/>
      <c r="B136" s="386"/>
      <c r="C136" s="386"/>
      <c r="D136" s="386"/>
      <c r="E136" s="386"/>
      <c r="F136" s="386"/>
      <c r="G136" s="386"/>
      <c r="J136" s="377"/>
      <c r="K136" s="360"/>
    </row>
    <row r="137" spans="1:11" ht="12.75">
      <c r="A137" s="392"/>
      <c r="B137" s="386"/>
      <c r="C137" s="386"/>
      <c r="D137" s="386"/>
      <c r="E137" s="386"/>
      <c r="F137" s="386"/>
      <c r="G137" s="386"/>
    </row>
    <row r="138" spans="1:11" ht="12" customHeight="1">
      <c r="A138" s="392"/>
      <c r="B138" s="386"/>
      <c r="C138" s="386"/>
      <c r="D138" s="386"/>
      <c r="E138" s="386"/>
      <c r="F138" s="386"/>
      <c r="G138" s="386"/>
    </row>
    <row r="139" spans="1:11" ht="12" customHeight="1">
      <c r="A139" s="1872"/>
      <c r="B139" s="1312"/>
      <c r="C139" s="1312"/>
      <c r="D139" s="357"/>
      <c r="E139" s="386"/>
      <c r="F139" s="386"/>
      <c r="G139" s="386"/>
    </row>
    <row r="140" spans="1:11" ht="12" customHeight="1">
      <c r="A140" s="1299"/>
      <c r="B140" s="1299"/>
      <c r="C140" s="1299"/>
      <c r="D140" s="357"/>
      <c r="E140" s="386"/>
      <c r="F140" s="386"/>
      <c r="G140" s="386"/>
    </row>
    <row r="141" spans="1:11" ht="12" customHeight="1">
      <c r="A141" s="392"/>
      <c r="B141" s="386"/>
      <c r="C141" s="386"/>
      <c r="D141" s="357"/>
      <c r="E141" s="386"/>
      <c r="F141" s="386"/>
      <c r="G141" s="386"/>
      <c r="H141" s="395"/>
      <c r="I141" s="395"/>
    </row>
    <row r="142" spans="1:11" ht="12" customHeight="1">
      <c r="A142" s="397"/>
      <c r="B142" s="357"/>
      <c r="C142" s="357"/>
      <c r="D142" s="357"/>
      <c r="E142" s="386"/>
      <c r="F142" s="386"/>
      <c r="G142" s="386"/>
      <c r="H142" s="395"/>
      <c r="I142" s="395"/>
    </row>
    <row r="143" spans="1:11"/>
    <row r="144" spans="1:11"/>
    <row r="145"/>
    <row r="146"/>
    <row r="147"/>
    <row r="148"/>
  </sheetData>
  <sheetProtection algorithmName="SHA-512" hashValue="xtngQJ5hM06QpMSFsPwOdQuNVq3KrhEh4zk9d/dCBgDY32r6+lNmf8NbCySi06dFWHpZavPfdFWIutsxEddypg==" saltValue="DNJsejYrhEx5v0kiqpqJdw==" spinCount="100000" sheet="1" objects="1" scenarios="1"/>
  <mergeCells count="4">
    <mergeCell ref="D124:I126"/>
    <mergeCell ref="A139:C139"/>
    <mergeCell ref="A140:C140"/>
    <mergeCell ref="A1:J1"/>
  </mergeCells>
  <conditionalFormatting sqref="B3:B105">
    <cfRule type="cellIs" dxfId="21" priority="5" stopIfTrue="1" operator="notEqual">
      <formula>$C3+$D3</formula>
    </cfRule>
  </conditionalFormatting>
  <conditionalFormatting sqref="E3:E107">
    <cfRule type="cellIs" dxfId="20" priority="2" stopIfTrue="1" operator="notEqual">
      <formula>$F3+$G3</formula>
    </cfRule>
  </conditionalFormatting>
  <conditionalFormatting sqref="H3:H107">
    <cfRule type="cellIs" dxfId="19"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05388-1B95-4C13-8CD9-603A742DE0FE}">
  <sheetPr>
    <pageSetUpPr fitToPage="1"/>
  </sheetPr>
  <dimension ref="A1:CP256"/>
  <sheetViews>
    <sheetView showGridLines="0" workbookViewId="0">
      <selection activeCell="AP4" sqref="AP4:AU4"/>
    </sheetView>
  </sheetViews>
  <sheetFormatPr defaultColWidth="2.7109375" defaultRowHeight="15.75" customHeight="1"/>
  <cols>
    <col min="1" max="8" width="2.7109375" style="1188"/>
    <col min="9" max="9" width="7.7109375" style="1188" customWidth="1"/>
    <col min="10" max="13" width="2.7109375" style="1188"/>
    <col min="14" max="14" width="4.7109375" style="1188" customWidth="1"/>
    <col min="15" max="19" width="2.7109375" style="1188"/>
    <col min="20" max="20" width="3.7109375" style="1188" customWidth="1"/>
    <col min="21" max="37" width="2.7109375" style="1188"/>
    <col min="38" max="38" width="3" style="1188" customWidth="1"/>
    <col min="39" max="45" width="2.7109375" style="1188"/>
    <col min="46" max="46" width="4.7109375" style="1188" customWidth="1"/>
    <col min="47" max="64" width="2.7109375" style="1188"/>
    <col min="65" max="65" width="10.42578125" style="1188" hidden="1" customWidth="1"/>
    <col min="66" max="66" width="5.5703125" style="1188" bestFit="1" customWidth="1"/>
    <col min="67" max="68" width="5.5703125" style="1188" hidden="1" customWidth="1"/>
    <col min="69" max="69" width="8" style="1188" hidden="1" customWidth="1"/>
    <col min="70" max="70" width="6" style="1188" hidden="1" customWidth="1"/>
    <col min="71" max="71" width="6.140625" style="1188" hidden="1" customWidth="1"/>
    <col min="72" max="76" width="5.5703125" style="1188" hidden="1" customWidth="1"/>
    <col min="77" max="77" width="6.140625" style="1188" bestFit="1" customWidth="1"/>
    <col min="78" max="78" width="5.5703125" style="1188" bestFit="1" customWidth="1"/>
    <col min="79" max="16384" width="2.7109375" style="1188"/>
  </cols>
  <sheetData>
    <row r="1" spans="1:65" ht="15.75" customHeight="1">
      <c r="A1" s="2324" t="s">
        <v>2459</v>
      </c>
      <c r="B1" s="2325"/>
      <c r="C1" s="2325"/>
      <c r="D1" s="2325"/>
      <c r="E1" s="2325"/>
      <c r="F1" s="2325"/>
      <c r="G1" s="2325"/>
      <c r="H1" s="2325"/>
      <c r="I1" s="2325"/>
      <c r="J1" s="2325"/>
      <c r="K1" s="2325"/>
      <c r="L1" s="2325"/>
      <c r="M1" s="2325"/>
      <c r="N1" s="2325"/>
      <c r="O1" s="2325"/>
      <c r="P1" s="2325"/>
      <c r="Q1" s="2325"/>
      <c r="R1" s="2325"/>
      <c r="S1" s="2325"/>
      <c r="T1" s="2325"/>
      <c r="U1" s="2325"/>
      <c r="V1" s="2325"/>
      <c r="W1" s="2325"/>
      <c r="X1" s="2325"/>
      <c r="Y1" s="2325"/>
      <c r="Z1" s="2325"/>
      <c r="AA1" s="2325"/>
      <c r="AB1" s="2325"/>
      <c r="AC1" s="2325"/>
      <c r="AD1" s="2325"/>
      <c r="AE1" s="2325"/>
      <c r="AF1" s="2325"/>
      <c r="AG1" s="2325"/>
      <c r="AH1" s="2325"/>
      <c r="AI1" s="2325"/>
      <c r="AJ1" s="2325"/>
      <c r="AK1" s="2325"/>
      <c r="AL1" s="2325"/>
      <c r="AM1" s="2325"/>
      <c r="AN1" s="2325"/>
      <c r="AO1" s="2325"/>
      <c r="AP1" s="2325"/>
      <c r="AQ1" s="2325"/>
      <c r="AR1" s="2325"/>
      <c r="AS1" s="2325"/>
      <c r="AT1" s="2325"/>
      <c r="AU1" s="2325"/>
      <c r="AV1" s="2325"/>
      <c r="AW1" s="2325"/>
      <c r="AX1" s="2325"/>
      <c r="AY1" s="2325"/>
      <c r="AZ1" s="2325"/>
      <c r="BA1" s="2325"/>
      <c r="BB1" s="2325"/>
      <c r="BC1" s="2325"/>
      <c r="BD1" s="2325"/>
      <c r="BE1" s="2326"/>
    </row>
    <row r="2" spans="1:65" ht="15.75" customHeight="1">
      <c r="A2" s="2327" t="s">
        <v>2458</v>
      </c>
      <c r="B2" s="2328"/>
      <c r="C2" s="2328"/>
      <c r="D2" s="2328"/>
      <c r="E2" s="2328"/>
      <c r="F2" s="2328"/>
      <c r="G2" s="2328"/>
      <c r="H2" s="2328"/>
      <c r="I2" s="2328"/>
      <c r="J2" s="2328"/>
      <c r="K2" s="2328"/>
      <c r="L2" s="2328"/>
      <c r="M2" s="2328"/>
      <c r="N2" s="2328"/>
      <c r="O2" s="2328"/>
      <c r="P2" s="2328"/>
      <c r="Q2" s="2328"/>
      <c r="R2" s="2328"/>
      <c r="S2" s="2328"/>
      <c r="T2" s="2328"/>
      <c r="U2" s="2328"/>
      <c r="V2" s="2328"/>
      <c r="W2" s="2328"/>
      <c r="X2" s="2328"/>
      <c r="Y2" s="2328"/>
      <c r="Z2" s="2328"/>
      <c r="AA2" s="2328"/>
      <c r="AB2" s="2328"/>
      <c r="AC2" s="2328"/>
      <c r="AD2" s="2328"/>
      <c r="AE2" s="2328"/>
      <c r="AF2" s="2328"/>
      <c r="AG2" s="2328"/>
      <c r="AH2" s="2328"/>
      <c r="AI2" s="2328"/>
      <c r="AJ2" s="2328"/>
      <c r="AK2" s="2328"/>
      <c r="AL2" s="2328"/>
      <c r="AM2" s="2328"/>
      <c r="AN2" s="2328"/>
      <c r="AO2" s="2328"/>
      <c r="AP2" s="2328"/>
      <c r="AQ2" s="2328"/>
      <c r="AR2" s="2328"/>
      <c r="AS2" s="2328"/>
      <c r="AT2" s="2328"/>
      <c r="AU2" s="2328"/>
      <c r="AV2" s="2328"/>
      <c r="AW2" s="2328"/>
      <c r="AX2" s="2328"/>
      <c r="AY2" s="2328"/>
      <c r="AZ2" s="2328"/>
      <c r="BA2" s="2328"/>
      <c r="BB2" s="2328"/>
      <c r="BC2" s="2328"/>
      <c r="BD2" s="2328"/>
      <c r="BE2" s="2329"/>
      <c r="BF2" s="1189"/>
    </row>
    <row r="3" spans="1:65" ht="15.75" customHeight="1" thickBot="1">
      <c r="A3" s="1190"/>
      <c r="B3" s="1191"/>
      <c r="C3" s="1191"/>
      <c r="D3" s="1191"/>
      <c r="E3" s="1191"/>
      <c r="F3" s="1191"/>
      <c r="G3" s="1191"/>
      <c r="H3" s="1191"/>
      <c r="I3" s="1191"/>
      <c r="J3" s="1191"/>
      <c r="K3" s="1191"/>
      <c r="L3" s="1191"/>
      <c r="M3" s="1191"/>
      <c r="N3" s="1191"/>
      <c r="O3" s="1191"/>
      <c r="P3" s="1191"/>
      <c r="Q3" s="1191"/>
      <c r="R3" s="1191"/>
      <c r="S3" s="1191"/>
      <c r="T3" s="1191"/>
      <c r="U3" s="1191"/>
      <c r="V3" s="1191"/>
      <c r="W3" s="1191"/>
      <c r="X3" s="1191"/>
      <c r="Y3" s="1191"/>
      <c r="Z3" s="1191"/>
      <c r="AA3" s="1191"/>
      <c r="AB3" s="1191"/>
      <c r="AC3" s="1191"/>
      <c r="AD3" s="1191"/>
      <c r="AE3" s="1191"/>
      <c r="AF3" s="1191"/>
      <c r="AG3" s="1191"/>
      <c r="AH3" s="1191"/>
      <c r="AI3" s="1191"/>
      <c r="AJ3" s="1191"/>
      <c r="AK3" s="1191"/>
      <c r="AL3" s="1191"/>
      <c r="AM3" s="1191"/>
      <c r="AN3" s="1191"/>
      <c r="AO3" s="1191"/>
      <c r="AP3" s="1191"/>
      <c r="AQ3" s="1191"/>
      <c r="AR3" s="1191"/>
      <c r="AS3" s="1191"/>
      <c r="AT3" s="1191"/>
      <c r="AU3" s="1191"/>
      <c r="AV3" s="1191"/>
      <c r="AW3" s="1191"/>
      <c r="AX3" s="1191"/>
      <c r="AY3" s="1191"/>
      <c r="AZ3" s="1191"/>
      <c r="BA3" s="1191"/>
      <c r="BB3" s="1191"/>
      <c r="BC3" s="1191"/>
      <c r="BD3" s="1191"/>
      <c r="BE3" s="1192"/>
    </row>
    <row r="4" spans="1:65" ht="15.75" customHeight="1" thickBot="1">
      <c r="A4" s="1190"/>
      <c r="B4" s="1193" t="s">
        <v>656</v>
      </c>
      <c r="C4" s="1193"/>
      <c r="D4" s="1193"/>
      <c r="E4" s="1193"/>
      <c r="F4" s="1193"/>
      <c r="G4" s="1191"/>
      <c r="H4" s="1191"/>
      <c r="I4" s="1191"/>
      <c r="J4" s="1191"/>
      <c r="K4" s="1191"/>
      <c r="L4" s="2316" t="str">
        <f>IF(Application!H18="","",Application!H18)</f>
        <v>Francis Avenue Apartments</v>
      </c>
      <c r="M4" s="2317"/>
      <c r="N4" s="2317"/>
      <c r="O4" s="2317"/>
      <c r="P4" s="2317"/>
      <c r="Q4" s="2317"/>
      <c r="R4" s="2317"/>
      <c r="S4" s="2317"/>
      <c r="T4" s="2317"/>
      <c r="U4" s="2317"/>
      <c r="V4" s="2317"/>
      <c r="W4" s="2317"/>
      <c r="X4" s="2317"/>
      <c r="Y4" s="2317"/>
      <c r="Z4" s="2317"/>
      <c r="AA4" s="2317"/>
      <c r="AB4" s="2317"/>
      <c r="AC4" s="2318"/>
      <c r="AD4" s="1191"/>
      <c r="AE4" s="1191"/>
      <c r="AF4" s="2312" t="s">
        <v>2457</v>
      </c>
      <c r="AG4" s="2312"/>
      <c r="AH4" s="2312"/>
      <c r="AI4" s="2312"/>
      <c r="AJ4" s="2312"/>
      <c r="AK4" s="2312"/>
      <c r="AL4" s="2312"/>
      <c r="AM4" s="2312"/>
      <c r="AN4" s="2312"/>
      <c r="AO4" s="2312"/>
      <c r="AP4" s="2313"/>
      <c r="AQ4" s="2314"/>
      <c r="AR4" s="2314"/>
      <c r="AS4" s="2314"/>
      <c r="AT4" s="2314"/>
      <c r="AU4" s="2314"/>
      <c r="AV4" s="1191"/>
      <c r="AW4" s="1191"/>
      <c r="AX4" s="1191"/>
      <c r="AY4" s="1191"/>
      <c r="AZ4" s="1191"/>
      <c r="BA4" s="1191"/>
      <c r="BB4" s="1191"/>
      <c r="BC4" s="1191"/>
      <c r="BD4" s="1191"/>
      <c r="BE4" s="1192"/>
    </row>
    <row r="5" spans="1:65" ht="15.75" customHeight="1" thickBot="1">
      <c r="A5" s="1190"/>
      <c r="B5" s="1191"/>
      <c r="C5" s="1191"/>
      <c r="D5" s="1191"/>
      <c r="E5" s="1191"/>
      <c r="F5" s="1191"/>
      <c r="G5" s="1191"/>
      <c r="H5" s="1191"/>
      <c r="I5" s="1191"/>
      <c r="J5" s="1191"/>
      <c r="K5" s="1191"/>
      <c r="L5" s="1191"/>
      <c r="M5" s="1191"/>
      <c r="N5" s="1191"/>
      <c r="O5" s="1191"/>
      <c r="P5" s="1191"/>
      <c r="Q5" s="1191"/>
      <c r="R5" s="1191"/>
      <c r="S5" s="1191"/>
      <c r="T5" s="1191"/>
      <c r="U5" s="1191"/>
      <c r="V5" s="1191"/>
      <c r="W5" s="1191"/>
      <c r="X5" s="1191"/>
      <c r="Y5" s="1191"/>
      <c r="Z5" s="1191"/>
      <c r="AA5" s="1191"/>
      <c r="AB5" s="1191"/>
      <c r="AC5" s="1191"/>
      <c r="AD5" s="1191"/>
      <c r="AE5" s="1191"/>
      <c r="AF5" s="2312" t="s">
        <v>2456</v>
      </c>
      <c r="AG5" s="2312"/>
      <c r="AH5" s="2312"/>
      <c r="AI5" s="2312"/>
      <c r="AJ5" s="2312"/>
      <c r="AK5" s="2312"/>
      <c r="AL5" s="2312"/>
      <c r="AM5" s="2312"/>
      <c r="AN5" s="2312"/>
      <c r="AO5" s="2312"/>
      <c r="AP5" s="2313"/>
      <c r="AQ5" s="2314"/>
      <c r="AR5" s="2314"/>
      <c r="AS5" s="2314"/>
      <c r="AT5" s="2314"/>
      <c r="AU5" s="2314"/>
      <c r="AV5" s="1191"/>
      <c r="AW5" s="1191"/>
      <c r="AX5" s="1191"/>
      <c r="AY5" s="1191"/>
      <c r="AZ5" s="1191"/>
      <c r="BA5" s="1191"/>
      <c r="BB5" s="1191"/>
      <c r="BC5" s="1191"/>
      <c r="BD5" s="1191"/>
      <c r="BE5" s="1192"/>
    </row>
    <row r="6" spans="1:65" ht="15.75" customHeight="1" thickBot="1">
      <c r="A6" s="1190"/>
      <c r="B6" s="1193" t="s">
        <v>2455</v>
      </c>
      <c r="C6" s="1191"/>
      <c r="D6" s="1191"/>
      <c r="E6" s="1191"/>
      <c r="F6" s="1191"/>
      <c r="G6" s="1191"/>
      <c r="H6" s="1191"/>
      <c r="I6" s="1191"/>
      <c r="J6" s="1191"/>
      <c r="K6" s="1191"/>
      <c r="L6" s="2316" t="str">
        <f>IF(Application!H16="","",Application!H16)</f>
        <v>MRK Partners, Inc.</v>
      </c>
      <c r="M6" s="2317"/>
      <c r="N6" s="2317"/>
      <c r="O6" s="2317"/>
      <c r="P6" s="2317"/>
      <c r="Q6" s="2317"/>
      <c r="R6" s="2317"/>
      <c r="S6" s="2317"/>
      <c r="T6" s="2317"/>
      <c r="U6" s="2317"/>
      <c r="V6" s="2317"/>
      <c r="W6" s="2317"/>
      <c r="X6" s="2317"/>
      <c r="Y6" s="2317"/>
      <c r="Z6" s="2317"/>
      <c r="AA6" s="2317"/>
      <c r="AB6" s="2317"/>
      <c r="AC6" s="2318"/>
      <c r="AD6" s="1191"/>
      <c r="AE6" s="1191"/>
      <c r="AF6" s="2319" t="s">
        <v>2454</v>
      </c>
      <c r="AG6" s="2319"/>
      <c r="AH6" s="2319"/>
      <c r="AI6" s="2319"/>
      <c r="AJ6" s="2319"/>
      <c r="AK6" s="2319"/>
      <c r="AL6" s="2319"/>
      <c r="AM6" s="2319"/>
      <c r="AN6" s="2319"/>
      <c r="AO6" s="2319"/>
      <c r="AP6" s="2320"/>
      <c r="AQ6" s="2320"/>
      <c r="AR6" s="2320"/>
      <c r="AS6" s="2320"/>
      <c r="AT6" s="2320"/>
      <c r="AU6" s="2320"/>
      <c r="AV6" s="1191"/>
      <c r="AW6" s="1191"/>
      <c r="AX6" s="1191"/>
      <c r="AY6" s="1191"/>
      <c r="AZ6" s="1191"/>
      <c r="BA6" s="1191"/>
      <c r="BB6" s="1191"/>
      <c r="BC6" s="1191"/>
      <c r="BD6" s="1191"/>
      <c r="BE6" s="1192"/>
    </row>
    <row r="7" spans="1:65" thickBot="1">
      <c r="A7" s="1190"/>
      <c r="B7" s="1191"/>
      <c r="C7" s="1191"/>
      <c r="D7" s="1191"/>
      <c r="E7" s="1191"/>
      <c r="F7" s="1191"/>
      <c r="G7" s="1191"/>
      <c r="H7" s="1191"/>
      <c r="I7" s="1191"/>
      <c r="J7" s="1191"/>
      <c r="K7" s="1191"/>
      <c r="L7" s="1191"/>
      <c r="M7" s="1191"/>
      <c r="N7" s="1191"/>
      <c r="O7" s="1191"/>
      <c r="P7" s="1191"/>
      <c r="Q7" s="1191"/>
      <c r="R7" s="1191"/>
      <c r="S7" s="1191"/>
      <c r="T7" s="1191"/>
      <c r="U7" s="1191"/>
      <c r="V7" s="1191"/>
      <c r="W7" s="1191"/>
      <c r="X7" s="1191"/>
      <c r="Y7" s="1191"/>
      <c r="Z7" s="1191"/>
      <c r="AA7" s="1191"/>
      <c r="AB7" s="1191"/>
      <c r="AC7" s="1191"/>
      <c r="AD7" s="1191"/>
      <c r="AE7" s="1191"/>
      <c r="AF7" s="2319" t="s">
        <v>2453</v>
      </c>
      <c r="AG7" s="2319"/>
      <c r="AH7" s="2319"/>
      <c r="AI7" s="2319"/>
      <c r="AJ7" s="2319"/>
      <c r="AK7" s="2319"/>
      <c r="AL7" s="2319"/>
      <c r="AM7" s="2319"/>
      <c r="AN7" s="2319"/>
      <c r="AO7" s="2319"/>
      <c r="AP7" s="2320"/>
      <c r="AQ7" s="2320"/>
      <c r="AR7" s="2320"/>
      <c r="AS7" s="2320"/>
      <c r="AT7" s="2320"/>
      <c r="AU7" s="2320"/>
      <c r="AV7" s="1191"/>
      <c r="AW7" s="1191"/>
      <c r="AX7" s="1191"/>
      <c r="AY7" s="1191"/>
      <c r="AZ7" s="1191"/>
      <c r="BA7" s="1191"/>
      <c r="BB7" s="1191"/>
      <c r="BC7" s="1191"/>
      <c r="BD7" s="1191"/>
      <c r="BE7" s="1192"/>
    </row>
    <row r="8" spans="1:65" thickBot="1">
      <c r="A8" s="1190"/>
      <c r="B8" s="1193" t="s">
        <v>2452</v>
      </c>
      <c r="C8" s="1191"/>
      <c r="D8" s="1191"/>
      <c r="E8" s="1191"/>
      <c r="F8" s="1191"/>
      <c r="G8" s="1191"/>
      <c r="H8" s="1191"/>
      <c r="I8" s="1191"/>
      <c r="J8" s="1191"/>
      <c r="K8" s="1191"/>
      <c r="L8" s="1191"/>
      <c r="M8" s="1191"/>
      <c r="N8" s="1191"/>
      <c r="O8" s="1191"/>
      <c r="P8" s="1191"/>
      <c r="Q8" s="1191"/>
      <c r="R8" s="1191"/>
      <c r="S8" s="1191"/>
      <c r="T8" s="1191"/>
      <c r="U8" s="1191"/>
      <c r="V8" s="1191"/>
      <c r="W8" s="1191"/>
      <c r="X8" s="1191"/>
      <c r="Y8" s="1191"/>
      <c r="Z8" s="1191"/>
      <c r="AA8" s="1191"/>
      <c r="AB8" s="2321" t="str">
        <f>Application!T197</f>
        <v>No</v>
      </c>
      <c r="AC8" s="2322"/>
      <c r="AD8" s="2323"/>
      <c r="AE8" s="1191"/>
      <c r="AF8" s="2319" t="s">
        <v>2451</v>
      </c>
      <c r="AG8" s="2319"/>
      <c r="AH8" s="2319"/>
      <c r="AI8" s="2319"/>
      <c r="AJ8" s="2319"/>
      <c r="AK8" s="2319"/>
      <c r="AL8" s="2319"/>
      <c r="AM8" s="2319"/>
      <c r="AN8" s="2319"/>
      <c r="AO8" s="2319"/>
      <c r="AP8" s="2320" t="s">
        <v>2099</v>
      </c>
      <c r="AQ8" s="2320"/>
      <c r="AR8" s="2320"/>
      <c r="AS8" s="2320"/>
      <c r="AT8" s="2320"/>
      <c r="AU8" s="2320"/>
      <c r="AV8" s="1191"/>
      <c r="AW8" s="1191"/>
      <c r="AX8" s="1191"/>
      <c r="AY8" s="1191"/>
      <c r="AZ8" s="1191"/>
      <c r="BA8" s="1191"/>
      <c r="BB8" s="1191"/>
      <c r="BC8" s="1191"/>
      <c r="BD8" s="1191"/>
      <c r="BE8" s="1192"/>
      <c r="BM8" s="1188" t="s">
        <v>1983</v>
      </c>
    </row>
    <row r="9" spans="1:65" ht="15">
      <c r="A9" s="1191"/>
      <c r="B9" s="1191"/>
      <c r="C9" s="1191"/>
      <c r="D9" s="1191"/>
      <c r="E9" s="1191"/>
      <c r="F9" s="1191"/>
      <c r="G9" s="1191"/>
      <c r="H9" s="1191"/>
      <c r="I9" s="1191"/>
      <c r="J9" s="1191"/>
      <c r="K9" s="1191"/>
      <c r="L9" s="1191"/>
      <c r="M9" s="1191"/>
      <c r="N9" s="1191"/>
      <c r="O9" s="1191"/>
      <c r="P9" s="1191"/>
      <c r="Q9" s="1191"/>
      <c r="R9" s="1191"/>
      <c r="S9" s="1191"/>
      <c r="T9" s="1191"/>
      <c r="U9" s="1191"/>
      <c r="V9" s="1191"/>
      <c r="W9" s="1191"/>
      <c r="X9" s="1191"/>
      <c r="Y9" s="1191"/>
      <c r="Z9" s="1191"/>
      <c r="AA9" s="1191"/>
      <c r="AB9" s="1191"/>
      <c r="AC9" s="1191"/>
      <c r="AD9" s="1191"/>
      <c r="AE9" s="1191"/>
      <c r="AF9" s="2312" t="s">
        <v>2450</v>
      </c>
      <c r="AG9" s="2312"/>
      <c r="AH9" s="2312"/>
      <c r="AI9" s="2312"/>
      <c r="AJ9" s="2312"/>
      <c r="AK9" s="2312"/>
      <c r="AL9" s="2312"/>
      <c r="AM9" s="2312"/>
      <c r="AN9" s="2312"/>
      <c r="AO9" s="2312"/>
      <c r="AP9" s="2313"/>
      <c r="AQ9" s="2314"/>
      <c r="AR9" s="2314"/>
      <c r="AS9" s="2314"/>
      <c r="AT9" s="2314"/>
      <c r="AU9" s="2314"/>
      <c r="AV9" s="1191"/>
      <c r="AW9" s="1191"/>
      <c r="AX9" s="1191"/>
      <c r="AY9" s="1191"/>
      <c r="AZ9" s="1191"/>
      <c r="BA9" s="1191"/>
      <c r="BB9" s="1191"/>
      <c r="BC9" s="1191"/>
      <c r="BD9" s="1191"/>
      <c r="BE9" s="1192"/>
      <c r="BM9" s="1188" t="s">
        <v>2449</v>
      </c>
    </row>
    <row r="10" spans="1:65" ht="15">
      <c r="A10" s="1190"/>
      <c r="B10" s="1193" t="s">
        <v>2448</v>
      </c>
      <c r="C10" s="1193"/>
      <c r="D10" s="1193"/>
      <c r="E10" s="1193"/>
      <c r="F10" s="1193"/>
      <c r="G10" s="1193"/>
      <c r="H10" s="1193"/>
      <c r="I10" s="1193"/>
      <c r="J10" s="1193"/>
      <c r="K10" s="1193"/>
      <c r="L10" s="1193"/>
      <c r="M10" s="1191"/>
      <c r="N10" s="2315">
        <f>Application!AO627</f>
        <v>20500000</v>
      </c>
      <c r="O10" s="2315"/>
      <c r="P10" s="2315"/>
      <c r="Q10" s="2315"/>
      <c r="R10" s="2315"/>
      <c r="S10" s="2315"/>
      <c r="T10" s="2315"/>
      <c r="U10" s="1191"/>
      <c r="V10" s="1191"/>
      <c r="W10" s="1191"/>
      <c r="X10" s="1194"/>
      <c r="Y10" s="1194"/>
      <c r="Z10" s="1194"/>
      <c r="AA10" s="1194"/>
      <c r="AB10" s="1194"/>
      <c r="AC10" s="1194"/>
      <c r="AD10" s="1194"/>
      <c r="AE10" s="1194"/>
      <c r="AF10" s="2312" t="s">
        <v>2447</v>
      </c>
      <c r="AG10" s="2312"/>
      <c r="AH10" s="2312"/>
      <c r="AI10" s="2312"/>
      <c r="AJ10" s="2312"/>
      <c r="AK10" s="2312"/>
      <c r="AL10" s="2312"/>
      <c r="AM10" s="2312"/>
      <c r="AN10" s="2312"/>
      <c r="AO10" s="2312"/>
      <c r="AP10" s="2313"/>
      <c r="AQ10" s="2314"/>
      <c r="AR10" s="2314"/>
      <c r="AS10" s="2314"/>
      <c r="AT10" s="2314"/>
      <c r="AU10" s="2314"/>
      <c r="AV10" s="1194"/>
      <c r="AW10" s="1194"/>
      <c r="AX10" s="1191"/>
      <c r="AY10" s="1191"/>
      <c r="AZ10" s="1191"/>
      <c r="BA10" s="1191"/>
      <c r="BB10" s="1191"/>
      <c r="BC10" s="1191"/>
      <c r="BD10" s="1191"/>
      <c r="BE10" s="1192"/>
      <c r="BM10" s="1188" t="s">
        <v>2446</v>
      </c>
    </row>
    <row r="11" spans="1:65" ht="15">
      <c r="A11" s="1190"/>
      <c r="B11" s="1193" t="s">
        <v>2445</v>
      </c>
      <c r="C11" s="1193"/>
      <c r="D11" s="1193"/>
      <c r="E11" s="1193"/>
      <c r="F11" s="1193"/>
      <c r="G11" s="1193"/>
      <c r="H11" s="1193"/>
      <c r="I11" s="1193"/>
      <c r="J11" s="1193"/>
      <c r="K11" s="1193"/>
      <c r="L11" s="1193"/>
      <c r="M11" s="1191"/>
      <c r="N11" s="2315">
        <f>Application!AA933</f>
        <v>0</v>
      </c>
      <c r="O11" s="2315"/>
      <c r="P11" s="2315"/>
      <c r="Q11" s="2315"/>
      <c r="R11" s="2315"/>
      <c r="S11" s="2315"/>
      <c r="T11" s="2315"/>
      <c r="U11" s="1191"/>
      <c r="V11" s="1191"/>
      <c r="W11" s="1191"/>
      <c r="X11" s="1194"/>
      <c r="Y11" s="1194"/>
      <c r="Z11" s="1194"/>
      <c r="AA11" s="1194"/>
      <c r="AB11" s="1194"/>
      <c r="AC11" s="1194"/>
      <c r="AD11" s="1194"/>
      <c r="AE11" s="1194"/>
      <c r="AF11" s="2312" t="s">
        <v>2444</v>
      </c>
      <c r="AG11" s="2312"/>
      <c r="AH11" s="2312"/>
      <c r="AI11" s="2312"/>
      <c r="AJ11" s="2312"/>
      <c r="AK11" s="2312"/>
      <c r="AL11" s="2312"/>
      <c r="AM11" s="2312"/>
      <c r="AN11" s="2312"/>
      <c r="AO11" s="2312"/>
      <c r="AP11" s="2313"/>
      <c r="AQ11" s="2314"/>
      <c r="AR11" s="2314"/>
      <c r="AS11" s="2314"/>
      <c r="AT11" s="2314"/>
      <c r="AU11" s="2314"/>
      <c r="AV11" s="1194"/>
      <c r="AW11" s="1194"/>
      <c r="AX11" s="1191"/>
      <c r="AY11" s="1191"/>
      <c r="AZ11" s="1191"/>
      <c r="BA11" s="1191"/>
      <c r="BB11" s="1191"/>
      <c r="BC11" s="1191"/>
      <c r="BD11" s="1191"/>
      <c r="BE11" s="1192"/>
      <c r="BM11" s="1188" t="s">
        <v>2099</v>
      </c>
    </row>
    <row r="12" spans="1:65" thickBot="1">
      <c r="A12" s="1191"/>
      <c r="B12" s="1191"/>
      <c r="C12" s="1191"/>
      <c r="D12" s="1191"/>
      <c r="E12" s="1191"/>
      <c r="F12" s="1191"/>
      <c r="G12" s="1191"/>
      <c r="H12" s="1191"/>
      <c r="I12" s="1191"/>
      <c r="J12" s="1191"/>
      <c r="K12" s="1191"/>
      <c r="L12" s="1191"/>
      <c r="M12" s="1191"/>
      <c r="N12" s="1191"/>
      <c r="O12" s="1191"/>
      <c r="P12" s="1191"/>
      <c r="Q12" s="1191"/>
      <c r="R12" s="1191"/>
      <c r="S12" s="1191"/>
      <c r="T12" s="1191"/>
      <c r="U12" s="1191"/>
      <c r="V12" s="1191"/>
      <c r="W12" s="1191"/>
      <c r="X12" s="1194"/>
      <c r="Y12" s="1194"/>
      <c r="Z12" s="1194"/>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1"/>
      <c r="AW12" s="1191"/>
      <c r="AX12" s="1191"/>
      <c r="AY12" s="1191"/>
      <c r="AZ12" s="1191"/>
      <c r="BA12" s="1191"/>
      <c r="BB12" s="1191"/>
      <c r="BC12" s="1191"/>
      <c r="BD12" s="1191"/>
      <c r="BE12" s="1195"/>
      <c r="BM12" s="1188" t="s">
        <v>2443</v>
      </c>
    </row>
    <row r="13" spans="1:65" thickBot="1">
      <c r="A13" s="1191"/>
      <c r="B13" s="2303" t="s">
        <v>2442</v>
      </c>
      <c r="C13" s="2304"/>
      <c r="D13" s="2304"/>
      <c r="E13" s="2304"/>
      <c r="F13" s="2304"/>
      <c r="G13" s="2304"/>
      <c r="H13" s="2304"/>
      <c r="I13" s="2304"/>
      <c r="J13" s="2304"/>
      <c r="K13" s="2304"/>
      <c r="L13" s="2304"/>
      <c r="M13" s="2304"/>
      <c r="N13" s="2304"/>
      <c r="O13" s="2304"/>
      <c r="P13" s="2305"/>
      <c r="Q13" s="2306" t="s">
        <v>669</v>
      </c>
      <c r="R13" s="2307"/>
      <c r="S13" s="2307"/>
      <c r="T13" s="2308"/>
      <c r="U13" s="1194"/>
      <c r="V13" s="1191"/>
      <c r="W13" s="1191"/>
      <c r="X13" s="1191"/>
      <c r="Y13" s="1191"/>
      <c r="Z13" s="1191"/>
      <c r="AA13" s="2293" t="s">
        <v>2441</v>
      </c>
      <c r="AB13" s="2293"/>
      <c r="AC13" s="2293"/>
      <c r="AD13" s="2293"/>
      <c r="AE13" s="2293"/>
      <c r="AF13" s="2293"/>
      <c r="AG13" s="2293"/>
      <c r="AH13" s="2293"/>
      <c r="AI13" s="2293"/>
      <c r="AJ13" s="2293"/>
      <c r="AK13" s="2293"/>
      <c r="AL13" s="2293"/>
      <c r="AM13" s="2293"/>
      <c r="AN13" s="2293"/>
      <c r="AO13" s="2309">
        <f>Application!W473</f>
        <v>0</v>
      </c>
      <c r="AP13" s="2310"/>
      <c r="AQ13" s="2310"/>
      <c r="AR13" s="2310"/>
      <c r="AS13" s="2310"/>
      <c r="AT13" s="1194"/>
      <c r="AU13" s="1194"/>
      <c r="AV13" s="1194"/>
      <c r="AW13" s="1194"/>
      <c r="AX13" s="1194"/>
      <c r="AY13" s="1194"/>
      <c r="AZ13" s="1194"/>
      <c r="BA13" s="1194"/>
      <c r="BB13" s="1194"/>
      <c r="BC13" s="1194"/>
      <c r="BD13" s="1194"/>
      <c r="BE13" s="1195"/>
      <c r="BM13" s="1188" t="s">
        <v>2440</v>
      </c>
    </row>
    <row r="14" spans="1:65" thickBot="1">
      <c r="A14" s="1191"/>
      <c r="B14" s="1191"/>
      <c r="C14" s="1191"/>
      <c r="D14" s="1191"/>
      <c r="E14" s="1191"/>
      <c r="F14" s="1191"/>
      <c r="G14" s="1191"/>
      <c r="H14" s="1191"/>
      <c r="I14" s="1191"/>
      <c r="J14" s="1191"/>
      <c r="K14" s="1191"/>
      <c r="L14" s="1191"/>
      <c r="M14" s="1191"/>
      <c r="N14" s="1191"/>
      <c r="O14" s="1191"/>
      <c r="P14" s="1191"/>
      <c r="Q14" s="1191"/>
      <c r="R14" s="1191"/>
      <c r="S14" s="1191"/>
      <c r="T14" s="1191"/>
      <c r="U14" s="1191"/>
      <c r="V14" s="1191"/>
      <c r="W14" s="1191"/>
      <c r="X14" s="1191"/>
      <c r="Y14" s="1191"/>
      <c r="Z14" s="1191"/>
      <c r="AA14" s="2311" t="s">
        <v>2439</v>
      </c>
      <c r="AB14" s="2311"/>
      <c r="AC14" s="2311"/>
      <c r="AD14" s="2311"/>
      <c r="AE14" s="2311"/>
      <c r="AF14" s="2311"/>
      <c r="AG14" s="2311"/>
      <c r="AH14" s="2311"/>
      <c r="AI14" s="2311"/>
      <c r="AJ14" s="2311"/>
      <c r="AK14" s="2311"/>
      <c r="AL14" s="2311"/>
      <c r="AM14" s="2311"/>
      <c r="AN14" s="2311"/>
      <c r="AO14" s="2294"/>
      <c r="AP14" s="2295"/>
      <c r="AQ14" s="2295"/>
      <c r="AR14" s="2295"/>
      <c r="AS14" s="2295"/>
      <c r="AT14" s="1194"/>
      <c r="AU14" s="1194"/>
      <c r="AV14" s="1194"/>
      <c r="AW14" s="1194"/>
      <c r="AX14" s="1194"/>
      <c r="AY14" s="1194"/>
      <c r="AZ14" s="1194"/>
      <c r="BA14" s="1194"/>
      <c r="BB14" s="1194"/>
      <c r="BC14" s="1194"/>
      <c r="BD14" s="1194"/>
      <c r="BE14" s="1195"/>
    </row>
    <row r="15" spans="1:65" thickBot="1">
      <c r="A15" s="1191"/>
      <c r="B15" s="2288" t="s">
        <v>2438</v>
      </c>
      <c r="C15" s="2289"/>
      <c r="D15" s="2289"/>
      <c r="E15" s="2289"/>
      <c r="F15" s="2289"/>
      <c r="G15" s="2289"/>
      <c r="H15" s="2289"/>
      <c r="I15" s="2289"/>
      <c r="J15" s="2289"/>
      <c r="K15" s="2289"/>
      <c r="L15" s="2289"/>
      <c r="M15" s="2289"/>
      <c r="N15" s="2289"/>
      <c r="O15" s="2289"/>
      <c r="P15" s="2289"/>
      <c r="Q15" s="2289"/>
      <c r="R15" s="2290"/>
      <c r="S15" s="2291" t="str">
        <f>IF(Application!AB214="","",Application!AB214)</f>
        <v/>
      </c>
      <c r="T15" s="2291"/>
      <c r="U15" s="2291"/>
      <c r="V15" s="2291"/>
      <c r="W15" s="2292"/>
      <c r="X15" s="1194"/>
      <c r="Y15" s="1191"/>
      <c r="Z15" s="1191"/>
      <c r="AA15" s="2293" t="s">
        <v>2437</v>
      </c>
      <c r="AB15" s="2293"/>
      <c r="AC15" s="2293"/>
      <c r="AD15" s="2293"/>
      <c r="AE15" s="2293"/>
      <c r="AF15" s="2293"/>
      <c r="AG15" s="2293"/>
      <c r="AH15" s="2293"/>
      <c r="AI15" s="2293"/>
      <c r="AJ15" s="2293"/>
      <c r="AK15" s="2293"/>
      <c r="AL15" s="2293"/>
      <c r="AM15" s="2293"/>
      <c r="AN15" s="2293"/>
      <c r="AO15" s="2294"/>
      <c r="AP15" s="2295"/>
      <c r="AQ15" s="2295"/>
      <c r="AR15" s="2295"/>
      <c r="AS15" s="2295"/>
      <c r="AT15" s="1194"/>
      <c r="AU15" s="1194"/>
      <c r="AV15" s="1194"/>
      <c r="AW15" s="1194"/>
      <c r="AX15" s="1194"/>
      <c r="AY15" s="1194"/>
      <c r="AZ15" s="1194"/>
      <c r="BA15" s="1194"/>
      <c r="BB15" s="1194"/>
      <c r="BC15" s="1194"/>
      <c r="BD15" s="1194"/>
      <c r="BE15" s="1195"/>
    </row>
    <row r="16" spans="1:65" thickBot="1">
      <c r="A16" s="1190"/>
      <c r="B16" s="1191"/>
      <c r="C16" s="1191"/>
      <c r="D16" s="1191"/>
      <c r="E16" s="1191"/>
      <c r="F16" s="1191"/>
      <c r="G16" s="1191"/>
      <c r="H16" s="1191"/>
      <c r="I16" s="1191"/>
      <c r="J16" s="1191"/>
      <c r="K16" s="1191"/>
      <c r="L16" s="1191"/>
      <c r="M16" s="1191"/>
      <c r="N16" s="1191"/>
      <c r="O16" s="1191"/>
      <c r="P16" s="1191"/>
      <c r="Q16" s="1191"/>
      <c r="R16" s="1191"/>
      <c r="S16" s="1191"/>
      <c r="T16" s="1191"/>
      <c r="U16" s="1191"/>
      <c r="V16" s="1191"/>
      <c r="W16" s="1191"/>
      <c r="X16" s="1191"/>
      <c r="Y16" s="1191"/>
      <c r="Z16" s="1191"/>
      <c r="AA16" s="1191"/>
      <c r="AB16" s="1191"/>
      <c r="AC16" s="1191"/>
      <c r="AD16" s="1191"/>
      <c r="AE16" s="1191"/>
      <c r="AF16" s="1191"/>
      <c r="AG16" s="1191"/>
      <c r="AH16" s="1191"/>
      <c r="AI16" s="1191"/>
      <c r="AJ16" s="1191"/>
      <c r="AK16" s="1191"/>
      <c r="AL16" s="1191"/>
      <c r="AM16" s="1191"/>
      <c r="AN16" s="1191"/>
      <c r="AO16" s="1191"/>
      <c r="AP16" s="1191"/>
      <c r="AQ16" s="1191"/>
      <c r="AR16" s="1191"/>
      <c r="AS16" s="1191"/>
      <c r="AT16" s="1191"/>
      <c r="AU16" s="1191"/>
      <c r="AV16" s="1191"/>
      <c r="AW16" s="1191"/>
      <c r="AX16" s="1191"/>
      <c r="AY16" s="1191"/>
      <c r="AZ16" s="1191"/>
      <c r="BA16" s="1191"/>
      <c r="BB16" s="1191"/>
      <c r="BC16" s="1191"/>
      <c r="BD16" s="1191"/>
      <c r="BE16" s="1195"/>
    </row>
    <row r="17" spans="1:58" ht="15">
      <c r="A17" s="1191"/>
      <c r="B17" s="2098" t="s">
        <v>2436</v>
      </c>
      <c r="C17" s="2099"/>
      <c r="D17" s="2099"/>
      <c r="E17" s="2099"/>
      <c r="F17" s="2099"/>
      <c r="G17" s="2099"/>
      <c r="H17" s="2099"/>
      <c r="I17" s="2099"/>
      <c r="J17" s="2099"/>
      <c r="K17" s="2099"/>
      <c r="L17" s="2099"/>
      <c r="M17" s="2099"/>
      <c r="N17" s="2099"/>
      <c r="O17" s="2099"/>
      <c r="P17" s="2099"/>
      <c r="Q17" s="2099"/>
      <c r="R17" s="2099"/>
      <c r="S17" s="2099"/>
      <c r="T17" s="2099"/>
      <c r="U17" s="2099"/>
      <c r="V17" s="2099"/>
      <c r="W17" s="2099"/>
      <c r="X17" s="2099"/>
      <c r="Y17" s="2099"/>
      <c r="Z17" s="2099"/>
      <c r="AA17" s="2099"/>
      <c r="AB17" s="2099"/>
      <c r="AC17" s="2099"/>
      <c r="AD17" s="2099"/>
      <c r="AE17" s="2099"/>
      <c r="AF17" s="2099"/>
      <c r="AG17" s="2099"/>
      <c r="AH17" s="2099"/>
      <c r="AI17" s="2099"/>
      <c r="AJ17" s="2099"/>
      <c r="AK17" s="2099"/>
      <c r="AL17" s="2099"/>
      <c r="AM17" s="2099"/>
      <c r="AN17" s="2099"/>
      <c r="AO17" s="2099"/>
      <c r="AP17" s="2099"/>
      <c r="AQ17" s="2099"/>
      <c r="AR17" s="2099"/>
      <c r="AS17" s="2099"/>
      <c r="AT17" s="2099"/>
      <c r="AU17" s="2099"/>
      <c r="AV17" s="2099"/>
      <c r="AW17" s="2099"/>
      <c r="AX17" s="2099"/>
      <c r="AY17" s="2100"/>
      <c r="AZ17" s="1191"/>
      <c r="BA17" s="1191"/>
      <c r="BB17" s="1191"/>
      <c r="BC17" s="1191"/>
      <c r="BD17" s="1191"/>
      <c r="BE17" s="1195"/>
      <c r="BF17" s="1189"/>
    </row>
    <row r="18" spans="1:58" ht="15.75" customHeight="1">
      <c r="A18" s="1191"/>
      <c r="B18" s="2296" t="s">
        <v>2435</v>
      </c>
      <c r="C18" s="2297"/>
      <c r="D18" s="2297"/>
      <c r="E18" s="2297"/>
      <c r="F18" s="2297"/>
      <c r="G18" s="2297"/>
      <c r="H18" s="2297"/>
      <c r="I18" s="2298"/>
      <c r="J18" s="2299" t="s">
        <v>1585</v>
      </c>
      <c r="K18" s="2300"/>
      <c r="L18" s="2300"/>
      <c r="M18" s="2300"/>
      <c r="N18" s="2300"/>
      <c r="O18" s="2301"/>
      <c r="P18" s="2299" t="s">
        <v>323</v>
      </c>
      <c r="Q18" s="2300"/>
      <c r="R18" s="2300"/>
      <c r="S18" s="2300"/>
      <c r="T18" s="2300"/>
      <c r="U18" s="2301"/>
      <c r="V18" s="2299" t="s">
        <v>324</v>
      </c>
      <c r="W18" s="2300"/>
      <c r="X18" s="2300"/>
      <c r="Y18" s="2300"/>
      <c r="Z18" s="2300"/>
      <c r="AA18" s="2301"/>
      <c r="AB18" s="2299" t="s">
        <v>163</v>
      </c>
      <c r="AC18" s="2300"/>
      <c r="AD18" s="2300"/>
      <c r="AE18" s="2300"/>
      <c r="AF18" s="2300"/>
      <c r="AG18" s="2301"/>
      <c r="AH18" s="2299" t="s">
        <v>164</v>
      </c>
      <c r="AI18" s="2300"/>
      <c r="AJ18" s="2300"/>
      <c r="AK18" s="2300"/>
      <c r="AL18" s="2300"/>
      <c r="AM18" s="2301"/>
      <c r="AN18" s="2299" t="s">
        <v>165</v>
      </c>
      <c r="AO18" s="2300"/>
      <c r="AP18" s="2300"/>
      <c r="AQ18" s="2300"/>
      <c r="AR18" s="2300"/>
      <c r="AS18" s="2301"/>
      <c r="AT18" s="2299" t="s">
        <v>2434</v>
      </c>
      <c r="AU18" s="2300"/>
      <c r="AV18" s="2300"/>
      <c r="AW18" s="2300"/>
      <c r="AX18" s="2300"/>
      <c r="AY18" s="2302"/>
      <c r="AZ18" s="1191"/>
      <c r="BA18" s="1191"/>
      <c r="BB18" s="1191"/>
      <c r="BC18" s="1191"/>
      <c r="BD18" s="1191"/>
      <c r="BE18" s="1195"/>
    </row>
    <row r="19" spans="1:58" ht="15">
      <c r="A19" s="1191"/>
      <c r="B19" s="2282">
        <v>0.3</v>
      </c>
      <c r="C19" s="2283"/>
      <c r="D19" s="2283"/>
      <c r="E19" s="2283"/>
      <c r="F19" s="2283"/>
      <c r="G19" s="2283"/>
      <c r="H19" s="2283"/>
      <c r="I19" s="2284"/>
      <c r="J19" s="2285">
        <f t="shared" ref="J19:J24" si="0">SUM(P19:AS19)</f>
        <v>24</v>
      </c>
      <c r="K19" s="2286"/>
      <c r="L19" s="2286"/>
      <c r="M19" s="2286"/>
      <c r="N19" s="2286"/>
      <c r="O19" s="2287"/>
      <c r="P19" s="2285" cm="1">
        <f t="array" ref="P19">SUMPRODUCT((Application!$B$718:$B$752 = 'CalHFA Addendum'!P$18)*(Application!$AC$718:$AC$752 = 'CalHFA Addendum'!$B19),Application!$G$718:$G$752)</f>
        <v>24</v>
      </c>
      <c r="Q19" s="2286"/>
      <c r="R19" s="2286"/>
      <c r="S19" s="2286"/>
      <c r="T19" s="2286"/>
      <c r="U19" s="2287"/>
      <c r="V19" s="2285" cm="1">
        <f t="array" ref="V19">SUMPRODUCT((Application!$B$714:$B$738 = 'CalHFA Addendum'!V$18)*(Application!$AC$714:$AC$738 = 'CalHFA Addendum'!$B19),Application!$G$714:$G$738)</f>
        <v>0</v>
      </c>
      <c r="W19" s="2286"/>
      <c r="X19" s="2286"/>
      <c r="Y19" s="2286"/>
      <c r="Z19" s="2286"/>
      <c r="AA19" s="2287"/>
      <c r="AB19" s="2285" cm="1">
        <f t="array" ref="AB19">SUMPRODUCT((Application!$B$714:$B$738 = 'CalHFA Addendum'!AB$18)*(Application!$AC$714:$AC$738 = 'CalHFA Addendum'!$B19),Application!$G$714:$G$738)</f>
        <v>0</v>
      </c>
      <c r="AC19" s="2286"/>
      <c r="AD19" s="2286"/>
      <c r="AE19" s="2286"/>
      <c r="AF19" s="2286"/>
      <c r="AG19" s="2287"/>
      <c r="AH19" s="2285" cm="1">
        <f t="array" ref="AH19">SUMPRODUCT((Application!$B$714:$B$738 = 'CalHFA Addendum'!AH$18)*(Application!$AC$714:$AC$738 = 'CalHFA Addendum'!$B19),Application!$G$714:$G$738)</f>
        <v>0</v>
      </c>
      <c r="AI19" s="2286"/>
      <c r="AJ19" s="2286"/>
      <c r="AK19" s="2286"/>
      <c r="AL19" s="2286"/>
      <c r="AM19" s="2287"/>
      <c r="AN19" s="2285" cm="1">
        <f t="array" ref="AN19">SUMPRODUCT((Application!$B$714:$B$738 = 'CalHFA Addendum'!AN$18)*(Application!$AC$714:$AC$738 = 'CalHFA Addendum'!$B19),Application!$G$714:$G$738)</f>
        <v>0</v>
      </c>
      <c r="AO19" s="2286"/>
      <c r="AP19" s="2286"/>
      <c r="AQ19" s="2286"/>
      <c r="AR19" s="2286"/>
      <c r="AS19" s="2287"/>
      <c r="AT19" s="2270">
        <f t="shared" ref="AT19:AT29" si="1">J19/$J$29</f>
        <v>0.10344827586206896</v>
      </c>
      <c r="AU19" s="2271"/>
      <c r="AV19" s="2271"/>
      <c r="AW19" s="2271"/>
      <c r="AX19" s="2271"/>
      <c r="AY19" s="2272"/>
      <c r="AZ19" s="1196"/>
      <c r="BA19" s="1191"/>
      <c r="BB19" s="1191"/>
      <c r="BC19" s="1191"/>
      <c r="BD19" s="1191"/>
      <c r="BE19" s="1195"/>
    </row>
    <row r="20" spans="1:58" ht="15" customHeight="1">
      <c r="A20" s="1191"/>
      <c r="B20" s="2282">
        <v>0.4</v>
      </c>
      <c r="C20" s="2283"/>
      <c r="D20" s="2283"/>
      <c r="E20" s="2283"/>
      <c r="F20" s="2283"/>
      <c r="G20" s="2283"/>
      <c r="H20" s="2283"/>
      <c r="I20" s="2284"/>
      <c r="J20" s="2285">
        <f t="shared" si="0"/>
        <v>0</v>
      </c>
      <c r="K20" s="2286"/>
      <c r="L20" s="2286"/>
      <c r="M20" s="2286"/>
      <c r="N20" s="2286"/>
      <c r="O20" s="2287"/>
      <c r="P20" s="2285" cm="1">
        <f t="array" ref="P20">SUMPRODUCT((Application!$B$718:$B$752 = 'CalHFA Addendum'!P$18)*(Application!$AC$718:$AC$752 = 'CalHFA Addendum'!$B20),Application!$G$718:$G$752)</f>
        <v>0</v>
      </c>
      <c r="Q20" s="2286"/>
      <c r="R20" s="2286"/>
      <c r="S20" s="2286"/>
      <c r="T20" s="2286"/>
      <c r="U20" s="2287"/>
      <c r="V20" s="2285" cm="1">
        <f t="array" ref="V20">SUMPRODUCT((Application!$B$714:$B$738 = 'CalHFA Addendum'!V$18)*(Application!$AC$714:$AC$738 = 'CalHFA Addendum'!$B20),Application!$G$714:$G$738)</f>
        <v>0</v>
      </c>
      <c r="W20" s="2286"/>
      <c r="X20" s="2286"/>
      <c r="Y20" s="2286"/>
      <c r="Z20" s="2286"/>
      <c r="AA20" s="2287"/>
      <c r="AB20" s="2285" cm="1">
        <f t="array" ref="AB20">SUMPRODUCT((Application!$B$714:$B$738 = 'CalHFA Addendum'!AB$18)*(Application!$AC$714:$AC$738 = 'CalHFA Addendum'!$B20),Application!$G$714:$G$738)</f>
        <v>0</v>
      </c>
      <c r="AC20" s="2286"/>
      <c r="AD20" s="2286"/>
      <c r="AE20" s="2286"/>
      <c r="AF20" s="2286"/>
      <c r="AG20" s="2287"/>
      <c r="AH20" s="2285" cm="1">
        <f t="array" ref="AH20">SUMPRODUCT((Application!$B$714:$B$738 = 'CalHFA Addendum'!AH$18)*(Application!$AC$714:$AC$738 = 'CalHFA Addendum'!$B20),Application!$G$714:$G$738)</f>
        <v>0</v>
      </c>
      <c r="AI20" s="2286"/>
      <c r="AJ20" s="2286"/>
      <c r="AK20" s="2286"/>
      <c r="AL20" s="2286"/>
      <c r="AM20" s="2287"/>
      <c r="AN20" s="2285" cm="1">
        <f t="array" ref="AN20">SUMPRODUCT((Application!$B$714:$B$738 = 'CalHFA Addendum'!AN$18)*(Application!$AC$714:$AC$738 = 'CalHFA Addendum'!$B20),Application!$G$714:$G$738)</f>
        <v>0</v>
      </c>
      <c r="AO20" s="2286"/>
      <c r="AP20" s="2286"/>
      <c r="AQ20" s="2286"/>
      <c r="AR20" s="2286"/>
      <c r="AS20" s="2287"/>
      <c r="AT20" s="2270">
        <f t="shared" si="1"/>
        <v>0</v>
      </c>
      <c r="AU20" s="2271"/>
      <c r="AV20" s="2271"/>
      <c r="AW20" s="2271"/>
      <c r="AX20" s="2271"/>
      <c r="AY20" s="2272"/>
      <c r="AZ20" s="1191"/>
      <c r="BA20" s="1191"/>
      <c r="BB20" s="1191"/>
      <c r="BC20" s="1191"/>
      <c r="BD20" s="1191"/>
      <c r="BE20" s="1195"/>
    </row>
    <row r="21" spans="1:58" ht="15">
      <c r="A21" s="1191"/>
      <c r="B21" s="2282">
        <v>0.5</v>
      </c>
      <c r="C21" s="2283"/>
      <c r="D21" s="2283"/>
      <c r="E21" s="2283"/>
      <c r="F21" s="2283"/>
      <c r="G21" s="2283"/>
      <c r="H21" s="2283"/>
      <c r="I21" s="2284"/>
      <c r="J21" s="2285">
        <f t="shared" si="0"/>
        <v>24</v>
      </c>
      <c r="K21" s="2286"/>
      <c r="L21" s="2286"/>
      <c r="M21" s="2286"/>
      <c r="N21" s="2286"/>
      <c r="O21" s="2287"/>
      <c r="P21" s="2285" cm="1">
        <f t="array" ref="P21">SUMPRODUCT((Application!$B$714:$B$738 = 'CalHFA Addendum'!P$18)*(Application!$AC$714:$AC$738 = 'CalHFA Addendum'!$B21),Application!$G$714:$G$738)</f>
        <v>24</v>
      </c>
      <c r="Q21" s="2286"/>
      <c r="R21" s="2286"/>
      <c r="S21" s="2286"/>
      <c r="T21" s="2286"/>
      <c r="U21" s="2287"/>
      <c r="V21" s="2285" cm="1">
        <f t="array" ref="V21">SUMPRODUCT((Application!$B$714:$B$738 = 'CalHFA Addendum'!V$18)*(Application!$AC$714:$AC$738 = 'CalHFA Addendum'!$B21),Application!$G$714:$G$738)</f>
        <v>0</v>
      </c>
      <c r="W21" s="2286"/>
      <c r="X21" s="2286"/>
      <c r="Y21" s="2286"/>
      <c r="Z21" s="2286"/>
      <c r="AA21" s="2287"/>
      <c r="AB21" s="2285" cm="1">
        <f t="array" ref="AB21">SUMPRODUCT((Application!$B$714:$B$738 = 'CalHFA Addendum'!AB$18)*(Application!$AC$714:$AC$738 = 'CalHFA Addendum'!$B21),Application!$G$714:$G$738)</f>
        <v>0</v>
      </c>
      <c r="AC21" s="2286"/>
      <c r="AD21" s="2286"/>
      <c r="AE21" s="2286"/>
      <c r="AF21" s="2286"/>
      <c r="AG21" s="2287"/>
      <c r="AH21" s="2285" cm="1">
        <f t="array" ref="AH21">SUMPRODUCT((Application!$B$714:$B$738 = 'CalHFA Addendum'!AH$18)*(Application!$AC$714:$AC$738 = 'CalHFA Addendum'!$B21),Application!$G$714:$G$738)</f>
        <v>0</v>
      </c>
      <c r="AI21" s="2286"/>
      <c r="AJ21" s="2286"/>
      <c r="AK21" s="2286"/>
      <c r="AL21" s="2286"/>
      <c r="AM21" s="2287"/>
      <c r="AN21" s="2285" cm="1">
        <f t="array" ref="AN21">SUMPRODUCT((Application!$B$714:$B$738 = 'CalHFA Addendum'!AN$18)*(Application!$AC$714:$AC$738 = 'CalHFA Addendum'!$B21),Application!$G$714:$G$738)</f>
        <v>0</v>
      </c>
      <c r="AO21" s="2286"/>
      <c r="AP21" s="2286"/>
      <c r="AQ21" s="2286"/>
      <c r="AR21" s="2286"/>
      <c r="AS21" s="2287"/>
      <c r="AT21" s="2270">
        <f t="shared" si="1"/>
        <v>0.10344827586206896</v>
      </c>
      <c r="AU21" s="2271"/>
      <c r="AV21" s="2271"/>
      <c r="AW21" s="2271"/>
      <c r="AX21" s="2271"/>
      <c r="AY21" s="2272"/>
      <c r="AZ21" s="1191"/>
      <c r="BA21" s="1191"/>
      <c r="BB21" s="1191"/>
      <c r="BC21" s="1191"/>
      <c r="BD21" s="1191"/>
      <c r="BE21" s="1195"/>
    </row>
    <row r="22" spans="1:58" ht="15">
      <c r="A22" s="1191"/>
      <c r="B22" s="2282">
        <v>0.6</v>
      </c>
      <c r="C22" s="2283"/>
      <c r="D22" s="2283"/>
      <c r="E22" s="2283"/>
      <c r="F22" s="2283"/>
      <c r="G22" s="2283"/>
      <c r="H22" s="2283"/>
      <c r="I22" s="2284"/>
      <c r="J22" s="2285">
        <f t="shared" si="0"/>
        <v>126</v>
      </c>
      <c r="K22" s="2286"/>
      <c r="L22" s="2286"/>
      <c r="M22" s="2286"/>
      <c r="N22" s="2286"/>
      <c r="O22" s="2287"/>
      <c r="P22" s="2285" cm="1">
        <f t="array" ref="P22">SUMPRODUCT((Application!$B$714:$B$738 = 'CalHFA Addendum'!P$18)*(Application!$AC$714:$AC$738 = 'CalHFA Addendum'!$B22),Application!$G$714:$G$738)</f>
        <v>53</v>
      </c>
      <c r="Q22" s="2286"/>
      <c r="R22" s="2286"/>
      <c r="S22" s="2286"/>
      <c r="T22" s="2286"/>
      <c r="U22" s="2287"/>
      <c r="V22" s="2285" cm="1">
        <f t="array" ref="V22">SUMPRODUCT((Application!$B$714:$B$738 = 'CalHFA Addendum'!V$18)*(Application!$AC$714:$AC$738 = 'CalHFA Addendum'!$B22),Application!$G$714:$G$738)</f>
        <v>36</v>
      </c>
      <c r="W22" s="2286"/>
      <c r="X22" s="2286"/>
      <c r="Y22" s="2286"/>
      <c r="Z22" s="2286"/>
      <c r="AA22" s="2287"/>
      <c r="AB22" s="2285" cm="1">
        <f t="array" ref="AB22">SUMPRODUCT((Application!$B$714:$B$738 = 'CalHFA Addendum'!AB$18)*(Application!$AC$714:$AC$738 = 'CalHFA Addendum'!$B22),Application!$G$714:$G$738)</f>
        <v>37</v>
      </c>
      <c r="AC22" s="2286"/>
      <c r="AD22" s="2286"/>
      <c r="AE22" s="2286"/>
      <c r="AF22" s="2286"/>
      <c r="AG22" s="2287"/>
      <c r="AH22" s="2285" cm="1">
        <f t="array" ref="AH22">SUMPRODUCT((Application!$B$714:$B$738 = 'CalHFA Addendum'!AH$18)*(Application!$AC$714:$AC$738 = 'CalHFA Addendum'!$B22),Application!$G$714:$G$738)</f>
        <v>0</v>
      </c>
      <c r="AI22" s="2286"/>
      <c r="AJ22" s="2286"/>
      <c r="AK22" s="2286"/>
      <c r="AL22" s="2286"/>
      <c r="AM22" s="2287"/>
      <c r="AN22" s="2285" cm="1">
        <f t="array" ref="AN22">SUMPRODUCT((Application!$B$714:$B$738 = 'CalHFA Addendum'!AN$18)*(Application!$AC$714:$AC$738 = 'CalHFA Addendum'!$B22),Application!$G$714:$G$738)</f>
        <v>0</v>
      </c>
      <c r="AO22" s="2286"/>
      <c r="AP22" s="2286"/>
      <c r="AQ22" s="2286"/>
      <c r="AR22" s="2286"/>
      <c r="AS22" s="2287"/>
      <c r="AT22" s="2270">
        <f t="shared" si="1"/>
        <v>0.5431034482758621</v>
      </c>
      <c r="AU22" s="2271"/>
      <c r="AV22" s="2271"/>
      <c r="AW22" s="2271"/>
      <c r="AX22" s="2271"/>
      <c r="AY22" s="2272"/>
      <c r="AZ22" s="1191"/>
      <c r="BA22" s="1191"/>
      <c r="BB22" s="1191"/>
      <c r="BC22" s="1191"/>
      <c r="BD22" s="1191"/>
      <c r="BE22" s="1195"/>
    </row>
    <row r="23" spans="1:58" ht="15">
      <c r="A23" s="1191"/>
      <c r="B23" s="2282">
        <v>0.7</v>
      </c>
      <c r="C23" s="2283"/>
      <c r="D23" s="2283"/>
      <c r="E23" s="2283"/>
      <c r="F23" s="2283"/>
      <c r="G23" s="2283"/>
      <c r="H23" s="2283"/>
      <c r="I23" s="2284"/>
      <c r="J23" s="2285">
        <f t="shared" si="0"/>
        <v>56</v>
      </c>
      <c r="K23" s="2286"/>
      <c r="L23" s="2286"/>
      <c r="M23" s="2286"/>
      <c r="N23" s="2286"/>
      <c r="O23" s="2287"/>
      <c r="P23" s="2285" cm="1">
        <f t="array" ref="P23">SUMPRODUCT((Application!$B$714:$B$738 = 'CalHFA Addendum'!P$18)*(Application!$AC$714:$AC$738 = 'CalHFA Addendum'!$B23),Application!$G$714:$G$738)</f>
        <v>0</v>
      </c>
      <c r="Q23" s="2286"/>
      <c r="R23" s="2286"/>
      <c r="S23" s="2286"/>
      <c r="T23" s="2286"/>
      <c r="U23" s="2287"/>
      <c r="V23" s="2285" cm="1">
        <f t="array" ref="V23">SUMPRODUCT((Application!$B$714:$B$738 = 'CalHFA Addendum'!V$18)*(Application!$AC$714:$AC$738 = 'CalHFA Addendum'!$B23),Application!$G$714:$G$738)</f>
        <v>0</v>
      </c>
      <c r="W23" s="2286"/>
      <c r="X23" s="2286"/>
      <c r="Y23" s="2286"/>
      <c r="Z23" s="2286"/>
      <c r="AA23" s="2287"/>
      <c r="AB23" s="2285" cm="1">
        <f t="array" ref="AB23">SUMPRODUCT((Application!$B$714:$B$738 = 'CalHFA Addendum'!AB$18)*(Application!$AC$714:$AC$738 = 'CalHFA Addendum'!$B23),Application!$G$714:$G$738)</f>
        <v>56</v>
      </c>
      <c r="AC23" s="2286"/>
      <c r="AD23" s="2286"/>
      <c r="AE23" s="2286"/>
      <c r="AF23" s="2286"/>
      <c r="AG23" s="2287"/>
      <c r="AH23" s="2285" cm="1">
        <f t="array" ref="AH23">SUMPRODUCT((Application!$B$714:$B$738 = 'CalHFA Addendum'!AH$18)*(Application!$AC$714:$AC$738 = 'CalHFA Addendum'!$B23),Application!$G$714:$G$738)</f>
        <v>0</v>
      </c>
      <c r="AI23" s="2286"/>
      <c r="AJ23" s="2286"/>
      <c r="AK23" s="2286"/>
      <c r="AL23" s="2286"/>
      <c r="AM23" s="2287"/>
      <c r="AN23" s="2285" cm="1">
        <f t="array" ref="AN23">SUMPRODUCT((Application!$B$714:$B$738 = 'CalHFA Addendum'!AN$18)*(Application!$AC$714:$AC$738 = 'CalHFA Addendum'!$B23),Application!$G$714:$G$738)</f>
        <v>0</v>
      </c>
      <c r="AO23" s="2286"/>
      <c r="AP23" s="2286"/>
      <c r="AQ23" s="2286"/>
      <c r="AR23" s="2286"/>
      <c r="AS23" s="2287"/>
      <c r="AT23" s="2270">
        <f t="shared" si="1"/>
        <v>0.2413793103448276</v>
      </c>
      <c r="AU23" s="2271"/>
      <c r="AV23" s="2271"/>
      <c r="AW23" s="2271"/>
      <c r="AX23" s="2271"/>
      <c r="AY23" s="2272"/>
      <c r="AZ23" s="1191"/>
      <c r="BA23" s="1191"/>
      <c r="BB23" s="1191"/>
      <c r="BC23" s="1191"/>
      <c r="BD23" s="1191"/>
      <c r="BE23" s="1195"/>
    </row>
    <row r="24" spans="1:58" ht="15">
      <c r="A24" s="1191"/>
      <c r="B24" s="2282">
        <v>0.8</v>
      </c>
      <c r="C24" s="2283"/>
      <c r="D24" s="2283"/>
      <c r="E24" s="2283"/>
      <c r="F24" s="2283"/>
      <c r="G24" s="2283"/>
      <c r="H24" s="2283"/>
      <c r="I24" s="2284"/>
      <c r="J24" s="2285">
        <f t="shared" si="0"/>
        <v>0</v>
      </c>
      <c r="K24" s="2286"/>
      <c r="L24" s="2286"/>
      <c r="M24" s="2286"/>
      <c r="N24" s="2286"/>
      <c r="O24" s="2287"/>
      <c r="P24" s="2285" cm="1">
        <f t="array" ref="P24">SUMPRODUCT((Application!$B$714:$B$738 = 'CalHFA Addendum'!P$18)*(Application!$AC$714:$AC$738 = 'CalHFA Addendum'!$B24),Application!$G$714:$G$738)</f>
        <v>0</v>
      </c>
      <c r="Q24" s="2286"/>
      <c r="R24" s="2286"/>
      <c r="S24" s="2286"/>
      <c r="T24" s="2286"/>
      <c r="U24" s="2287"/>
      <c r="V24" s="2285" cm="1">
        <f t="array" ref="V24">SUMPRODUCT((Application!$B$714:$B$738 = 'CalHFA Addendum'!V$18)*(Application!$AC$714:$AC$738 = 'CalHFA Addendum'!$B24),Application!$G$714:$G$738)</f>
        <v>0</v>
      </c>
      <c r="W24" s="2286"/>
      <c r="X24" s="2286"/>
      <c r="Y24" s="2286"/>
      <c r="Z24" s="2286"/>
      <c r="AA24" s="2287"/>
      <c r="AB24" s="2285" cm="1">
        <f t="array" ref="AB24">SUMPRODUCT((Application!$B$714:$B$738 = 'CalHFA Addendum'!AB$18)*(Application!$AC$714:$AC$738 = 'CalHFA Addendum'!$B24),Application!$G$714:$G$738)</f>
        <v>0</v>
      </c>
      <c r="AC24" s="2286"/>
      <c r="AD24" s="2286"/>
      <c r="AE24" s="2286"/>
      <c r="AF24" s="2286"/>
      <c r="AG24" s="2287"/>
      <c r="AH24" s="2285" cm="1">
        <f t="array" ref="AH24">SUMPRODUCT((Application!$B$714:$B$738 = 'CalHFA Addendum'!AH$18)*(Application!$AC$714:$AC$738 = 'CalHFA Addendum'!$B24),Application!$G$714:$G$738)</f>
        <v>0</v>
      </c>
      <c r="AI24" s="2286"/>
      <c r="AJ24" s="2286"/>
      <c r="AK24" s="2286"/>
      <c r="AL24" s="2286"/>
      <c r="AM24" s="2287"/>
      <c r="AN24" s="2285" cm="1">
        <f t="array" ref="AN24">SUMPRODUCT((Application!$B$714:$B$738 = 'CalHFA Addendum'!AN$18)*(Application!$AC$714:$AC$738 = 'CalHFA Addendum'!$B24),Application!$G$714:$G$738)</f>
        <v>0</v>
      </c>
      <c r="AO24" s="2286"/>
      <c r="AP24" s="2286"/>
      <c r="AQ24" s="2286"/>
      <c r="AR24" s="2286"/>
      <c r="AS24" s="2287"/>
      <c r="AT24" s="2270">
        <f t="shared" si="1"/>
        <v>0</v>
      </c>
      <c r="AU24" s="2271"/>
      <c r="AV24" s="2271"/>
      <c r="AW24" s="2271"/>
      <c r="AX24" s="2271"/>
      <c r="AY24" s="2272"/>
      <c r="AZ24" s="1191"/>
      <c r="BA24" s="1191"/>
      <c r="BB24" s="1191"/>
      <c r="BC24" s="1191"/>
      <c r="BD24" s="1191"/>
      <c r="BE24" s="1195"/>
    </row>
    <row r="25" spans="1:58" ht="15">
      <c r="A25" s="1191"/>
      <c r="B25" s="2282">
        <v>0.9</v>
      </c>
      <c r="C25" s="2283"/>
      <c r="D25" s="2283"/>
      <c r="E25" s="2283"/>
      <c r="F25" s="2283"/>
      <c r="G25" s="2283"/>
      <c r="H25" s="2283"/>
      <c r="I25" s="2284"/>
      <c r="J25" s="2267"/>
      <c r="K25" s="2268"/>
      <c r="L25" s="2268"/>
      <c r="M25" s="2268"/>
      <c r="N25" s="2268"/>
      <c r="O25" s="2269"/>
      <c r="P25" s="2267"/>
      <c r="Q25" s="2268"/>
      <c r="R25" s="2268"/>
      <c r="S25" s="2268"/>
      <c r="T25" s="2268"/>
      <c r="U25" s="2269"/>
      <c r="V25" s="2267"/>
      <c r="W25" s="2268"/>
      <c r="X25" s="2268"/>
      <c r="Y25" s="2268"/>
      <c r="Z25" s="2268"/>
      <c r="AA25" s="2269"/>
      <c r="AB25" s="2267"/>
      <c r="AC25" s="2268"/>
      <c r="AD25" s="2268"/>
      <c r="AE25" s="2268"/>
      <c r="AF25" s="2268"/>
      <c r="AG25" s="2269"/>
      <c r="AH25" s="2267"/>
      <c r="AI25" s="2268"/>
      <c r="AJ25" s="2268"/>
      <c r="AK25" s="2268"/>
      <c r="AL25" s="2268"/>
      <c r="AM25" s="2269"/>
      <c r="AN25" s="2267"/>
      <c r="AO25" s="2268"/>
      <c r="AP25" s="2268"/>
      <c r="AQ25" s="2268"/>
      <c r="AR25" s="2268"/>
      <c r="AS25" s="2269"/>
      <c r="AT25" s="2270">
        <f t="shared" si="1"/>
        <v>0</v>
      </c>
      <c r="AU25" s="2271"/>
      <c r="AV25" s="2271"/>
      <c r="AW25" s="2271"/>
      <c r="AX25" s="2271"/>
      <c r="AY25" s="2272"/>
      <c r="AZ25" s="1191"/>
      <c r="BA25" s="1191"/>
      <c r="BB25" s="1191"/>
      <c r="BC25" s="1191"/>
      <c r="BD25" s="1191"/>
      <c r="BE25" s="1195"/>
    </row>
    <row r="26" spans="1:58" ht="15">
      <c r="A26" s="1191"/>
      <c r="B26" s="2282">
        <v>1</v>
      </c>
      <c r="C26" s="2283"/>
      <c r="D26" s="2283"/>
      <c r="E26" s="2283"/>
      <c r="F26" s="2283"/>
      <c r="G26" s="2283"/>
      <c r="H26" s="2283"/>
      <c r="I26" s="2284"/>
      <c r="J26" s="2267"/>
      <c r="K26" s="2268"/>
      <c r="L26" s="2268"/>
      <c r="M26" s="2268"/>
      <c r="N26" s="2268"/>
      <c r="O26" s="2269"/>
      <c r="P26" s="2267"/>
      <c r="Q26" s="2268"/>
      <c r="R26" s="2268"/>
      <c r="S26" s="2268"/>
      <c r="T26" s="2268"/>
      <c r="U26" s="2269"/>
      <c r="V26" s="2267"/>
      <c r="W26" s="2268"/>
      <c r="X26" s="2268"/>
      <c r="Y26" s="2268"/>
      <c r="Z26" s="2268"/>
      <c r="AA26" s="2269"/>
      <c r="AB26" s="2267"/>
      <c r="AC26" s="2268"/>
      <c r="AD26" s="2268"/>
      <c r="AE26" s="2268"/>
      <c r="AF26" s="2268"/>
      <c r="AG26" s="2269"/>
      <c r="AH26" s="2267"/>
      <c r="AI26" s="2268"/>
      <c r="AJ26" s="2268"/>
      <c r="AK26" s="2268"/>
      <c r="AL26" s="2268"/>
      <c r="AM26" s="2269"/>
      <c r="AN26" s="2267"/>
      <c r="AO26" s="2268"/>
      <c r="AP26" s="2268"/>
      <c r="AQ26" s="2268"/>
      <c r="AR26" s="2268"/>
      <c r="AS26" s="2269"/>
      <c r="AT26" s="2270">
        <f t="shared" si="1"/>
        <v>0</v>
      </c>
      <c r="AU26" s="2271"/>
      <c r="AV26" s="2271"/>
      <c r="AW26" s="2271"/>
      <c r="AX26" s="2271"/>
      <c r="AY26" s="2272"/>
      <c r="AZ26" s="1191"/>
      <c r="BA26" s="1191"/>
      <c r="BB26" s="1191"/>
      <c r="BC26" s="1191"/>
      <c r="BD26" s="1191"/>
      <c r="BE26" s="1195"/>
    </row>
    <row r="27" spans="1:58" ht="15">
      <c r="A27" s="1191"/>
      <c r="B27" s="2282">
        <v>1.2</v>
      </c>
      <c r="C27" s="2283"/>
      <c r="D27" s="2283"/>
      <c r="E27" s="2283"/>
      <c r="F27" s="2283"/>
      <c r="G27" s="2283"/>
      <c r="H27" s="2283"/>
      <c r="I27" s="2284"/>
      <c r="J27" s="2267"/>
      <c r="K27" s="2268"/>
      <c r="L27" s="2268"/>
      <c r="M27" s="2268"/>
      <c r="N27" s="2268"/>
      <c r="O27" s="2269"/>
      <c r="P27" s="2267"/>
      <c r="Q27" s="2268"/>
      <c r="R27" s="2268"/>
      <c r="S27" s="2268"/>
      <c r="T27" s="2268"/>
      <c r="U27" s="2269"/>
      <c r="V27" s="2267"/>
      <c r="W27" s="2268"/>
      <c r="X27" s="2268"/>
      <c r="Y27" s="2268"/>
      <c r="Z27" s="2268"/>
      <c r="AA27" s="2269"/>
      <c r="AB27" s="2267"/>
      <c r="AC27" s="2268"/>
      <c r="AD27" s="2268"/>
      <c r="AE27" s="2268"/>
      <c r="AF27" s="2268"/>
      <c r="AG27" s="2269"/>
      <c r="AH27" s="2267"/>
      <c r="AI27" s="2268"/>
      <c r="AJ27" s="2268"/>
      <c r="AK27" s="2268"/>
      <c r="AL27" s="2268"/>
      <c r="AM27" s="2269"/>
      <c r="AN27" s="2267"/>
      <c r="AO27" s="2268"/>
      <c r="AP27" s="2268"/>
      <c r="AQ27" s="2268"/>
      <c r="AR27" s="2268"/>
      <c r="AS27" s="2269"/>
      <c r="AT27" s="2270">
        <f t="shared" si="1"/>
        <v>0</v>
      </c>
      <c r="AU27" s="2271"/>
      <c r="AV27" s="2271"/>
      <c r="AW27" s="2271"/>
      <c r="AX27" s="2271"/>
      <c r="AY27" s="2272"/>
      <c r="AZ27" s="1191"/>
      <c r="BA27" s="1191"/>
      <c r="BB27" s="1191"/>
      <c r="BC27" s="1191"/>
      <c r="BD27" s="1191"/>
      <c r="BE27" s="1195"/>
    </row>
    <row r="28" spans="1:58" thickBot="1">
      <c r="A28" s="1191"/>
      <c r="B28" s="2273" t="s">
        <v>2433</v>
      </c>
      <c r="C28" s="2274"/>
      <c r="D28" s="2274"/>
      <c r="E28" s="2274"/>
      <c r="F28" s="2274"/>
      <c r="G28" s="2274"/>
      <c r="H28" s="2274"/>
      <c r="I28" s="2275"/>
      <c r="J28" s="2276">
        <f>SUM(P28:AS28)</f>
        <v>2</v>
      </c>
      <c r="K28" s="2277"/>
      <c r="L28" s="2277"/>
      <c r="M28" s="2277"/>
      <c r="N28" s="2277"/>
      <c r="O28" s="2278"/>
      <c r="P28" s="2276">
        <f>_xlfn.IFNA(VLOOKUP(P$18,Application!$J$773:$S$776,6,FALSE), 0)</f>
        <v>0</v>
      </c>
      <c r="Q28" s="2277"/>
      <c r="R28" s="2277"/>
      <c r="S28" s="2277"/>
      <c r="T28" s="2277"/>
      <c r="U28" s="2278"/>
      <c r="V28" s="2276">
        <f>_xlfn.IFNA(VLOOKUP(V$18,Application!$J$773:$S$776,6,FALSE), 0)</f>
        <v>0</v>
      </c>
      <c r="W28" s="2277"/>
      <c r="X28" s="2277"/>
      <c r="Y28" s="2277"/>
      <c r="Z28" s="2277"/>
      <c r="AA28" s="2278"/>
      <c r="AB28" s="2276">
        <f>_xlfn.IFNA(VLOOKUP(AB$18,Application!$J$773:$S$776,6,FALSE), 0)</f>
        <v>2</v>
      </c>
      <c r="AC28" s="2277"/>
      <c r="AD28" s="2277"/>
      <c r="AE28" s="2277"/>
      <c r="AF28" s="2277"/>
      <c r="AG28" s="2278"/>
      <c r="AH28" s="2276">
        <f>_xlfn.IFNA(VLOOKUP(AH$18,Application!$J$773:$S$776,6,FALSE), 0)</f>
        <v>0</v>
      </c>
      <c r="AI28" s="2277"/>
      <c r="AJ28" s="2277"/>
      <c r="AK28" s="2277"/>
      <c r="AL28" s="2277"/>
      <c r="AM28" s="2278"/>
      <c r="AN28" s="2276">
        <f>_xlfn.IFNA(VLOOKUP(AN$18,Application!$J$773:$S$776,6,FALSE), 0)</f>
        <v>0</v>
      </c>
      <c r="AO28" s="2277"/>
      <c r="AP28" s="2277"/>
      <c r="AQ28" s="2277"/>
      <c r="AR28" s="2277"/>
      <c r="AS28" s="2278"/>
      <c r="AT28" s="2279">
        <f t="shared" si="1"/>
        <v>8.6206896551724137E-3</v>
      </c>
      <c r="AU28" s="2280"/>
      <c r="AV28" s="2280"/>
      <c r="AW28" s="2280"/>
      <c r="AX28" s="2280"/>
      <c r="AY28" s="2281"/>
      <c r="AZ28" s="1191"/>
      <c r="BA28" s="1191"/>
      <c r="BB28" s="1191"/>
      <c r="BC28" s="1191"/>
      <c r="BD28" s="1191"/>
      <c r="BE28" s="1195"/>
    </row>
    <row r="29" spans="1:58" thickBot="1">
      <c r="A29" s="1191"/>
      <c r="B29" s="2256" t="s">
        <v>1585</v>
      </c>
      <c r="C29" s="2229"/>
      <c r="D29" s="2229"/>
      <c r="E29" s="2229"/>
      <c r="F29" s="2229"/>
      <c r="G29" s="2229"/>
      <c r="H29" s="2229"/>
      <c r="I29" s="2230"/>
      <c r="J29" s="2228">
        <f>SUM(J19:O28)</f>
        <v>232</v>
      </c>
      <c r="K29" s="2229"/>
      <c r="L29" s="2229"/>
      <c r="M29" s="2229"/>
      <c r="N29" s="2229"/>
      <c r="O29" s="2230"/>
      <c r="P29" s="2228">
        <f>SUM(P19:U28)</f>
        <v>101</v>
      </c>
      <c r="Q29" s="2229"/>
      <c r="R29" s="2229"/>
      <c r="S29" s="2229"/>
      <c r="T29" s="2229"/>
      <c r="U29" s="2230"/>
      <c r="V29" s="2228">
        <f>SUM(V19:AA28)</f>
        <v>36</v>
      </c>
      <c r="W29" s="2229"/>
      <c r="X29" s="2229"/>
      <c r="Y29" s="2229"/>
      <c r="Z29" s="2229"/>
      <c r="AA29" s="2230"/>
      <c r="AB29" s="2228">
        <f>SUM(AB19:AG28)</f>
        <v>95</v>
      </c>
      <c r="AC29" s="2229"/>
      <c r="AD29" s="2229"/>
      <c r="AE29" s="2229"/>
      <c r="AF29" s="2229"/>
      <c r="AG29" s="2230"/>
      <c r="AH29" s="2228">
        <f>SUM(AH19:AM28)</f>
        <v>0</v>
      </c>
      <c r="AI29" s="2229"/>
      <c r="AJ29" s="2229"/>
      <c r="AK29" s="2229"/>
      <c r="AL29" s="2229"/>
      <c r="AM29" s="2230"/>
      <c r="AN29" s="2228">
        <f>SUM(AN19:AS28)</f>
        <v>0</v>
      </c>
      <c r="AO29" s="2229"/>
      <c r="AP29" s="2229"/>
      <c r="AQ29" s="2229"/>
      <c r="AR29" s="2229"/>
      <c r="AS29" s="2230"/>
      <c r="AT29" s="2231">
        <f t="shared" si="1"/>
        <v>1</v>
      </c>
      <c r="AU29" s="2232"/>
      <c r="AV29" s="2232"/>
      <c r="AW29" s="2232"/>
      <c r="AX29" s="2232"/>
      <c r="AY29" s="2233"/>
      <c r="AZ29" s="1191"/>
      <c r="BA29" s="1191"/>
      <c r="BB29" s="1191"/>
      <c r="BC29" s="1191"/>
      <c r="BD29" s="1191"/>
      <c r="BE29" s="1195"/>
    </row>
    <row r="30" spans="1:58" thickBot="1">
      <c r="A30" s="1190"/>
      <c r="B30" s="1191"/>
      <c r="C30" s="1191"/>
      <c r="D30" s="1191"/>
      <c r="E30" s="1191"/>
      <c r="F30" s="1191"/>
      <c r="G30" s="1191"/>
      <c r="H30" s="1191"/>
      <c r="I30" s="1191"/>
      <c r="J30" s="1191"/>
      <c r="K30" s="1191"/>
      <c r="L30" s="1191"/>
      <c r="M30" s="1191"/>
      <c r="N30" s="1191"/>
      <c r="O30" s="1191"/>
      <c r="P30" s="1191"/>
      <c r="Q30" s="1191"/>
      <c r="R30" s="1191"/>
      <c r="S30" s="1191"/>
      <c r="T30" s="1191"/>
      <c r="U30" s="1191"/>
      <c r="V30" s="1191"/>
      <c r="W30" s="1191"/>
      <c r="X30" s="1191"/>
      <c r="Y30" s="1191"/>
      <c r="Z30" s="1191"/>
      <c r="AA30" s="1191"/>
      <c r="AB30" s="1191"/>
      <c r="AC30" s="1191"/>
      <c r="AD30" s="1191"/>
      <c r="AE30" s="1191"/>
      <c r="AF30" s="1191"/>
      <c r="AG30" s="1191"/>
      <c r="AH30" s="1191"/>
      <c r="AI30" s="1191"/>
      <c r="AJ30" s="1191"/>
      <c r="AK30" s="1191"/>
      <c r="AL30" s="1191"/>
      <c r="AM30" s="1191"/>
      <c r="AN30" s="1191"/>
      <c r="AO30" s="1191"/>
      <c r="AP30" s="1191"/>
      <c r="AQ30" s="1191"/>
      <c r="AR30" s="1191"/>
      <c r="AS30" s="1191"/>
      <c r="AT30" s="1191"/>
      <c r="AU30" s="1191"/>
      <c r="AV30" s="1191"/>
      <c r="AW30" s="1191"/>
      <c r="AX30" s="1191"/>
      <c r="AY30" s="1191"/>
      <c r="AZ30" s="1191"/>
      <c r="BA30" s="1191"/>
      <c r="BB30" s="1191"/>
      <c r="BC30" s="1191"/>
      <c r="BD30" s="1191"/>
      <c r="BE30" s="1195"/>
    </row>
    <row r="31" spans="1:58" thickBot="1">
      <c r="A31" s="1191"/>
      <c r="B31" s="2234" t="s">
        <v>2432</v>
      </c>
      <c r="C31" s="2235"/>
      <c r="D31" s="2235"/>
      <c r="E31" s="2235"/>
      <c r="F31" s="2235"/>
      <c r="G31" s="2235"/>
      <c r="H31" s="2235"/>
      <c r="I31" s="2235"/>
      <c r="J31" s="2235"/>
      <c r="K31" s="2235"/>
      <c r="L31" s="2235"/>
      <c r="M31" s="2235"/>
      <c r="N31" s="2235"/>
      <c r="O31" s="2235"/>
      <c r="P31" s="2235"/>
      <c r="Q31" s="2235"/>
      <c r="R31" s="2235"/>
      <c r="S31" s="2235"/>
      <c r="T31" s="2235"/>
      <c r="U31" s="2235"/>
      <c r="V31" s="2235"/>
      <c r="W31" s="2235"/>
      <c r="X31" s="2235"/>
      <c r="Y31" s="2235"/>
      <c r="Z31" s="2235"/>
      <c r="AA31" s="2235"/>
      <c r="AB31" s="2235"/>
      <c r="AC31" s="2235"/>
      <c r="AD31" s="2235"/>
      <c r="AE31" s="2235"/>
      <c r="AF31" s="2235"/>
      <c r="AG31" s="2235"/>
      <c r="AH31" s="2235"/>
      <c r="AI31" s="2235"/>
      <c r="AJ31" s="2235"/>
      <c r="AK31" s="2235"/>
      <c r="AL31" s="2235"/>
      <c r="AM31" s="2235"/>
      <c r="AN31" s="2235"/>
      <c r="AO31" s="2235"/>
      <c r="AP31" s="2235"/>
      <c r="AQ31" s="2235"/>
      <c r="AR31" s="2235"/>
      <c r="AS31" s="2235"/>
      <c r="AT31" s="2235"/>
      <c r="AU31" s="2235"/>
      <c r="AV31" s="2235"/>
      <c r="AW31" s="2235"/>
      <c r="AX31" s="2235"/>
      <c r="AY31" s="2235"/>
      <c r="AZ31" s="2235"/>
      <c r="BA31" s="2235"/>
      <c r="BB31" s="2235"/>
      <c r="BC31" s="2235"/>
      <c r="BD31" s="2236"/>
      <c r="BE31" s="1195"/>
    </row>
    <row r="32" spans="1:58" thickBot="1">
      <c r="A32" s="1191"/>
      <c r="B32" s="2237" t="s">
        <v>2431</v>
      </c>
      <c r="C32" s="2238"/>
      <c r="D32" s="2238"/>
      <c r="E32" s="2238"/>
      <c r="F32" s="2238"/>
      <c r="G32" s="2238"/>
      <c r="H32" s="2238"/>
      <c r="I32" s="2238"/>
      <c r="J32" s="2241" t="s">
        <v>2430</v>
      </c>
      <c r="K32" s="2242"/>
      <c r="L32" s="2242"/>
      <c r="M32" s="2242"/>
      <c r="N32" s="2241" t="s">
        <v>2429</v>
      </c>
      <c r="O32" s="2242"/>
      <c r="P32" s="2242"/>
      <c r="Q32" s="2244"/>
      <c r="R32" s="2246" t="s">
        <v>2428</v>
      </c>
      <c r="S32" s="2247"/>
      <c r="T32" s="2247"/>
      <c r="U32" s="2247"/>
      <c r="V32" s="2247"/>
      <c r="W32" s="2247"/>
      <c r="X32" s="2247"/>
      <c r="Y32" s="2247"/>
      <c r="Z32" s="2247"/>
      <c r="AA32" s="2247"/>
      <c r="AB32" s="2247"/>
      <c r="AC32" s="2247"/>
      <c r="AD32" s="2247"/>
      <c r="AE32" s="2247"/>
      <c r="AF32" s="2247"/>
      <c r="AG32" s="2247"/>
      <c r="AH32" s="2247"/>
      <c r="AI32" s="2247"/>
      <c r="AJ32" s="2247"/>
      <c r="AK32" s="2247"/>
      <c r="AL32" s="2247"/>
      <c r="AM32" s="2247"/>
      <c r="AN32" s="2247"/>
      <c r="AO32" s="2247"/>
      <c r="AP32" s="2247"/>
      <c r="AQ32" s="2247"/>
      <c r="AR32" s="2247"/>
      <c r="AS32" s="2247"/>
      <c r="AT32" s="2247"/>
      <c r="AU32" s="2247"/>
      <c r="AV32" s="2247"/>
      <c r="AW32" s="2247"/>
      <c r="AX32" s="2247"/>
      <c r="AY32" s="2247"/>
      <c r="AZ32" s="2247"/>
      <c r="BA32" s="2247"/>
      <c r="BB32" s="2247"/>
      <c r="BC32" s="2247"/>
      <c r="BD32" s="2248"/>
      <c r="BE32" s="1195"/>
    </row>
    <row r="33" spans="1:58" ht="15" customHeight="1">
      <c r="A33" s="1191"/>
      <c r="B33" s="2239"/>
      <c r="C33" s="2240"/>
      <c r="D33" s="2240"/>
      <c r="E33" s="2240"/>
      <c r="F33" s="2240"/>
      <c r="G33" s="2240"/>
      <c r="H33" s="2240"/>
      <c r="I33" s="2240"/>
      <c r="J33" s="2243"/>
      <c r="K33" s="2243"/>
      <c r="L33" s="2243"/>
      <c r="M33" s="2243"/>
      <c r="N33" s="2243"/>
      <c r="O33" s="2243"/>
      <c r="P33" s="2243"/>
      <c r="Q33" s="2245"/>
      <c r="R33" s="2249" t="s">
        <v>2427</v>
      </c>
      <c r="S33" s="2250"/>
      <c r="T33" s="2250"/>
      <c r="U33" s="2250"/>
      <c r="V33" s="2250"/>
      <c r="W33" s="2250"/>
      <c r="X33" s="2250"/>
      <c r="Y33" s="2250"/>
      <c r="Z33" s="2250"/>
      <c r="AA33" s="2250"/>
      <c r="AB33" s="2250"/>
      <c r="AC33" s="2250"/>
      <c r="AD33" s="2250"/>
      <c r="AE33" s="2250"/>
      <c r="AF33" s="2250"/>
      <c r="AG33" s="2250"/>
      <c r="AH33" s="2250"/>
      <c r="AI33" s="2250"/>
      <c r="AJ33" s="2250"/>
      <c r="AK33" s="2250"/>
      <c r="AL33" s="2250"/>
      <c r="AM33" s="2250"/>
      <c r="AN33" s="2250"/>
      <c r="AO33" s="2250"/>
      <c r="AP33" s="2250"/>
      <c r="AQ33" s="2250"/>
      <c r="AR33" s="2250"/>
      <c r="AS33" s="2250"/>
      <c r="AT33" s="2250"/>
      <c r="AU33" s="2250"/>
      <c r="AV33" s="2250"/>
      <c r="AW33" s="2250"/>
      <c r="AX33" s="2250"/>
      <c r="AY33" s="2250"/>
      <c r="AZ33" s="2250"/>
      <c r="BA33" s="2250"/>
      <c r="BB33" s="2250"/>
      <c r="BC33" s="2250"/>
      <c r="BD33" s="2251"/>
      <c r="BE33" s="1195"/>
    </row>
    <row r="34" spans="1:58" ht="15.75" customHeight="1" thickBot="1">
      <c r="A34" s="1191"/>
      <c r="B34" s="2239"/>
      <c r="C34" s="2240"/>
      <c r="D34" s="2240"/>
      <c r="E34" s="2240"/>
      <c r="F34" s="2240"/>
      <c r="G34" s="2240"/>
      <c r="H34" s="2240"/>
      <c r="I34" s="2240"/>
      <c r="J34" s="2243"/>
      <c r="K34" s="2243"/>
      <c r="L34" s="2243"/>
      <c r="M34" s="2243"/>
      <c r="N34" s="2243"/>
      <c r="O34" s="2243"/>
      <c r="P34" s="2243"/>
      <c r="Q34" s="2245"/>
      <c r="R34" s="2252"/>
      <c r="S34" s="2253"/>
      <c r="T34" s="2253"/>
      <c r="U34" s="2253"/>
      <c r="V34" s="2253"/>
      <c r="W34" s="2253"/>
      <c r="X34" s="2253"/>
      <c r="Y34" s="2253"/>
      <c r="Z34" s="2253"/>
      <c r="AA34" s="2253"/>
      <c r="AB34" s="2253"/>
      <c r="AC34" s="2253"/>
      <c r="AD34" s="2253"/>
      <c r="AE34" s="2253"/>
      <c r="AF34" s="2253"/>
      <c r="AG34" s="2253"/>
      <c r="AH34" s="2253"/>
      <c r="AI34" s="2253"/>
      <c r="AJ34" s="2253"/>
      <c r="AK34" s="2253"/>
      <c r="AL34" s="2253"/>
      <c r="AM34" s="2253"/>
      <c r="AN34" s="2253"/>
      <c r="AO34" s="2253"/>
      <c r="AP34" s="2253"/>
      <c r="AQ34" s="2253"/>
      <c r="AR34" s="2253"/>
      <c r="AS34" s="2253"/>
      <c r="AT34" s="2253"/>
      <c r="AU34" s="2253"/>
      <c r="AV34" s="2253"/>
      <c r="AW34" s="2253"/>
      <c r="AX34" s="2253"/>
      <c r="AY34" s="2253"/>
      <c r="AZ34" s="2253"/>
      <c r="BA34" s="2253"/>
      <c r="BB34" s="2253"/>
      <c r="BC34" s="2253"/>
      <c r="BD34" s="2254"/>
      <c r="BE34" s="1195"/>
    </row>
    <row r="35" spans="1:58" ht="15.75" customHeight="1">
      <c r="A35" s="1191"/>
      <c r="B35" s="2239"/>
      <c r="C35" s="2240"/>
      <c r="D35" s="2240"/>
      <c r="E35" s="2240"/>
      <c r="F35" s="2240"/>
      <c r="G35" s="2240"/>
      <c r="H35" s="2240"/>
      <c r="I35" s="2240"/>
      <c r="J35" s="2243"/>
      <c r="K35" s="2243"/>
      <c r="L35" s="2243"/>
      <c r="M35" s="2243"/>
      <c r="N35" s="2243"/>
      <c r="O35" s="2243"/>
      <c r="P35" s="2243"/>
      <c r="Q35" s="2243"/>
      <c r="R35" s="2255">
        <v>0.3</v>
      </c>
      <c r="S35" s="2255"/>
      <c r="T35" s="2255"/>
      <c r="U35" s="2255"/>
      <c r="V35" s="2255">
        <v>0.4</v>
      </c>
      <c r="W35" s="2255"/>
      <c r="X35" s="2255"/>
      <c r="Y35" s="2255"/>
      <c r="Z35" s="2255">
        <v>0.5</v>
      </c>
      <c r="AA35" s="2255"/>
      <c r="AB35" s="2255"/>
      <c r="AC35" s="2255"/>
      <c r="AD35" s="2255">
        <v>0.6</v>
      </c>
      <c r="AE35" s="2255"/>
      <c r="AF35" s="2255"/>
      <c r="AG35" s="2255"/>
      <c r="AH35" s="2255">
        <v>0.7</v>
      </c>
      <c r="AI35" s="2255"/>
      <c r="AJ35" s="2255"/>
      <c r="AK35" s="2255"/>
      <c r="AL35" s="2260">
        <v>0.8</v>
      </c>
      <c r="AM35" s="2261"/>
      <c r="AN35" s="2261"/>
      <c r="AO35" s="2262"/>
      <c r="AP35" s="2263">
        <v>1.2</v>
      </c>
      <c r="AQ35" s="2264"/>
      <c r="AR35" s="2265"/>
      <c r="AS35" s="2257" t="s">
        <v>2426</v>
      </c>
      <c r="AT35" s="2258"/>
      <c r="AU35" s="2258"/>
      <c r="AV35" s="2258"/>
      <c r="AW35" s="2258"/>
      <c r="AX35" s="2266"/>
      <c r="AY35" s="2257" t="s">
        <v>2425</v>
      </c>
      <c r="AZ35" s="2258"/>
      <c r="BA35" s="2258"/>
      <c r="BB35" s="2258"/>
      <c r="BC35" s="2258"/>
      <c r="BD35" s="2259"/>
      <c r="BE35" s="1195"/>
    </row>
    <row r="36" spans="1:58" ht="15.75" customHeight="1">
      <c r="A36" s="1191"/>
      <c r="B36" s="2161" t="s">
        <v>2424</v>
      </c>
      <c r="C36" s="2162"/>
      <c r="D36" s="2162"/>
      <c r="E36" s="2162"/>
      <c r="F36" s="2162"/>
      <c r="G36" s="2162"/>
      <c r="H36" s="2162"/>
      <c r="I36" s="2162"/>
      <c r="J36" s="2226" t="s">
        <v>2423</v>
      </c>
      <c r="K36" s="2226"/>
      <c r="L36" s="2226"/>
      <c r="M36" s="2226"/>
      <c r="N36" s="2226">
        <v>55</v>
      </c>
      <c r="O36" s="2226"/>
      <c r="P36" s="2226"/>
      <c r="Q36" s="2226"/>
      <c r="R36" s="2227"/>
      <c r="S36" s="2227"/>
      <c r="T36" s="2227"/>
      <c r="U36" s="2227"/>
      <c r="V36" s="2227"/>
      <c r="W36" s="2227"/>
      <c r="X36" s="2227"/>
      <c r="Y36" s="2227"/>
      <c r="Z36" s="2227"/>
      <c r="AA36" s="2227"/>
      <c r="AB36" s="2227"/>
      <c r="AC36" s="2227"/>
      <c r="AD36" s="2227"/>
      <c r="AE36" s="2227"/>
      <c r="AF36" s="2227"/>
      <c r="AG36" s="2227"/>
      <c r="AH36" s="2227"/>
      <c r="AI36" s="2227"/>
      <c r="AJ36" s="2227"/>
      <c r="AK36" s="2227"/>
      <c r="AL36" s="2211"/>
      <c r="AM36" s="2212"/>
      <c r="AN36" s="2212"/>
      <c r="AO36" s="2213"/>
      <c r="AP36" s="2211"/>
      <c r="AQ36" s="2212"/>
      <c r="AR36" s="2213"/>
      <c r="AS36" s="2214">
        <f t="shared" ref="AS36:AS47" si="2">SUM(R36:AR36)</f>
        <v>0</v>
      </c>
      <c r="AT36" s="2215"/>
      <c r="AU36" s="2215"/>
      <c r="AV36" s="2215"/>
      <c r="AW36" s="2215"/>
      <c r="AX36" s="2216"/>
      <c r="AY36" s="2217">
        <f t="shared" ref="AY36:AY47" si="3">AS36/$J$29</f>
        <v>0</v>
      </c>
      <c r="AZ36" s="2218"/>
      <c r="BA36" s="2218"/>
      <c r="BB36" s="2218"/>
      <c r="BC36" s="2218"/>
      <c r="BD36" s="2219"/>
      <c r="BE36" s="1195"/>
    </row>
    <row r="37" spans="1:58" ht="15.75" customHeight="1">
      <c r="A37" s="1191"/>
      <c r="B37" s="2161" t="s">
        <v>2422</v>
      </c>
      <c r="C37" s="2162"/>
      <c r="D37" s="2162"/>
      <c r="E37" s="2162"/>
      <c r="F37" s="2162"/>
      <c r="G37" s="2162"/>
      <c r="H37" s="2162"/>
      <c r="I37" s="2162"/>
      <c r="J37" s="2226" t="s">
        <v>2421</v>
      </c>
      <c r="K37" s="2226"/>
      <c r="L37" s="2226"/>
      <c r="M37" s="2226"/>
      <c r="N37" s="2226">
        <v>55</v>
      </c>
      <c r="O37" s="2226"/>
      <c r="P37" s="2226"/>
      <c r="Q37" s="2226"/>
      <c r="R37" s="2227"/>
      <c r="S37" s="2227"/>
      <c r="T37" s="2227"/>
      <c r="U37" s="2227"/>
      <c r="V37" s="2227"/>
      <c r="W37" s="2227"/>
      <c r="X37" s="2227"/>
      <c r="Y37" s="2227"/>
      <c r="Z37" s="2227"/>
      <c r="AA37" s="2227"/>
      <c r="AB37" s="2227"/>
      <c r="AC37" s="2227"/>
      <c r="AD37" s="2227"/>
      <c r="AE37" s="2227"/>
      <c r="AF37" s="2227"/>
      <c r="AG37" s="2227"/>
      <c r="AH37" s="2227"/>
      <c r="AI37" s="2227"/>
      <c r="AJ37" s="2227"/>
      <c r="AK37" s="2227"/>
      <c r="AL37" s="2211"/>
      <c r="AM37" s="2212"/>
      <c r="AN37" s="2212"/>
      <c r="AO37" s="2213"/>
      <c r="AP37" s="2211"/>
      <c r="AQ37" s="2212"/>
      <c r="AR37" s="2213"/>
      <c r="AS37" s="2214">
        <f t="shared" si="2"/>
        <v>0</v>
      </c>
      <c r="AT37" s="2215"/>
      <c r="AU37" s="2215"/>
      <c r="AV37" s="2215"/>
      <c r="AW37" s="2215"/>
      <c r="AX37" s="2216"/>
      <c r="AY37" s="2217">
        <f t="shared" si="3"/>
        <v>0</v>
      </c>
      <c r="AZ37" s="2218"/>
      <c r="BA37" s="2218"/>
      <c r="BB37" s="2218"/>
      <c r="BC37" s="2218"/>
      <c r="BD37" s="2219"/>
      <c r="BE37" s="1195"/>
    </row>
    <row r="38" spans="1:58" ht="15.75" customHeight="1">
      <c r="A38" s="1191"/>
      <c r="B38" s="2161" t="s">
        <v>2420</v>
      </c>
      <c r="C38" s="2162"/>
      <c r="D38" s="2162"/>
      <c r="E38" s="2162"/>
      <c r="F38" s="2162"/>
      <c r="G38" s="2162"/>
      <c r="H38" s="2162"/>
      <c r="I38" s="2162"/>
      <c r="J38" s="2226" t="s">
        <v>2419</v>
      </c>
      <c r="K38" s="2226"/>
      <c r="L38" s="2226"/>
      <c r="M38" s="2226"/>
      <c r="N38" s="2226">
        <v>55</v>
      </c>
      <c r="O38" s="2226"/>
      <c r="P38" s="2226"/>
      <c r="Q38" s="2226"/>
      <c r="R38" s="2227"/>
      <c r="S38" s="2227"/>
      <c r="T38" s="2227"/>
      <c r="U38" s="2227"/>
      <c r="V38" s="2227"/>
      <c r="W38" s="2227"/>
      <c r="X38" s="2227"/>
      <c r="Y38" s="2227"/>
      <c r="Z38" s="2227"/>
      <c r="AA38" s="2227"/>
      <c r="AB38" s="2227"/>
      <c r="AC38" s="2227"/>
      <c r="AD38" s="2227"/>
      <c r="AE38" s="2227"/>
      <c r="AF38" s="2227"/>
      <c r="AG38" s="2227"/>
      <c r="AH38" s="2227"/>
      <c r="AI38" s="2227"/>
      <c r="AJ38" s="2227"/>
      <c r="AK38" s="2227"/>
      <c r="AL38" s="2211"/>
      <c r="AM38" s="2212"/>
      <c r="AN38" s="2212"/>
      <c r="AO38" s="2213"/>
      <c r="AP38" s="2211"/>
      <c r="AQ38" s="2212"/>
      <c r="AR38" s="2213"/>
      <c r="AS38" s="2214">
        <f t="shared" si="2"/>
        <v>0</v>
      </c>
      <c r="AT38" s="2215"/>
      <c r="AU38" s="2215"/>
      <c r="AV38" s="2215"/>
      <c r="AW38" s="2215"/>
      <c r="AX38" s="2216"/>
      <c r="AY38" s="2217">
        <f t="shared" si="3"/>
        <v>0</v>
      </c>
      <c r="AZ38" s="2218"/>
      <c r="BA38" s="2218"/>
      <c r="BB38" s="2218"/>
      <c r="BC38" s="2218"/>
      <c r="BD38" s="2219"/>
      <c r="BE38" s="1195"/>
    </row>
    <row r="39" spans="1:58" ht="15.75" customHeight="1">
      <c r="A39" s="1191"/>
      <c r="B39" s="2161" t="s">
        <v>2418</v>
      </c>
      <c r="C39" s="2162"/>
      <c r="D39" s="2162"/>
      <c r="E39" s="2162"/>
      <c r="F39" s="2162"/>
      <c r="G39" s="2162"/>
      <c r="H39" s="2162"/>
      <c r="I39" s="2162"/>
      <c r="J39" s="2226"/>
      <c r="K39" s="2226"/>
      <c r="L39" s="2226"/>
      <c r="M39" s="2226"/>
      <c r="N39" s="2226"/>
      <c r="O39" s="2226"/>
      <c r="P39" s="2226"/>
      <c r="Q39" s="2226"/>
      <c r="R39" s="2227"/>
      <c r="S39" s="2227"/>
      <c r="T39" s="2227"/>
      <c r="U39" s="2227"/>
      <c r="V39" s="2227"/>
      <c r="W39" s="2227"/>
      <c r="X39" s="2227"/>
      <c r="Y39" s="2227"/>
      <c r="Z39" s="2227"/>
      <c r="AA39" s="2227"/>
      <c r="AB39" s="2227"/>
      <c r="AC39" s="2227"/>
      <c r="AD39" s="2227"/>
      <c r="AE39" s="2227"/>
      <c r="AF39" s="2227"/>
      <c r="AG39" s="2227"/>
      <c r="AH39" s="2227"/>
      <c r="AI39" s="2227"/>
      <c r="AJ39" s="2227"/>
      <c r="AK39" s="2227"/>
      <c r="AL39" s="2211"/>
      <c r="AM39" s="2212"/>
      <c r="AN39" s="2212"/>
      <c r="AO39" s="2213"/>
      <c r="AP39" s="2211"/>
      <c r="AQ39" s="2212"/>
      <c r="AR39" s="2213"/>
      <c r="AS39" s="2214">
        <f t="shared" si="2"/>
        <v>0</v>
      </c>
      <c r="AT39" s="2215"/>
      <c r="AU39" s="2215"/>
      <c r="AV39" s="2215"/>
      <c r="AW39" s="2215"/>
      <c r="AX39" s="2216"/>
      <c r="AY39" s="2217">
        <f t="shared" si="3"/>
        <v>0</v>
      </c>
      <c r="AZ39" s="2218"/>
      <c r="BA39" s="2218"/>
      <c r="BB39" s="2218"/>
      <c r="BC39" s="2218"/>
      <c r="BD39" s="2219"/>
      <c r="BE39" s="1195"/>
    </row>
    <row r="40" spans="1:58" ht="15.75" customHeight="1">
      <c r="A40" s="1191"/>
      <c r="B40" s="2161" t="s">
        <v>2418</v>
      </c>
      <c r="C40" s="2162"/>
      <c r="D40" s="2162"/>
      <c r="E40" s="2162"/>
      <c r="F40" s="2162"/>
      <c r="G40" s="2162"/>
      <c r="H40" s="2162"/>
      <c r="I40" s="2162"/>
      <c r="J40" s="2226"/>
      <c r="K40" s="2226"/>
      <c r="L40" s="2226"/>
      <c r="M40" s="2226"/>
      <c r="N40" s="2226"/>
      <c r="O40" s="2226"/>
      <c r="P40" s="2226"/>
      <c r="Q40" s="2226"/>
      <c r="R40" s="2227"/>
      <c r="S40" s="2227"/>
      <c r="T40" s="2227"/>
      <c r="U40" s="2227"/>
      <c r="V40" s="2227"/>
      <c r="W40" s="2227"/>
      <c r="X40" s="2227"/>
      <c r="Y40" s="2227"/>
      <c r="Z40" s="2227"/>
      <c r="AA40" s="2227"/>
      <c r="AB40" s="2227"/>
      <c r="AC40" s="2227"/>
      <c r="AD40" s="2227"/>
      <c r="AE40" s="2227"/>
      <c r="AF40" s="2227"/>
      <c r="AG40" s="2227"/>
      <c r="AH40" s="2227"/>
      <c r="AI40" s="2227"/>
      <c r="AJ40" s="2227"/>
      <c r="AK40" s="2227"/>
      <c r="AL40" s="2211"/>
      <c r="AM40" s="2212"/>
      <c r="AN40" s="2212"/>
      <c r="AO40" s="2213"/>
      <c r="AP40" s="2211"/>
      <c r="AQ40" s="2212"/>
      <c r="AR40" s="2213"/>
      <c r="AS40" s="2214">
        <f t="shared" si="2"/>
        <v>0</v>
      </c>
      <c r="AT40" s="2215"/>
      <c r="AU40" s="2215"/>
      <c r="AV40" s="2215"/>
      <c r="AW40" s="2215"/>
      <c r="AX40" s="2216"/>
      <c r="AY40" s="2217">
        <f t="shared" si="3"/>
        <v>0</v>
      </c>
      <c r="AZ40" s="2218"/>
      <c r="BA40" s="2218"/>
      <c r="BB40" s="2218"/>
      <c r="BC40" s="2218"/>
      <c r="BD40" s="2219"/>
      <c r="BE40" s="1195"/>
    </row>
    <row r="41" spans="1:58" ht="15.75" customHeight="1">
      <c r="A41" s="1191"/>
      <c r="B41" s="2161" t="s">
        <v>2417</v>
      </c>
      <c r="C41" s="2162"/>
      <c r="D41" s="2162"/>
      <c r="E41" s="2162"/>
      <c r="F41" s="2162"/>
      <c r="G41" s="2162"/>
      <c r="H41" s="2162"/>
      <c r="I41" s="2162"/>
      <c r="J41" s="2226"/>
      <c r="K41" s="2226"/>
      <c r="L41" s="2226"/>
      <c r="M41" s="2226"/>
      <c r="N41" s="2226"/>
      <c r="O41" s="2226"/>
      <c r="P41" s="2226"/>
      <c r="Q41" s="2226"/>
      <c r="R41" s="2227"/>
      <c r="S41" s="2227"/>
      <c r="T41" s="2227"/>
      <c r="U41" s="2227"/>
      <c r="V41" s="2227"/>
      <c r="W41" s="2227"/>
      <c r="X41" s="2227"/>
      <c r="Y41" s="2227"/>
      <c r="Z41" s="2227"/>
      <c r="AA41" s="2227"/>
      <c r="AB41" s="2227"/>
      <c r="AC41" s="2227"/>
      <c r="AD41" s="2227"/>
      <c r="AE41" s="2227"/>
      <c r="AF41" s="2227"/>
      <c r="AG41" s="2227"/>
      <c r="AH41" s="2227"/>
      <c r="AI41" s="2227"/>
      <c r="AJ41" s="2227"/>
      <c r="AK41" s="2227"/>
      <c r="AL41" s="2211"/>
      <c r="AM41" s="2212"/>
      <c r="AN41" s="2212"/>
      <c r="AO41" s="2213"/>
      <c r="AP41" s="2211"/>
      <c r="AQ41" s="2212"/>
      <c r="AR41" s="2213"/>
      <c r="AS41" s="2214">
        <f t="shared" si="2"/>
        <v>0</v>
      </c>
      <c r="AT41" s="2215"/>
      <c r="AU41" s="2215"/>
      <c r="AV41" s="2215"/>
      <c r="AW41" s="2215"/>
      <c r="AX41" s="2216"/>
      <c r="AY41" s="2217">
        <f t="shared" si="3"/>
        <v>0</v>
      </c>
      <c r="AZ41" s="2218"/>
      <c r="BA41" s="2218"/>
      <c r="BB41" s="2218"/>
      <c r="BC41" s="2218"/>
      <c r="BD41" s="2219"/>
      <c r="BE41" s="1195"/>
    </row>
    <row r="42" spans="1:58" ht="15.75" customHeight="1">
      <c r="A42" s="1191"/>
      <c r="B42" s="2161" t="s">
        <v>2417</v>
      </c>
      <c r="C42" s="2162"/>
      <c r="D42" s="2162"/>
      <c r="E42" s="2162"/>
      <c r="F42" s="2162"/>
      <c r="G42" s="2162"/>
      <c r="H42" s="2162"/>
      <c r="I42" s="2162"/>
      <c r="J42" s="2226"/>
      <c r="K42" s="2226"/>
      <c r="L42" s="2226"/>
      <c r="M42" s="2226"/>
      <c r="N42" s="2226"/>
      <c r="O42" s="2226"/>
      <c r="P42" s="2226"/>
      <c r="Q42" s="2226"/>
      <c r="R42" s="2227"/>
      <c r="S42" s="2227"/>
      <c r="T42" s="2227"/>
      <c r="U42" s="2227"/>
      <c r="V42" s="2227"/>
      <c r="W42" s="2227"/>
      <c r="X42" s="2227"/>
      <c r="Y42" s="2227"/>
      <c r="Z42" s="2227"/>
      <c r="AA42" s="2227"/>
      <c r="AB42" s="2227"/>
      <c r="AC42" s="2227"/>
      <c r="AD42" s="2227"/>
      <c r="AE42" s="2227"/>
      <c r="AF42" s="2227"/>
      <c r="AG42" s="2227"/>
      <c r="AH42" s="2227"/>
      <c r="AI42" s="2227"/>
      <c r="AJ42" s="2227"/>
      <c r="AK42" s="2227"/>
      <c r="AL42" s="2211"/>
      <c r="AM42" s="2212"/>
      <c r="AN42" s="2212"/>
      <c r="AO42" s="2213"/>
      <c r="AP42" s="2211"/>
      <c r="AQ42" s="2212"/>
      <c r="AR42" s="2213"/>
      <c r="AS42" s="2214">
        <f t="shared" si="2"/>
        <v>0</v>
      </c>
      <c r="AT42" s="2215"/>
      <c r="AU42" s="2215"/>
      <c r="AV42" s="2215"/>
      <c r="AW42" s="2215"/>
      <c r="AX42" s="2216"/>
      <c r="AY42" s="2217">
        <f t="shared" si="3"/>
        <v>0</v>
      </c>
      <c r="AZ42" s="2218"/>
      <c r="BA42" s="2218"/>
      <c r="BB42" s="2218"/>
      <c r="BC42" s="2218"/>
      <c r="BD42" s="2219"/>
      <c r="BE42" s="1195"/>
    </row>
    <row r="43" spans="1:58" ht="15.75" customHeight="1">
      <c r="A43" s="1191"/>
      <c r="B43" s="2166" t="s">
        <v>2416</v>
      </c>
      <c r="C43" s="2167"/>
      <c r="D43" s="2167"/>
      <c r="E43" s="2167"/>
      <c r="F43" s="2167"/>
      <c r="G43" s="2167"/>
      <c r="H43" s="2167"/>
      <c r="I43" s="2167"/>
      <c r="J43" s="2226"/>
      <c r="K43" s="2226"/>
      <c r="L43" s="2226"/>
      <c r="M43" s="2226"/>
      <c r="N43" s="2226"/>
      <c r="O43" s="2226"/>
      <c r="P43" s="2226"/>
      <c r="Q43" s="2226"/>
      <c r="R43" s="2227"/>
      <c r="S43" s="2227"/>
      <c r="T43" s="2227"/>
      <c r="U43" s="2227"/>
      <c r="V43" s="2227"/>
      <c r="W43" s="2227"/>
      <c r="X43" s="2227"/>
      <c r="Y43" s="2227"/>
      <c r="Z43" s="2227"/>
      <c r="AA43" s="2227"/>
      <c r="AB43" s="2227"/>
      <c r="AC43" s="2227"/>
      <c r="AD43" s="2227"/>
      <c r="AE43" s="2227"/>
      <c r="AF43" s="2227"/>
      <c r="AG43" s="2227"/>
      <c r="AH43" s="2227"/>
      <c r="AI43" s="2227"/>
      <c r="AJ43" s="2227"/>
      <c r="AK43" s="2227"/>
      <c r="AL43" s="2211"/>
      <c r="AM43" s="2212"/>
      <c r="AN43" s="2212"/>
      <c r="AO43" s="2213"/>
      <c r="AP43" s="2211"/>
      <c r="AQ43" s="2212"/>
      <c r="AR43" s="2213"/>
      <c r="AS43" s="2214">
        <f t="shared" si="2"/>
        <v>0</v>
      </c>
      <c r="AT43" s="2215"/>
      <c r="AU43" s="2215"/>
      <c r="AV43" s="2215"/>
      <c r="AW43" s="2215"/>
      <c r="AX43" s="2216"/>
      <c r="AY43" s="2217">
        <f t="shared" si="3"/>
        <v>0</v>
      </c>
      <c r="AZ43" s="2218"/>
      <c r="BA43" s="2218"/>
      <c r="BB43" s="2218"/>
      <c r="BC43" s="2218"/>
      <c r="BD43" s="2219"/>
      <c r="BE43" s="1195"/>
    </row>
    <row r="44" spans="1:58" ht="15.75" customHeight="1">
      <c r="A44" s="1191"/>
      <c r="B44" s="2166" t="s">
        <v>2415</v>
      </c>
      <c r="C44" s="2167"/>
      <c r="D44" s="2167"/>
      <c r="E44" s="2167"/>
      <c r="F44" s="2167"/>
      <c r="G44" s="2167"/>
      <c r="H44" s="2167"/>
      <c r="I44" s="2167"/>
      <c r="J44" s="2226"/>
      <c r="K44" s="2226"/>
      <c r="L44" s="2226"/>
      <c r="M44" s="2226"/>
      <c r="N44" s="2226"/>
      <c r="O44" s="2226"/>
      <c r="P44" s="2226"/>
      <c r="Q44" s="2226"/>
      <c r="R44" s="2227"/>
      <c r="S44" s="2227"/>
      <c r="T44" s="2227"/>
      <c r="U44" s="2227"/>
      <c r="V44" s="2227"/>
      <c r="W44" s="2227"/>
      <c r="X44" s="2227"/>
      <c r="Y44" s="2227"/>
      <c r="Z44" s="2227"/>
      <c r="AA44" s="2227"/>
      <c r="AB44" s="2227"/>
      <c r="AC44" s="2227"/>
      <c r="AD44" s="2227"/>
      <c r="AE44" s="2227"/>
      <c r="AF44" s="2227"/>
      <c r="AG44" s="2227"/>
      <c r="AH44" s="2227"/>
      <c r="AI44" s="2227"/>
      <c r="AJ44" s="2227"/>
      <c r="AK44" s="2227"/>
      <c r="AL44" s="2211"/>
      <c r="AM44" s="2212"/>
      <c r="AN44" s="2212"/>
      <c r="AO44" s="2213"/>
      <c r="AP44" s="2211"/>
      <c r="AQ44" s="2212"/>
      <c r="AR44" s="2213"/>
      <c r="AS44" s="2214">
        <f t="shared" si="2"/>
        <v>0</v>
      </c>
      <c r="AT44" s="2215"/>
      <c r="AU44" s="2215"/>
      <c r="AV44" s="2215"/>
      <c r="AW44" s="2215"/>
      <c r="AX44" s="2216"/>
      <c r="AY44" s="2217">
        <f t="shared" si="3"/>
        <v>0</v>
      </c>
      <c r="AZ44" s="2218"/>
      <c r="BA44" s="2218"/>
      <c r="BB44" s="2218"/>
      <c r="BC44" s="2218"/>
      <c r="BD44" s="2219"/>
      <c r="BE44" s="1195"/>
    </row>
    <row r="45" spans="1:58" ht="15.75" customHeight="1">
      <c r="A45" s="1191"/>
      <c r="B45" s="2166" t="s">
        <v>2414</v>
      </c>
      <c r="C45" s="2167"/>
      <c r="D45" s="2167"/>
      <c r="E45" s="2167"/>
      <c r="F45" s="2167"/>
      <c r="G45" s="2167"/>
      <c r="H45" s="2167"/>
      <c r="I45" s="2167"/>
      <c r="J45" s="2226"/>
      <c r="K45" s="2226"/>
      <c r="L45" s="2226"/>
      <c r="M45" s="2226"/>
      <c r="N45" s="2226"/>
      <c r="O45" s="2226"/>
      <c r="P45" s="2226"/>
      <c r="Q45" s="2226"/>
      <c r="R45" s="2227"/>
      <c r="S45" s="2227"/>
      <c r="T45" s="2227"/>
      <c r="U45" s="2227"/>
      <c r="V45" s="2227"/>
      <c r="W45" s="2227"/>
      <c r="X45" s="2227"/>
      <c r="Y45" s="2227"/>
      <c r="Z45" s="2227"/>
      <c r="AA45" s="2227"/>
      <c r="AB45" s="2227"/>
      <c r="AC45" s="2227"/>
      <c r="AD45" s="2227"/>
      <c r="AE45" s="2227"/>
      <c r="AF45" s="2227"/>
      <c r="AG45" s="2227"/>
      <c r="AH45" s="2227"/>
      <c r="AI45" s="2227"/>
      <c r="AJ45" s="2227"/>
      <c r="AK45" s="2227"/>
      <c r="AL45" s="2211"/>
      <c r="AM45" s="2212"/>
      <c r="AN45" s="2212"/>
      <c r="AO45" s="2213"/>
      <c r="AP45" s="2211"/>
      <c r="AQ45" s="2212"/>
      <c r="AR45" s="2213"/>
      <c r="AS45" s="2214">
        <f t="shared" si="2"/>
        <v>0</v>
      </c>
      <c r="AT45" s="2215"/>
      <c r="AU45" s="2215"/>
      <c r="AV45" s="2215"/>
      <c r="AW45" s="2215"/>
      <c r="AX45" s="2216"/>
      <c r="AY45" s="2217">
        <f t="shared" si="3"/>
        <v>0</v>
      </c>
      <c r="AZ45" s="2218"/>
      <c r="BA45" s="2218"/>
      <c r="BB45" s="2218"/>
      <c r="BC45" s="2218"/>
      <c r="BD45" s="2219"/>
      <c r="BE45" s="1195"/>
    </row>
    <row r="46" spans="1:58" ht="15.75" customHeight="1">
      <c r="A46" s="1191"/>
      <c r="B46" s="2166" t="s">
        <v>2338</v>
      </c>
      <c r="C46" s="2167"/>
      <c r="D46" s="2167"/>
      <c r="E46" s="2167"/>
      <c r="F46" s="2167"/>
      <c r="G46" s="2167"/>
      <c r="H46" s="2167"/>
      <c r="I46" s="2167"/>
      <c r="J46" s="2226"/>
      <c r="K46" s="2226"/>
      <c r="L46" s="2226"/>
      <c r="M46" s="2226"/>
      <c r="N46" s="2226">
        <v>99</v>
      </c>
      <c r="O46" s="2226"/>
      <c r="P46" s="2226"/>
      <c r="Q46" s="2226"/>
      <c r="R46" s="2227"/>
      <c r="S46" s="2227"/>
      <c r="T46" s="2227"/>
      <c r="U46" s="2227"/>
      <c r="V46" s="2227"/>
      <c r="W46" s="2227"/>
      <c r="X46" s="2227"/>
      <c r="Y46" s="2227"/>
      <c r="Z46" s="2227"/>
      <c r="AA46" s="2227"/>
      <c r="AB46" s="2227"/>
      <c r="AC46" s="2227"/>
      <c r="AD46" s="2227"/>
      <c r="AE46" s="2227"/>
      <c r="AF46" s="2227"/>
      <c r="AG46" s="2227"/>
      <c r="AH46" s="2227"/>
      <c r="AI46" s="2227"/>
      <c r="AJ46" s="2227"/>
      <c r="AK46" s="2227"/>
      <c r="AL46" s="2211"/>
      <c r="AM46" s="2212"/>
      <c r="AN46" s="2212"/>
      <c r="AO46" s="2213"/>
      <c r="AP46" s="2211"/>
      <c r="AQ46" s="2212"/>
      <c r="AR46" s="2213"/>
      <c r="AS46" s="2214">
        <f t="shared" si="2"/>
        <v>0</v>
      </c>
      <c r="AT46" s="2215"/>
      <c r="AU46" s="2215"/>
      <c r="AV46" s="2215"/>
      <c r="AW46" s="2215"/>
      <c r="AX46" s="2216"/>
      <c r="AY46" s="2217">
        <f t="shared" si="3"/>
        <v>0</v>
      </c>
      <c r="AZ46" s="2218"/>
      <c r="BA46" s="2218"/>
      <c r="BB46" s="2218"/>
      <c r="BC46" s="2218"/>
      <c r="BD46" s="2219"/>
      <c r="BE46" s="1195"/>
    </row>
    <row r="47" spans="1:58" ht="15.75" customHeight="1" thickBot="1">
      <c r="A47" s="1191"/>
      <c r="B47" s="2220" t="s">
        <v>299</v>
      </c>
      <c r="C47" s="2221"/>
      <c r="D47" s="2221"/>
      <c r="E47" s="2221"/>
      <c r="F47" s="2221"/>
      <c r="G47" s="2221"/>
      <c r="H47" s="2221"/>
      <c r="I47" s="2221"/>
      <c r="J47" s="2222"/>
      <c r="K47" s="2222"/>
      <c r="L47" s="2222"/>
      <c r="M47" s="2222"/>
      <c r="N47" s="2222"/>
      <c r="O47" s="2222"/>
      <c r="P47" s="2222"/>
      <c r="Q47" s="2222"/>
      <c r="R47" s="2207"/>
      <c r="S47" s="2207"/>
      <c r="T47" s="2207"/>
      <c r="U47" s="2207"/>
      <c r="V47" s="2207"/>
      <c r="W47" s="2207"/>
      <c r="X47" s="2207"/>
      <c r="Y47" s="2207"/>
      <c r="Z47" s="2207"/>
      <c r="AA47" s="2207"/>
      <c r="AB47" s="2207"/>
      <c r="AC47" s="2207"/>
      <c r="AD47" s="2207"/>
      <c r="AE47" s="2207"/>
      <c r="AF47" s="2207"/>
      <c r="AG47" s="2207"/>
      <c r="AH47" s="2207"/>
      <c r="AI47" s="2207"/>
      <c r="AJ47" s="2207"/>
      <c r="AK47" s="2207"/>
      <c r="AL47" s="2208"/>
      <c r="AM47" s="2209"/>
      <c r="AN47" s="2209"/>
      <c r="AO47" s="2210"/>
      <c r="AP47" s="2208"/>
      <c r="AQ47" s="2209"/>
      <c r="AR47" s="2210"/>
      <c r="AS47" s="2214">
        <f t="shared" si="2"/>
        <v>0</v>
      </c>
      <c r="AT47" s="2215"/>
      <c r="AU47" s="2215"/>
      <c r="AV47" s="2215"/>
      <c r="AW47" s="2215"/>
      <c r="AX47" s="2216"/>
      <c r="AY47" s="2223">
        <f t="shared" si="3"/>
        <v>0</v>
      </c>
      <c r="AZ47" s="2224"/>
      <c r="BA47" s="2224"/>
      <c r="BB47" s="2224"/>
      <c r="BC47" s="2224"/>
      <c r="BD47" s="2225"/>
      <c r="BE47" s="1195"/>
    </row>
    <row r="48" spans="1:58" ht="15.75" customHeight="1">
      <c r="A48" s="1191"/>
      <c r="B48" s="1197" t="s">
        <v>2413</v>
      </c>
      <c r="C48" s="1191"/>
      <c r="D48" s="1191"/>
      <c r="E48" s="1191"/>
      <c r="F48" s="1191"/>
      <c r="G48" s="1191"/>
      <c r="H48" s="1191"/>
      <c r="I48" s="1191"/>
      <c r="J48" s="1191"/>
      <c r="K48" s="1191"/>
      <c r="L48" s="1191"/>
      <c r="M48" s="1191"/>
      <c r="N48" s="1191"/>
      <c r="O48" s="1191"/>
      <c r="P48" s="1191"/>
      <c r="Q48" s="1191"/>
      <c r="R48" s="1191"/>
      <c r="S48" s="1191"/>
      <c r="T48" s="1191"/>
      <c r="U48" s="1191"/>
      <c r="V48" s="1191"/>
      <c r="W48" s="1191"/>
      <c r="X48" s="1191"/>
      <c r="Y48" s="1191"/>
      <c r="Z48" s="1191"/>
      <c r="AA48" s="1191"/>
      <c r="AB48" s="1191"/>
      <c r="AC48" s="1191"/>
      <c r="AD48" s="1191"/>
      <c r="AE48" s="1191"/>
      <c r="AF48" s="1191"/>
      <c r="AG48" s="1191"/>
      <c r="AH48" s="1191"/>
      <c r="AI48" s="1191"/>
      <c r="AJ48" s="1191"/>
      <c r="AK48" s="1191"/>
      <c r="AL48" s="1191"/>
      <c r="AM48" s="1191"/>
      <c r="AN48" s="1191"/>
      <c r="AO48" s="1191"/>
      <c r="AP48" s="1191"/>
      <c r="AQ48" s="1191"/>
      <c r="AR48" s="1191"/>
      <c r="AS48" s="1191"/>
      <c r="AT48" s="1191"/>
      <c r="AU48" s="1191"/>
      <c r="AV48" s="1191"/>
      <c r="AW48" s="1191"/>
      <c r="AX48" s="1191"/>
      <c r="AY48" s="1191"/>
      <c r="AZ48" s="1191"/>
      <c r="BA48" s="1191"/>
      <c r="BB48" s="1191"/>
      <c r="BC48" s="1191"/>
      <c r="BD48" s="1191"/>
      <c r="BE48" s="1195"/>
      <c r="BF48" s="1189"/>
    </row>
    <row r="49" spans="1:58" ht="15.75" customHeight="1" thickBot="1">
      <c r="A49" s="1191"/>
      <c r="B49" s="1197" t="s">
        <v>2412</v>
      </c>
      <c r="C49" s="1191"/>
      <c r="D49" s="1191"/>
      <c r="E49" s="1191"/>
      <c r="F49" s="1191"/>
      <c r="G49" s="1191"/>
      <c r="H49" s="1191"/>
      <c r="I49" s="1191"/>
      <c r="J49" s="1191"/>
      <c r="K49" s="1191"/>
      <c r="L49" s="1191"/>
      <c r="M49" s="1191"/>
      <c r="N49" s="1191"/>
      <c r="O49" s="1191"/>
      <c r="P49" s="1191"/>
      <c r="Q49" s="1191"/>
      <c r="R49" s="1191"/>
      <c r="S49" s="1191"/>
      <c r="T49" s="1191"/>
      <c r="U49" s="1191"/>
      <c r="V49" s="1191"/>
      <c r="W49" s="1191"/>
      <c r="X49" s="1191"/>
      <c r="Y49" s="1191"/>
      <c r="Z49" s="1191"/>
      <c r="AA49" s="1191"/>
      <c r="AB49" s="1191"/>
      <c r="AC49" s="1191"/>
      <c r="AD49" s="1191"/>
      <c r="AE49" s="1191"/>
      <c r="AF49" s="1191"/>
      <c r="AG49" s="1191"/>
      <c r="AH49" s="1191"/>
      <c r="AI49" s="1191"/>
      <c r="AJ49" s="1191"/>
      <c r="AK49" s="1191"/>
      <c r="AL49" s="1191"/>
      <c r="AM49" s="1191"/>
      <c r="AN49" s="1191"/>
      <c r="AO49" s="1191"/>
      <c r="AP49" s="1193"/>
      <c r="AQ49" s="1193"/>
      <c r="AR49" s="1193"/>
      <c r="AS49" s="1193"/>
      <c r="AT49" s="1193"/>
      <c r="AU49" s="1193"/>
      <c r="AV49" s="1193"/>
      <c r="AW49" s="1193"/>
      <c r="AX49" s="1191"/>
      <c r="AY49" s="1191"/>
      <c r="AZ49" s="1191"/>
      <c r="BA49" s="1191"/>
      <c r="BB49" s="1191"/>
      <c r="BC49" s="1191"/>
      <c r="BD49" s="1191"/>
      <c r="BE49" s="1195"/>
      <c r="BF49" s="1189"/>
    </row>
    <row r="50" spans="1:58" ht="15.75" customHeight="1">
      <c r="A50" s="1191"/>
      <c r="B50" s="2070" t="s">
        <v>2411</v>
      </c>
      <c r="C50" s="2026"/>
      <c r="D50" s="2026"/>
      <c r="E50" s="2026"/>
      <c r="F50" s="2026"/>
      <c r="G50" s="2026"/>
      <c r="H50" s="2026"/>
      <c r="I50" s="2026"/>
      <c r="J50" s="2026"/>
      <c r="K50" s="2026"/>
      <c r="L50" s="2026"/>
      <c r="M50" s="2026"/>
      <c r="N50" s="2026"/>
      <c r="O50" s="2026"/>
      <c r="P50" s="2026"/>
      <c r="Q50" s="2026"/>
      <c r="R50" s="2026"/>
      <c r="S50" s="2026"/>
      <c r="T50" s="2026"/>
      <c r="U50" s="2026"/>
      <c r="V50" s="2026"/>
      <c r="W50" s="2026"/>
      <c r="X50" s="2026"/>
      <c r="Y50" s="2026"/>
      <c r="Z50" s="2026"/>
      <c r="AA50" s="2026"/>
      <c r="AB50" s="2026"/>
      <c r="AC50" s="2026"/>
      <c r="AD50" s="2026"/>
      <c r="AE50" s="2026"/>
      <c r="AF50" s="2026"/>
      <c r="AG50" s="2026"/>
      <c r="AH50" s="2026"/>
      <c r="AI50" s="2026"/>
      <c r="AJ50" s="2026"/>
      <c r="AK50" s="2026"/>
      <c r="AL50" s="2026"/>
      <c r="AM50" s="2026"/>
      <c r="AN50" s="2026"/>
      <c r="AO50" s="2027"/>
      <c r="AP50" s="1193"/>
      <c r="AQ50" s="1193"/>
      <c r="AR50" s="1193"/>
      <c r="AS50" s="1193"/>
      <c r="AT50" s="1193"/>
      <c r="AU50" s="1193"/>
      <c r="AV50" s="1193"/>
      <c r="AW50" s="1193"/>
      <c r="AX50" s="1191"/>
      <c r="AY50" s="1191"/>
      <c r="AZ50" s="1191"/>
      <c r="BA50" s="1191"/>
      <c r="BB50" s="1191"/>
      <c r="BC50" s="1191"/>
      <c r="BD50" s="1191"/>
      <c r="BE50" s="1195"/>
    </row>
    <row r="51" spans="1:58" ht="33.75" customHeight="1">
      <c r="A51" s="1191"/>
      <c r="B51" s="2136" t="s">
        <v>2404</v>
      </c>
      <c r="C51" s="2101"/>
      <c r="D51" s="2101"/>
      <c r="E51" s="2101"/>
      <c r="F51" s="2101"/>
      <c r="G51" s="2101"/>
      <c r="H51" s="2101"/>
      <c r="I51" s="2101"/>
      <c r="J51" s="2101" t="s">
        <v>2410</v>
      </c>
      <c r="K51" s="2101"/>
      <c r="L51" s="2101"/>
      <c r="M51" s="2101"/>
      <c r="N51" s="2101"/>
      <c r="O51" s="2101"/>
      <c r="P51" s="2101"/>
      <c r="Q51" s="2101"/>
      <c r="R51" s="2205" t="s">
        <v>2409</v>
      </c>
      <c r="S51" s="2205"/>
      <c r="T51" s="2205"/>
      <c r="U51" s="2205"/>
      <c r="V51" s="2205"/>
      <c r="W51" s="2205"/>
      <c r="X51" s="2205"/>
      <c r="Y51" s="2205"/>
      <c r="Z51" s="2205" t="s">
        <v>2408</v>
      </c>
      <c r="AA51" s="2205"/>
      <c r="AB51" s="2205"/>
      <c r="AC51" s="2205"/>
      <c r="AD51" s="2205"/>
      <c r="AE51" s="2205"/>
      <c r="AF51" s="2205"/>
      <c r="AG51" s="2205"/>
      <c r="AH51" s="2205" t="s">
        <v>2407</v>
      </c>
      <c r="AI51" s="2205"/>
      <c r="AJ51" s="2205"/>
      <c r="AK51" s="2205"/>
      <c r="AL51" s="2205"/>
      <c r="AM51" s="2205"/>
      <c r="AN51" s="2205"/>
      <c r="AO51" s="2206"/>
      <c r="AP51" s="1193"/>
      <c r="AQ51" s="1193"/>
      <c r="AR51" s="1193"/>
      <c r="AS51" s="1193"/>
      <c r="AT51" s="1193"/>
      <c r="AU51" s="1193"/>
      <c r="AV51" s="1193"/>
      <c r="AW51" s="1193"/>
      <c r="AX51" s="1196"/>
      <c r="AY51" s="1191"/>
      <c r="AZ51" s="1191"/>
      <c r="BA51" s="1191"/>
      <c r="BB51" s="1191"/>
      <c r="BC51" s="1191"/>
      <c r="BD51" s="1191"/>
      <c r="BE51" s="1195"/>
    </row>
    <row r="52" spans="1:58" ht="15.75" customHeight="1">
      <c r="A52" s="1191"/>
      <c r="B52" s="2166" t="s">
        <v>2406</v>
      </c>
      <c r="C52" s="2167"/>
      <c r="D52" s="2167"/>
      <c r="E52" s="2167"/>
      <c r="F52" s="2167"/>
      <c r="G52" s="2167"/>
      <c r="H52" s="2167"/>
      <c r="I52" s="2167"/>
      <c r="J52" s="1987">
        <v>0</v>
      </c>
      <c r="K52" s="1987"/>
      <c r="L52" s="1987"/>
      <c r="M52" s="1987"/>
      <c r="N52" s="1987"/>
      <c r="O52" s="1987"/>
      <c r="P52" s="1987"/>
      <c r="Q52" s="1987"/>
      <c r="R52" s="2197">
        <v>0</v>
      </c>
      <c r="S52" s="2197"/>
      <c r="T52" s="2197"/>
      <c r="U52" s="2197"/>
      <c r="V52" s="2197"/>
      <c r="W52" s="2197"/>
      <c r="X52" s="2197"/>
      <c r="Y52" s="2197"/>
      <c r="Z52" s="2198">
        <v>0</v>
      </c>
      <c r="AA52" s="2198"/>
      <c r="AB52" s="2198"/>
      <c r="AC52" s="2198"/>
      <c r="AD52" s="2198"/>
      <c r="AE52" s="2198"/>
      <c r="AF52" s="2198"/>
      <c r="AG52" s="2198"/>
      <c r="AH52" s="2199"/>
      <c r="AI52" s="2199"/>
      <c r="AJ52" s="2199"/>
      <c r="AK52" s="2199"/>
      <c r="AL52" s="2199"/>
      <c r="AM52" s="2199"/>
      <c r="AN52" s="2199"/>
      <c r="AO52" s="2200"/>
      <c r="AP52" s="1193"/>
      <c r="AQ52" s="1193"/>
      <c r="AR52" s="1193"/>
      <c r="AS52" s="1193"/>
      <c r="AT52" s="1193"/>
      <c r="AU52" s="1193"/>
      <c r="AV52" s="1193"/>
      <c r="AW52" s="1193"/>
      <c r="AX52" s="1196"/>
      <c r="AY52" s="1191"/>
      <c r="AZ52" s="1191"/>
      <c r="BA52" s="1191"/>
      <c r="BB52" s="1191"/>
      <c r="BC52" s="1191"/>
      <c r="BD52" s="1191"/>
      <c r="BE52" s="1195"/>
    </row>
    <row r="53" spans="1:58" ht="15.75" customHeight="1">
      <c r="A53" s="1191"/>
      <c r="B53" s="2166" t="s">
        <v>2405</v>
      </c>
      <c r="C53" s="2167"/>
      <c r="D53" s="2167"/>
      <c r="E53" s="2167"/>
      <c r="F53" s="2167"/>
      <c r="G53" s="2167"/>
      <c r="H53" s="2167"/>
      <c r="I53" s="2167"/>
      <c r="J53" s="1987">
        <v>0</v>
      </c>
      <c r="K53" s="1987"/>
      <c r="L53" s="1987"/>
      <c r="M53" s="1987"/>
      <c r="N53" s="1987"/>
      <c r="O53" s="1987"/>
      <c r="P53" s="1987"/>
      <c r="Q53" s="1987"/>
      <c r="R53" s="2197">
        <v>0</v>
      </c>
      <c r="S53" s="2197"/>
      <c r="T53" s="2197"/>
      <c r="U53" s="2197"/>
      <c r="V53" s="2197"/>
      <c r="W53" s="2197"/>
      <c r="X53" s="2197"/>
      <c r="Y53" s="2197"/>
      <c r="Z53" s="2198">
        <v>0</v>
      </c>
      <c r="AA53" s="2198"/>
      <c r="AB53" s="2198"/>
      <c r="AC53" s="2198"/>
      <c r="AD53" s="2198"/>
      <c r="AE53" s="2198"/>
      <c r="AF53" s="2198"/>
      <c r="AG53" s="2198"/>
      <c r="AH53" s="2199"/>
      <c r="AI53" s="2199"/>
      <c r="AJ53" s="2199"/>
      <c r="AK53" s="2199"/>
      <c r="AL53" s="2199"/>
      <c r="AM53" s="2199"/>
      <c r="AN53" s="2199"/>
      <c r="AO53" s="2200"/>
      <c r="AP53" s="1193"/>
      <c r="AQ53" s="1193"/>
      <c r="AR53" s="1193"/>
      <c r="AS53" s="1193"/>
      <c r="AT53" s="1193"/>
      <c r="AU53" s="1193"/>
      <c r="AV53" s="1193"/>
      <c r="AW53" s="1193"/>
      <c r="AX53" s="1191"/>
      <c r="AY53" s="1191"/>
      <c r="AZ53" s="1191"/>
      <c r="BA53" s="1191"/>
      <c r="BB53" s="1191"/>
      <c r="BC53" s="1191"/>
      <c r="BD53" s="1191"/>
      <c r="BE53" s="1195"/>
    </row>
    <row r="54" spans="1:58" ht="15.75" customHeight="1">
      <c r="A54" s="1191"/>
      <c r="B54" s="2166"/>
      <c r="C54" s="2167"/>
      <c r="D54" s="2167"/>
      <c r="E54" s="2167"/>
      <c r="F54" s="2167"/>
      <c r="G54" s="2167"/>
      <c r="H54" s="2167"/>
      <c r="I54" s="2167"/>
      <c r="J54" s="1987"/>
      <c r="K54" s="1987"/>
      <c r="L54" s="1987"/>
      <c r="M54" s="1987"/>
      <c r="N54" s="1987"/>
      <c r="O54" s="1987"/>
      <c r="P54" s="1987"/>
      <c r="Q54" s="1987"/>
      <c r="R54" s="2197"/>
      <c r="S54" s="2197"/>
      <c r="T54" s="2197"/>
      <c r="U54" s="2197"/>
      <c r="V54" s="2197"/>
      <c r="W54" s="2197"/>
      <c r="X54" s="2197"/>
      <c r="Y54" s="2197"/>
      <c r="Z54" s="2198"/>
      <c r="AA54" s="2198"/>
      <c r="AB54" s="2198"/>
      <c r="AC54" s="2198"/>
      <c r="AD54" s="2198"/>
      <c r="AE54" s="2198"/>
      <c r="AF54" s="2198"/>
      <c r="AG54" s="2198"/>
      <c r="AH54" s="2199"/>
      <c r="AI54" s="2199"/>
      <c r="AJ54" s="2199"/>
      <c r="AK54" s="2199"/>
      <c r="AL54" s="2199"/>
      <c r="AM54" s="2199"/>
      <c r="AN54" s="2199"/>
      <c r="AO54" s="2200"/>
      <c r="AP54" s="1193"/>
      <c r="AQ54" s="1193"/>
      <c r="AR54" s="1193"/>
      <c r="AS54" s="1193"/>
      <c r="AT54" s="1193"/>
      <c r="AU54" s="1193"/>
      <c r="AV54" s="1193"/>
      <c r="AW54" s="1193"/>
      <c r="AX54" s="1191"/>
      <c r="AY54" s="1191"/>
      <c r="AZ54" s="1191"/>
      <c r="BA54" s="1191"/>
      <c r="BB54" s="1191"/>
      <c r="BC54" s="1191"/>
      <c r="BD54" s="1191"/>
      <c r="BE54" s="1195"/>
    </row>
    <row r="55" spans="1:58" ht="15.75" customHeight="1">
      <c r="A55" s="1191"/>
      <c r="B55" s="2166"/>
      <c r="C55" s="2167"/>
      <c r="D55" s="2167"/>
      <c r="E55" s="2167"/>
      <c r="F55" s="2167"/>
      <c r="G55" s="2167"/>
      <c r="H55" s="2167"/>
      <c r="I55" s="2167"/>
      <c r="J55" s="1987"/>
      <c r="K55" s="1987"/>
      <c r="L55" s="1987"/>
      <c r="M55" s="1987"/>
      <c r="N55" s="1987"/>
      <c r="O55" s="1987"/>
      <c r="P55" s="1987"/>
      <c r="Q55" s="1987"/>
      <c r="R55" s="2197"/>
      <c r="S55" s="2197"/>
      <c r="T55" s="2197"/>
      <c r="U55" s="2197"/>
      <c r="V55" s="2197"/>
      <c r="W55" s="2197"/>
      <c r="X55" s="2197"/>
      <c r="Y55" s="2197"/>
      <c r="Z55" s="2198"/>
      <c r="AA55" s="2198"/>
      <c r="AB55" s="2198"/>
      <c r="AC55" s="2198"/>
      <c r="AD55" s="2198"/>
      <c r="AE55" s="2198"/>
      <c r="AF55" s="2198"/>
      <c r="AG55" s="2198"/>
      <c r="AH55" s="2199"/>
      <c r="AI55" s="2199"/>
      <c r="AJ55" s="2199"/>
      <c r="AK55" s="2199"/>
      <c r="AL55" s="2199"/>
      <c r="AM55" s="2199"/>
      <c r="AN55" s="2199"/>
      <c r="AO55" s="2200"/>
      <c r="AP55" s="1193"/>
      <c r="AQ55" s="1193"/>
      <c r="AR55" s="1193"/>
      <c r="AS55" s="1193"/>
      <c r="AT55" s="1193" t="s">
        <v>249</v>
      </c>
      <c r="AU55" s="1193"/>
      <c r="AV55" s="1193"/>
      <c r="AW55" s="1193"/>
      <c r="AX55" s="1191"/>
      <c r="AY55" s="1191"/>
      <c r="AZ55" s="1191"/>
      <c r="BA55" s="1191"/>
      <c r="BB55" s="1191"/>
      <c r="BC55" s="1191"/>
      <c r="BD55" s="1191"/>
      <c r="BE55" s="1195"/>
    </row>
    <row r="56" spans="1:58" ht="15.75" customHeight="1">
      <c r="A56" s="1191"/>
      <c r="B56" s="2166"/>
      <c r="C56" s="2167"/>
      <c r="D56" s="2167"/>
      <c r="E56" s="2167"/>
      <c r="F56" s="2167"/>
      <c r="G56" s="2167"/>
      <c r="H56" s="2167"/>
      <c r="I56" s="2167"/>
      <c r="J56" s="1987"/>
      <c r="K56" s="1987"/>
      <c r="L56" s="1987"/>
      <c r="M56" s="1987"/>
      <c r="N56" s="1987"/>
      <c r="O56" s="1987"/>
      <c r="P56" s="1987"/>
      <c r="Q56" s="1987"/>
      <c r="R56" s="2197"/>
      <c r="S56" s="2197"/>
      <c r="T56" s="2197"/>
      <c r="U56" s="2197"/>
      <c r="V56" s="2197"/>
      <c r="W56" s="2197"/>
      <c r="X56" s="2197"/>
      <c r="Y56" s="2197"/>
      <c r="Z56" s="2198"/>
      <c r="AA56" s="2198"/>
      <c r="AB56" s="2198"/>
      <c r="AC56" s="2198"/>
      <c r="AD56" s="2198"/>
      <c r="AE56" s="2198"/>
      <c r="AF56" s="2198"/>
      <c r="AG56" s="2198"/>
      <c r="AH56" s="2199"/>
      <c r="AI56" s="2199"/>
      <c r="AJ56" s="2199"/>
      <c r="AK56" s="2199"/>
      <c r="AL56" s="2199"/>
      <c r="AM56" s="2199"/>
      <c r="AN56" s="2199"/>
      <c r="AO56" s="2200"/>
      <c r="AP56" s="1193"/>
      <c r="AQ56" s="1193"/>
      <c r="AR56" s="1193"/>
      <c r="AS56" s="1193"/>
      <c r="AT56" s="1193"/>
      <c r="AU56" s="1193"/>
      <c r="AV56" s="1193"/>
      <c r="AW56" s="1193"/>
      <c r="AX56" s="1191"/>
      <c r="AY56" s="1191"/>
      <c r="AZ56" s="1191"/>
      <c r="BA56" s="1191"/>
      <c r="BB56" s="1191"/>
      <c r="BC56" s="1191"/>
      <c r="BD56" s="1191"/>
      <c r="BE56" s="1195"/>
    </row>
    <row r="57" spans="1:58" s="1199" customFormat="1" ht="15.75" customHeight="1" thickBot="1">
      <c r="A57" s="1193"/>
      <c r="B57" s="2131" t="s">
        <v>1585</v>
      </c>
      <c r="C57" s="2132"/>
      <c r="D57" s="2132"/>
      <c r="E57" s="2132"/>
      <c r="F57" s="2132"/>
      <c r="G57" s="2132"/>
      <c r="H57" s="2132"/>
      <c r="I57" s="2132"/>
      <c r="J57" s="2132"/>
      <c r="K57" s="2132"/>
      <c r="L57" s="2132"/>
      <c r="M57" s="2132"/>
      <c r="N57" s="2132"/>
      <c r="O57" s="2132"/>
      <c r="P57" s="2132"/>
      <c r="Q57" s="2132"/>
      <c r="R57" s="2201">
        <f>SUM(R52:Y56)</f>
        <v>0</v>
      </c>
      <c r="S57" s="2201"/>
      <c r="T57" s="2201"/>
      <c r="U57" s="2201"/>
      <c r="V57" s="2201"/>
      <c r="W57" s="2201"/>
      <c r="X57" s="2201"/>
      <c r="Y57" s="2201"/>
      <c r="Z57" s="2202">
        <f>SUM(Z52:AG56)</f>
        <v>0</v>
      </c>
      <c r="AA57" s="2202"/>
      <c r="AB57" s="2202"/>
      <c r="AC57" s="2202"/>
      <c r="AD57" s="2202"/>
      <c r="AE57" s="2202"/>
      <c r="AF57" s="2202"/>
      <c r="AG57" s="2202"/>
      <c r="AH57" s="2203"/>
      <c r="AI57" s="2203"/>
      <c r="AJ57" s="2203"/>
      <c r="AK57" s="2203"/>
      <c r="AL57" s="2203"/>
      <c r="AM57" s="2203"/>
      <c r="AN57" s="2203"/>
      <c r="AO57" s="2204"/>
      <c r="AP57" s="1193"/>
      <c r="AQ57" s="1193"/>
      <c r="AR57" s="1193"/>
      <c r="AS57" s="1193"/>
      <c r="AT57" s="1193"/>
      <c r="AU57" s="1193"/>
      <c r="AV57" s="1193"/>
      <c r="AW57" s="1193"/>
      <c r="AX57" s="1193"/>
      <c r="AY57" s="1193"/>
      <c r="AZ57" s="1193"/>
      <c r="BA57" s="1193"/>
      <c r="BB57" s="1193"/>
      <c r="BC57" s="1193"/>
      <c r="BD57" s="1193"/>
      <c r="BE57" s="1198"/>
    </row>
    <row r="58" spans="1:58" ht="15.75" customHeight="1" thickBot="1">
      <c r="A58" s="1191"/>
      <c r="B58" s="1191"/>
      <c r="C58" s="1191"/>
      <c r="D58" s="1191"/>
      <c r="E58" s="1191"/>
      <c r="F58" s="1191"/>
      <c r="G58" s="1191"/>
      <c r="H58" s="1191"/>
      <c r="I58" s="1191"/>
      <c r="J58" s="1191"/>
      <c r="K58" s="1191"/>
      <c r="L58" s="1191"/>
      <c r="M58" s="1191"/>
      <c r="N58" s="1191"/>
      <c r="O58" s="1191"/>
      <c r="P58" s="1191"/>
      <c r="Q58" s="1191"/>
      <c r="R58" s="1191"/>
      <c r="S58" s="1191"/>
      <c r="T58" s="1191"/>
      <c r="U58" s="1191"/>
      <c r="V58" s="1191"/>
      <c r="W58" s="1191"/>
      <c r="X58" s="1191"/>
      <c r="Y58" s="1191"/>
      <c r="Z58" s="1191"/>
      <c r="AA58" s="1191"/>
      <c r="AB58" s="1191"/>
      <c r="AC58" s="1191"/>
      <c r="AD58" s="1191"/>
      <c r="AE58" s="1191"/>
      <c r="AF58" s="1191"/>
      <c r="AG58" s="1191"/>
      <c r="AH58" s="1191"/>
      <c r="AI58" s="1191"/>
      <c r="AJ58" s="1191"/>
      <c r="AK58" s="1191"/>
      <c r="AL58" s="1191"/>
      <c r="AM58" s="1191"/>
      <c r="AN58" s="1191"/>
      <c r="AO58" s="1191"/>
      <c r="AP58" s="1191"/>
      <c r="AQ58" s="1191"/>
      <c r="AR58" s="1191"/>
      <c r="AS58" s="1191"/>
      <c r="AT58" s="1191"/>
      <c r="AU58" s="1191"/>
      <c r="AV58" s="1191"/>
      <c r="AW58" s="1191"/>
      <c r="AX58" s="1191"/>
      <c r="AY58" s="1191"/>
      <c r="AZ58" s="1191"/>
      <c r="BA58" s="1191"/>
      <c r="BB58" s="1191"/>
      <c r="BC58" s="1191"/>
      <c r="BD58" s="1191"/>
      <c r="BE58" s="1195"/>
    </row>
    <row r="59" spans="1:58" ht="15.75" customHeight="1">
      <c r="A59" s="1191"/>
      <c r="B59" s="2194" t="s">
        <v>2404</v>
      </c>
      <c r="C59" s="2195"/>
      <c r="D59" s="2195"/>
      <c r="E59" s="2195"/>
      <c r="F59" s="2195"/>
      <c r="G59" s="2195"/>
      <c r="H59" s="2195"/>
      <c r="I59" s="2196"/>
      <c r="J59" s="2099" t="s">
        <v>2403</v>
      </c>
      <c r="K59" s="2099"/>
      <c r="L59" s="2099"/>
      <c r="M59" s="2099"/>
      <c r="N59" s="2099"/>
      <c r="O59" s="2099"/>
      <c r="P59" s="2099"/>
      <c r="Q59" s="2099"/>
      <c r="R59" s="2099"/>
      <c r="S59" s="2099"/>
      <c r="T59" s="2099"/>
      <c r="U59" s="2099"/>
      <c r="V59" s="2099"/>
      <c r="W59" s="2099"/>
      <c r="X59" s="2099"/>
      <c r="Y59" s="2099"/>
      <c r="Z59" s="2099"/>
      <c r="AA59" s="2099"/>
      <c r="AB59" s="2099"/>
      <c r="AC59" s="2099"/>
      <c r="AD59" s="2099"/>
      <c r="AE59" s="2099"/>
      <c r="AF59" s="2099"/>
      <c r="AG59" s="2099"/>
      <c r="AH59" s="2099"/>
      <c r="AI59" s="2099"/>
      <c r="AJ59" s="2099"/>
      <c r="AK59" s="2099"/>
      <c r="AL59" s="2099"/>
      <c r="AM59" s="2099"/>
      <c r="AN59" s="2099"/>
      <c r="AO59" s="2099"/>
      <c r="AP59" s="2099"/>
      <c r="AQ59" s="2099"/>
      <c r="AR59" s="2099"/>
      <c r="AS59" s="2099"/>
      <c r="AT59" s="2099"/>
      <c r="AU59" s="2099"/>
      <c r="AV59" s="2099"/>
      <c r="AW59" s="2100"/>
      <c r="AX59" s="1191"/>
      <c r="AY59" s="1191"/>
      <c r="AZ59" s="1191"/>
      <c r="BA59" s="1191"/>
      <c r="BB59" s="1191"/>
      <c r="BC59" s="1191"/>
      <c r="BD59" s="1191"/>
      <c r="BE59" s="1195"/>
    </row>
    <row r="60" spans="1:58" ht="15.75" customHeight="1">
      <c r="A60" s="1191"/>
      <c r="B60" s="2186" t="str">
        <f>IF(B52="", "", B52)</f>
        <v>Services Company 1</v>
      </c>
      <c r="C60" s="2187"/>
      <c r="D60" s="2187"/>
      <c r="E60" s="2187"/>
      <c r="F60" s="2187"/>
      <c r="G60" s="2187"/>
      <c r="H60" s="2187"/>
      <c r="I60" s="2188"/>
      <c r="J60" s="2189"/>
      <c r="K60" s="1990"/>
      <c r="L60" s="1990"/>
      <c r="M60" s="1990"/>
      <c r="N60" s="1990"/>
      <c r="O60" s="1990"/>
      <c r="P60" s="1990"/>
      <c r="Q60" s="1990"/>
      <c r="R60" s="1990"/>
      <c r="S60" s="1990"/>
      <c r="T60" s="1990"/>
      <c r="U60" s="1990"/>
      <c r="V60" s="1990"/>
      <c r="W60" s="1990"/>
      <c r="X60" s="1990"/>
      <c r="Y60" s="1990"/>
      <c r="Z60" s="1990"/>
      <c r="AA60" s="1990"/>
      <c r="AB60" s="1990"/>
      <c r="AC60" s="1990"/>
      <c r="AD60" s="1990"/>
      <c r="AE60" s="1990"/>
      <c r="AF60" s="1990"/>
      <c r="AG60" s="1990"/>
      <c r="AH60" s="1990"/>
      <c r="AI60" s="1990"/>
      <c r="AJ60" s="1990"/>
      <c r="AK60" s="1990"/>
      <c r="AL60" s="1990"/>
      <c r="AM60" s="1990"/>
      <c r="AN60" s="1990"/>
      <c r="AO60" s="1990"/>
      <c r="AP60" s="1990"/>
      <c r="AQ60" s="1990"/>
      <c r="AR60" s="1990"/>
      <c r="AS60" s="1990"/>
      <c r="AT60" s="1990"/>
      <c r="AU60" s="1990"/>
      <c r="AV60" s="1990"/>
      <c r="AW60" s="1991"/>
      <c r="AX60" s="1191"/>
      <c r="AY60" s="1191"/>
      <c r="AZ60" s="1191"/>
      <c r="BA60" s="1191"/>
      <c r="BB60" s="1191"/>
      <c r="BC60" s="1191"/>
      <c r="BD60" s="1191"/>
      <c r="BE60" s="1195"/>
    </row>
    <row r="61" spans="1:58" ht="15.75" customHeight="1">
      <c r="A61" s="1191"/>
      <c r="B61" s="2186" t="str">
        <f>IF(B53="", "", B53)</f>
        <v>Services Company 2</v>
      </c>
      <c r="C61" s="2187"/>
      <c r="D61" s="2187"/>
      <c r="E61" s="2187"/>
      <c r="F61" s="2187"/>
      <c r="G61" s="2187"/>
      <c r="H61" s="2187"/>
      <c r="I61" s="2188"/>
      <c r="J61" s="2189"/>
      <c r="K61" s="1990"/>
      <c r="L61" s="1990"/>
      <c r="M61" s="1990"/>
      <c r="N61" s="1990"/>
      <c r="O61" s="1990"/>
      <c r="P61" s="1990"/>
      <c r="Q61" s="1990"/>
      <c r="R61" s="1990"/>
      <c r="S61" s="1990"/>
      <c r="T61" s="1990"/>
      <c r="U61" s="1990"/>
      <c r="V61" s="1990"/>
      <c r="W61" s="1990"/>
      <c r="X61" s="1990"/>
      <c r="Y61" s="1990"/>
      <c r="Z61" s="1990"/>
      <c r="AA61" s="1990"/>
      <c r="AB61" s="1990"/>
      <c r="AC61" s="1990"/>
      <c r="AD61" s="1990"/>
      <c r="AE61" s="1990"/>
      <c r="AF61" s="1990"/>
      <c r="AG61" s="1990"/>
      <c r="AH61" s="1990"/>
      <c r="AI61" s="1990"/>
      <c r="AJ61" s="1990"/>
      <c r="AK61" s="1990"/>
      <c r="AL61" s="1990"/>
      <c r="AM61" s="1990"/>
      <c r="AN61" s="1990"/>
      <c r="AO61" s="1990"/>
      <c r="AP61" s="1990"/>
      <c r="AQ61" s="1990"/>
      <c r="AR61" s="1990"/>
      <c r="AS61" s="1990"/>
      <c r="AT61" s="1990"/>
      <c r="AU61" s="1990"/>
      <c r="AV61" s="1990"/>
      <c r="AW61" s="1991"/>
      <c r="AX61" s="1191"/>
      <c r="AY61" s="1191"/>
      <c r="AZ61" s="1191"/>
      <c r="BA61" s="1191"/>
      <c r="BB61" s="1191"/>
      <c r="BC61" s="1191"/>
      <c r="BD61" s="1191"/>
      <c r="BE61" s="1195"/>
    </row>
    <row r="62" spans="1:58" ht="15.75" customHeight="1">
      <c r="A62" s="1191"/>
      <c r="B62" s="2186" t="str">
        <f>IF(B54="", "", B54)</f>
        <v/>
      </c>
      <c r="C62" s="2187"/>
      <c r="D62" s="2187"/>
      <c r="E62" s="2187"/>
      <c r="F62" s="2187"/>
      <c r="G62" s="2187"/>
      <c r="H62" s="2187"/>
      <c r="I62" s="2188"/>
      <c r="J62" s="2189"/>
      <c r="K62" s="1990"/>
      <c r="L62" s="1990"/>
      <c r="M62" s="1990"/>
      <c r="N62" s="1990"/>
      <c r="O62" s="1990"/>
      <c r="P62" s="1990"/>
      <c r="Q62" s="1990"/>
      <c r="R62" s="1990"/>
      <c r="S62" s="1990"/>
      <c r="T62" s="1990"/>
      <c r="U62" s="1990"/>
      <c r="V62" s="1990"/>
      <c r="W62" s="1990"/>
      <c r="X62" s="1990"/>
      <c r="Y62" s="1990"/>
      <c r="Z62" s="1990"/>
      <c r="AA62" s="1990"/>
      <c r="AB62" s="1990"/>
      <c r="AC62" s="1990"/>
      <c r="AD62" s="1990"/>
      <c r="AE62" s="1990"/>
      <c r="AF62" s="1990"/>
      <c r="AG62" s="1990"/>
      <c r="AH62" s="1990"/>
      <c r="AI62" s="1990"/>
      <c r="AJ62" s="1990"/>
      <c r="AK62" s="1990"/>
      <c r="AL62" s="1990"/>
      <c r="AM62" s="1990"/>
      <c r="AN62" s="1990"/>
      <c r="AO62" s="1990"/>
      <c r="AP62" s="1990"/>
      <c r="AQ62" s="1990"/>
      <c r="AR62" s="1990"/>
      <c r="AS62" s="1990"/>
      <c r="AT62" s="1990"/>
      <c r="AU62" s="1990"/>
      <c r="AV62" s="1990"/>
      <c r="AW62" s="1991"/>
      <c r="AX62" s="1191"/>
      <c r="AY62" s="1191"/>
      <c r="AZ62" s="1191"/>
      <c r="BA62" s="1191"/>
      <c r="BB62" s="1191"/>
      <c r="BC62" s="1191"/>
      <c r="BD62" s="1191"/>
      <c r="BE62" s="1195"/>
    </row>
    <row r="63" spans="1:58" ht="15.75" customHeight="1">
      <c r="A63" s="1191"/>
      <c r="B63" s="2186" t="str">
        <f>IF(B55="", "", B55)</f>
        <v/>
      </c>
      <c r="C63" s="2187"/>
      <c r="D63" s="2187"/>
      <c r="E63" s="2187"/>
      <c r="F63" s="2187"/>
      <c r="G63" s="2187"/>
      <c r="H63" s="2187"/>
      <c r="I63" s="2188"/>
      <c r="J63" s="2189"/>
      <c r="K63" s="1990"/>
      <c r="L63" s="1990"/>
      <c r="M63" s="1990"/>
      <c r="N63" s="1990"/>
      <c r="O63" s="1990"/>
      <c r="P63" s="1990"/>
      <c r="Q63" s="1990"/>
      <c r="R63" s="1990"/>
      <c r="S63" s="1990"/>
      <c r="T63" s="1990"/>
      <c r="U63" s="1990"/>
      <c r="V63" s="1990"/>
      <c r="W63" s="1990"/>
      <c r="X63" s="1990"/>
      <c r="Y63" s="1990"/>
      <c r="Z63" s="1990"/>
      <c r="AA63" s="1990"/>
      <c r="AB63" s="1990"/>
      <c r="AC63" s="1990"/>
      <c r="AD63" s="1990"/>
      <c r="AE63" s="1990"/>
      <c r="AF63" s="1990"/>
      <c r="AG63" s="1990"/>
      <c r="AH63" s="1990"/>
      <c r="AI63" s="1990"/>
      <c r="AJ63" s="1990"/>
      <c r="AK63" s="1990"/>
      <c r="AL63" s="1990"/>
      <c r="AM63" s="1990"/>
      <c r="AN63" s="1990"/>
      <c r="AO63" s="1990"/>
      <c r="AP63" s="1990"/>
      <c r="AQ63" s="1990"/>
      <c r="AR63" s="1990"/>
      <c r="AS63" s="1990"/>
      <c r="AT63" s="1990"/>
      <c r="AU63" s="1990"/>
      <c r="AV63" s="1990"/>
      <c r="AW63" s="1991"/>
      <c r="AX63" s="1191"/>
      <c r="AY63" s="1191"/>
      <c r="AZ63" s="1191"/>
      <c r="BA63" s="1191"/>
      <c r="BB63" s="1191"/>
      <c r="BC63" s="1191"/>
      <c r="BD63" s="1191"/>
      <c r="BE63" s="1195"/>
    </row>
    <row r="64" spans="1:58" ht="15.75" customHeight="1" thickBot="1">
      <c r="A64" s="1191"/>
      <c r="B64" s="2190" t="str">
        <f>IF(B56="", "", B56)</f>
        <v/>
      </c>
      <c r="C64" s="2191"/>
      <c r="D64" s="2191"/>
      <c r="E64" s="2191"/>
      <c r="F64" s="2191"/>
      <c r="G64" s="2191"/>
      <c r="H64" s="2191"/>
      <c r="I64" s="2192"/>
      <c r="J64" s="2193"/>
      <c r="K64" s="2176"/>
      <c r="L64" s="2176"/>
      <c r="M64" s="2176"/>
      <c r="N64" s="2176"/>
      <c r="O64" s="2176"/>
      <c r="P64" s="2176"/>
      <c r="Q64" s="2176"/>
      <c r="R64" s="2176"/>
      <c r="S64" s="2176"/>
      <c r="T64" s="2176"/>
      <c r="U64" s="2176"/>
      <c r="V64" s="2176"/>
      <c r="W64" s="2176"/>
      <c r="X64" s="2176"/>
      <c r="Y64" s="2176"/>
      <c r="Z64" s="2176"/>
      <c r="AA64" s="2176"/>
      <c r="AB64" s="2176"/>
      <c r="AC64" s="2176"/>
      <c r="AD64" s="2176"/>
      <c r="AE64" s="2176"/>
      <c r="AF64" s="2176"/>
      <c r="AG64" s="2176"/>
      <c r="AH64" s="2176"/>
      <c r="AI64" s="2176"/>
      <c r="AJ64" s="2176"/>
      <c r="AK64" s="2176"/>
      <c r="AL64" s="2176"/>
      <c r="AM64" s="2176"/>
      <c r="AN64" s="2176"/>
      <c r="AO64" s="2176"/>
      <c r="AP64" s="2176"/>
      <c r="AQ64" s="2176"/>
      <c r="AR64" s="2176"/>
      <c r="AS64" s="2176"/>
      <c r="AT64" s="2176"/>
      <c r="AU64" s="2176"/>
      <c r="AV64" s="2176"/>
      <c r="AW64" s="2177"/>
      <c r="AX64" s="1191"/>
      <c r="AY64" s="1191"/>
      <c r="AZ64" s="1191"/>
      <c r="BA64" s="1191"/>
      <c r="BB64" s="1191"/>
      <c r="BC64" s="1191"/>
      <c r="BD64" s="1191"/>
      <c r="BE64" s="1195"/>
    </row>
    <row r="65" spans="1:94" ht="15.75" customHeight="1">
      <c r="A65" s="1191"/>
      <c r="B65" s="1191"/>
      <c r="C65" s="1191"/>
      <c r="D65" s="1191"/>
      <c r="E65" s="1191"/>
      <c r="F65" s="1191"/>
      <c r="G65" s="1191"/>
      <c r="H65" s="1191"/>
      <c r="I65" s="1191"/>
      <c r="J65" s="1191"/>
      <c r="K65" s="1191"/>
      <c r="L65" s="1191"/>
      <c r="M65" s="1191"/>
      <c r="N65" s="1191"/>
      <c r="O65" s="1191"/>
      <c r="P65" s="1191"/>
      <c r="Q65" s="1191"/>
      <c r="R65" s="1191"/>
      <c r="S65" s="1191"/>
      <c r="T65" s="1191"/>
      <c r="U65" s="1191"/>
      <c r="V65" s="1191"/>
      <c r="W65" s="1191"/>
      <c r="X65" s="1191"/>
      <c r="Y65" s="1191"/>
      <c r="Z65" s="1191"/>
      <c r="AA65" s="1191"/>
      <c r="AB65" s="1191"/>
      <c r="AC65" s="1191"/>
      <c r="AD65" s="1191"/>
      <c r="AE65" s="1191"/>
      <c r="AF65" s="1191"/>
      <c r="AG65" s="1191"/>
      <c r="AH65" s="1191"/>
      <c r="AI65" s="1191"/>
      <c r="AJ65" s="1191"/>
      <c r="AK65" s="1191"/>
      <c r="AL65" s="1191"/>
      <c r="AM65" s="1191"/>
      <c r="AN65" s="1191"/>
      <c r="AO65" s="1191"/>
      <c r="AP65" s="1191"/>
      <c r="AQ65" s="1191"/>
      <c r="AR65" s="1191"/>
      <c r="AS65" s="1191"/>
      <c r="AT65" s="1191"/>
      <c r="AU65" s="1191"/>
      <c r="AV65" s="1191"/>
      <c r="AW65" s="1191"/>
      <c r="AX65" s="1191"/>
      <c r="AY65" s="1191"/>
      <c r="AZ65" s="1191"/>
      <c r="BA65" s="1191"/>
      <c r="BB65" s="1191"/>
      <c r="BC65" s="1191"/>
      <c r="BD65" s="1191"/>
      <c r="BE65" s="1195"/>
    </row>
    <row r="66" spans="1:94" ht="15.75" customHeight="1">
      <c r="A66" s="1191"/>
      <c r="B66" s="1199" t="s">
        <v>2402</v>
      </c>
      <c r="C66" s="1199"/>
      <c r="D66" s="1199"/>
      <c r="E66" s="1199"/>
      <c r="F66" s="1199"/>
      <c r="G66" s="1199"/>
      <c r="H66" s="1199"/>
      <c r="I66" s="1199"/>
      <c r="J66" s="1199"/>
      <c r="K66" s="1199"/>
      <c r="L66" s="1191"/>
      <c r="M66" s="1191"/>
      <c r="N66" s="1191"/>
      <c r="O66" s="1191"/>
      <c r="P66" s="1191"/>
      <c r="Q66" s="1191"/>
      <c r="R66" s="1191"/>
      <c r="S66" s="1191"/>
      <c r="T66" s="1191"/>
      <c r="U66" s="1191"/>
      <c r="V66" s="1191"/>
      <c r="W66" s="1191"/>
      <c r="X66" s="1191"/>
      <c r="Y66" s="1191"/>
      <c r="Z66" s="1191"/>
      <c r="AA66" s="1191"/>
      <c r="AB66" s="1191"/>
      <c r="AC66" s="1191"/>
      <c r="AD66" s="1191"/>
      <c r="AE66" s="1191"/>
      <c r="AF66" s="1191"/>
      <c r="AG66" s="1191"/>
      <c r="AH66" s="1191"/>
      <c r="AI66" s="1191"/>
      <c r="AJ66" s="1191"/>
      <c r="AK66" s="1191"/>
      <c r="AL66" s="1191"/>
      <c r="AM66" s="1191"/>
      <c r="AN66" s="1191"/>
      <c r="AO66" s="1191"/>
      <c r="AP66" s="1191"/>
      <c r="AQ66" s="1191"/>
      <c r="AR66" s="1191"/>
      <c r="AS66" s="1191"/>
      <c r="AT66" s="1191"/>
      <c r="AU66" s="1191"/>
      <c r="AV66" s="1191"/>
      <c r="AW66" s="1191"/>
      <c r="AX66" s="1191"/>
      <c r="AY66" s="1191"/>
      <c r="AZ66" s="1191"/>
      <c r="BA66" s="1191"/>
      <c r="BB66" s="1191"/>
      <c r="BC66" s="1191"/>
      <c r="BD66" s="1191"/>
      <c r="BE66" s="1195"/>
    </row>
    <row r="67" spans="1:94" ht="15.75" customHeight="1" thickBot="1">
      <c r="A67" s="1191"/>
      <c r="B67" s="1191"/>
      <c r="C67" s="1191"/>
      <c r="D67" s="1191"/>
      <c r="E67" s="1191"/>
      <c r="F67" s="1191"/>
      <c r="G67" s="1191"/>
      <c r="H67" s="1191"/>
      <c r="I67" s="1191"/>
      <c r="J67" s="1191"/>
      <c r="K67" s="1191"/>
      <c r="L67" s="1191"/>
      <c r="M67" s="1191"/>
      <c r="N67" s="1191"/>
      <c r="O67" s="1191"/>
      <c r="P67" s="1191"/>
      <c r="Q67" s="1191"/>
      <c r="R67" s="1191"/>
      <c r="S67" s="1191"/>
      <c r="T67" s="1191"/>
      <c r="U67" s="1191"/>
      <c r="V67" s="1191"/>
      <c r="W67" s="1191"/>
      <c r="X67" s="1191"/>
      <c r="Y67" s="1191"/>
      <c r="Z67" s="1191"/>
      <c r="AA67" s="1191"/>
      <c r="AB67" s="1191"/>
      <c r="AC67" s="1191"/>
      <c r="AD67" s="1191"/>
      <c r="AE67" s="1191"/>
      <c r="AF67" s="1191"/>
      <c r="AG67" s="1191"/>
      <c r="AH67" s="1191"/>
      <c r="AI67" s="1191"/>
      <c r="AJ67" s="1191"/>
      <c r="AK67" s="1191"/>
      <c r="AL67" s="1191"/>
      <c r="AM67" s="1191"/>
      <c r="AN67" s="1191"/>
      <c r="AO67" s="1191"/>
      <c r="AP67" s="1191"/>
      <c r="AQ67" s="1191"/>
      <c r="AR67" s="1191"/>
      <c r="AS67" s="1191"/>
      <c r="AT67" s="1191"/>
      <c r="AU67" s="1191"/>
      <c r="AV67" s="1191"/>
      <c r="AW67" s="1191"/>
      <c r="AX67" s="1191"/>
      <c r="AY67" s="1191"/>
      <c r="AZ67" s="1191"/>
      <c r="BA67" s="1191"/>
      <c r="BB67" s="1191"/>
      <c r="BC67" s="1191"/>
      <c r="BD67" s="1191"/>
      <c r="BE67" s="1195"/>
    </row>
    <row r="68" spans="1:94" ht="15.75" customHeight="1" thickBot="1">
      <c r="A68" s="1191"/>
      <c r="B68" s="2098" t="s">
        <v>2401</v>
      </c>
      <c r="C68" s="2099"/>
      <c r="D68" s="2099"/>
      <c r="E68" s="2099"/>
      <c r="F68" s="2099"/>
      <c r="G68" s="2099"/>
      <c r="H68" s="2099"/>
      <c r="I68" s="2099"/>
      <c r="J68" s="2099"/>
      <c r="K68" s="2099"/>
      <c r="L68" s="2099"/>
      <c r="M68" s="2099"/>
      <c r="N68" s="2099"/>
      <c r="O68" s="2099"/>
      <c r="P68" s="2099"/>
      <c r="Q68" s="2099"/>
      <c r="R68" s="2099"/>
      <c r="S68" s="2099"/>
      <c r="T68" s="2099"/>
      <c r="U68" s="2099"/>
      <c r="V68" s="2099"/>
      <c r="W68" s="2099"/>
      <c r="X68" s="2099"/>
      <c r="Y68" s="2099"/>
      <c r="Z68" s="2099"/>
      <c r="AA68" s="2100"/>
      <c r="AB68" s="1191"/>
      <c r="AC68" s="2024" t="s">
        <v>2400</v>
      </c>
      <c r="AD68" s="2025"/>
      <c r="AE68" s="2025"/>
      <c r="AF68" s="2025"/>
      <c r="AG68" s="2025"/>
      <c r="AH68" s="2025"/>
      <c r="AI68" s="2025"/>
      <c r="AJ68" s="2025"/>
      <c r="AK68" s="2025"/>
      <c r="AL68" s="2025"/>
      <c r="AM68" s="2025"/>
      <c r="AN68" s="2025"/>
      <c r="AO68" s="2025"/>
      <c r="AP68" s="2025"/>
      <c r="AQ68" s="2025"/>
      <c r="AR68" s="2025"/>
      <c r="AS68" s="2025"/>
      <c r="AT68" s="2025"/>
      <c r="AU68" s="2025"/>
      <c r="AV68" s="2178" t="s">
        <v>669</v>
      </c>
      <c r="AW68" s="2081"/>
      <c r="AX68" s="2081"/>
      <c r="AY68" s="2081"/>
      <c r="AZ68" s="2081"/>
      <c r="BA68" s="2081"/>
      <c r="BB68" s="2081"/>
      <c r="BC68" s="2082"/>
      <c r="BD68" s="1191"/>
      <c r="BE68" s="1195"/>
      <c r="BM68" s="1200" t="s">
        <v>2399</v>
      </c>
    </row>
    <row r="69" spans="1:94" ht="15.75" customHeight="1" thickTop="1" thickBot="1">
      <c r="A69" s="1191"/>
      <c r="B69" s="2179" t="s">
        <v>2398</v>
      </c>
      <c r="C69" s="2180"/>
      <c r="D69" s="2180"/>
      <c r="E69" s="2180"/>
      <c r="F69" s="2180"/>
      <c r="G69" s="2180"/>
      <c r="H69" s="2180"/>
      <c r="I69" s="2180"/>
      <c r="J69" s="2180"/>
      <c r="K69" s="2180"/>
      <c r="L69" s="2180"/>
      <c r="M69" s="2180"/>
      <c r="N69" s="2180"/>
      <c r="O69" s="2181" t="s">
        <v>2397</v>
      </c>
      <c r="P69" s="2182"/>
      <c r="Q69" s="2182"/>
      <c r="R69" s="2182"/>
      <c r="S69" s="2182"/>
      <c r="T69" s="2182"/>
      <c r="U69" s="2182"/>
      <c r="V69" s="2182"/>
      <c r="W69" s="2182"/>
      <c r="X69" s="2182"/>
      <c r="Y69" s="2182"/>
      <c r="Z69" s="2182"/>
      <c r="AA69" s="2183"/>
      <c r="AB69" s="1191"/>
      <c r="AC69" s="2184" t="s">
        <v>2396</v>
      </c>
      <c r="AD69" s="2185"/>
      <c r="AE69" s="2185"/>
      <c r="AF69" s="2185"/>
      <c r="AG69" s="2185"/>
      <c r="AH69" s="2185"/>
      <c r="AI69" s="2185"/>
      <c r="AJ69" s="2185"/>
      <c r="AK69" s="2185"/>
      <c r="AL69" s="2185"/>
      <c r="AM69" s="2185"/>
      <c r="AN69" s="2185"/>
      <c r="AO69" s="2185"/>
      <c r="AP69" s="2185"/>
      <c r="AQ69" s="2185"/>
      <c r="AR69" s="2185"/>
      <c r="AS69" s="2185"/>
      <c r="AT69" s="2185"/>
      <c r="AU69" s="2185"/>
      <c r="AV69" s="2178" t="s">
        <v>669</v>
      </c>
      <c r="AW69" s="2081"/>
      <c r="AX69" s="2081"/>
      <c r="AY69" s="2081"/>
      <c r="AZ69" s="2081"/>
      <c r="BA69" s="2081"/>
      <c r="BB69" s="2081"/>
      <c r="BC69" s="2082"/>
      <c r="BD69" s="1191"/>
      <c r="BE69" s="1195"/>
      <c r="BM69" s="1201" t="s">
        <v>545</v>
      </c>
    </row>
    <row r="70" spans="1:94" ht="15.75" customHeight="1">
      <c r="A70" s="1191"/>
      <c r="B70" s="2161" t="s">
        <v>2395</v>
      </c>
      <c r="C70" s="2162"/>
      <c r="D70" s="2162"/>
      <c r="E70" s="2162"/>
      <c r="F70" s="2162"/>
      <c r="G70" s="2162"/>
      <c r="H70" s="2162"/>
      <c r="I70" s="2162"/>
      <c r="J70" s="2162"/>
      <c r="K70" s="2162"/>
      <c r="L70" s="2162"/>
      <c r="M70" s="2162"/>
      <c r="N70" s="2162"/>
      <c r="O70" s="2032">
        <v>0</v>
      </c>
      <c r="P70" s="2032"/>
      <c r="Q70" s="2032"/>
      <c r="R70" s="2032"/>
      <c r="S70" s="2032"/>
      <c r="T70" s="2032"/>
      <c r="U70" s="2032"/>
      <c r="V70" s="2032"/>
      <c r="W70" s="2032"/>
      <c r="X70" s="2032"/>
      <c r="Y70" s="2032"/>
      <c r="Z70" s="2032"/>
      <c r="AA70" s="2163"/>
      <c r="AB70" s="1191"/>
      <c r="AC70" s="2070" t="s">
        <v>2394</v>
      </c>
      <c r="AD70" s="2026"/>
      <c r="AE70" s="2026"/>
      <c r="AF70" s="2172"/>
      <c r="AG70" s="2172"/>
      <c r="AH70" s="2172"/>
      <c r="AI70" s="2172"/>
      <c r="AJ70" s="2172"/>
      <c r="AK70" s="2172"/>
      <c r="AL70" s="2172"/>
      <c r="AM70" s="2172"/>
      <c r="AN70" s="2172"/>
      <c r="AO70" s="2172"/>
      <c r="AP70" s="2172"/>
      <c r="AQ70" s="2172"/>
      <c r="AR70" s="2172"/>
      <c r="AS70" s="2172"/>
      <c r="AT70" s="2172"/>
      <c r="AU70" s="2173"/>
      <c r="AV70" s="1191"/>
      <c r="AW70" s="1191"/>
      <c r="AX70" s="1191"/>
      <c r="AY70" s="1191"/>
      <c r="AZ70" s="1191"/>
      <c r="BA70" s="1191"/>
      <c r="BB70" s="1191"/>
      <c r="BC70" s="1191"/>
      <c r="BD70" s="1191"/>
      <c r="BE70" s="1195"/>
      <c r="BM70" s="1202" t="s">
        <v>669</v>
      </c>
    </row>
    <row r="71" spans="1:94" ht="15.75" customHeight="1" thickBot="1">
      <c r="A71" s="1191"/>
      <c r="B71" s="2161" t="s">
        <v>2393</v>
      </c>
      <c r="C71" s="2162"/>
      <c r="D71" s="2162"/>
      <c r="E71" s="2162"/>
      <c r="F71" s="2162"/>
      <c r="G71" s="2162"/>
      <c r="H71" s="2162"/>
      <c r="I71" s="2162"/>
      <c r="J71" s="2162"/>
      <c r="K71" s="2162"/>
      <c r="L71" s="2162"/>
      <c r="M71" s="2162"/>
      <c r="N71" s="2162"/>
      <c r="O71" s="2032">
        <v>0</v>
      </c>
      <c r="P71" s="2032"/>
      <c r="Q71" s="2032"/>
      <c r="R71" s="2032"/>
      <c r="S71" s="2032"/>
      <c r="T71" s="2032"/>
      <c r="U71" s="2032"/>
      <c r="V71" s="2032"/>
      <c r="W71" s="2032"/>
      <c r="X71" s="2032"/>
      <c r="Y71" s="2032"/>
      <c r="Z71" s="2032"/>
      <c r="AA71" s="2163"/>
      <c r="AB71" s="1191"/>
      <c r="AC71" s="2174" t="s">
        <v>2392</v>
      </c>
      <c r="AD71" s="2175"/>
      <c r="AE71" s="2175"/>
      <c r="AF71" s="2176"/>
      <c r="AG71" s="2176"/>
      <c r="AH71" s="2176"/>
      <c r="AI71" s="2176"/>
      <c r="AJ71" s="2176"/>
      <c r="AK71" s="2176"/>
      <c r="AL71" s="2176"/>
      <c r="AM71" s="2176"/>
      <c r="AN71" s="2176"/>
      <c r="AO71" s="2176"/>
      <c r="AP71" s="2176"/>
      <c r="AQ71" s="2176"/>
      <c r="AR71" s="2176"/>
      <c r="AS71" s="2176"/>
      <c r="AT71" s="2176"/>
      <c r="AU71" s="2177"/>
      <c r="AV71" s="1191"/>
      <c r="AW71" s="1191"/>
      <c r="AX71" s="1191"/>
      <c r="AY71" s="1191"/>
      <c r="AZ71" s="1191"/>
      <c r="BA71" s="1191"/>
      <c r="BB71" s="1191"/>
      <c r="BC71" s="1191"/>
      <c r="BD71" s="1191"/>
      <c r="BE71" s="1195"/>
      <c r="BM71" s="1188" t="s">
        <v>2391</v>
      </c>
    </row>
    <row r="72" spans="1:94" ht="15.75" customHeight="1">
      <c r="A72" s="1191"/>
      <c r="B72" s="2161" t="s">
        <v>2390</v>
      </c>
      <c r="C72" s="2162"/>
      <c r="D72" s="2162"/>
      <c r="E72" s="2162"/>
      <c r="F72" s="2162"/>
      <c r="G72" s="2162"/>
      <c r="H72" s="2162"/>
      <c r="I72" s="2162"/>
      <c r="J72" s="2162"/>
      <c r="K72" s="2162"/>
      <c r="L72" s="2162"/>
      <c r="M72" s="2162"/>
      <c r="N72" s="2162"/>
      <c r="O72" s="2032">
        <v>0</v>
      </c>
      <c r="P72" s="2032"/>
      <c r="Q72" s="2032"/>
      <c r="R72" s="2032"/>
      <c r="S72" s="2032"/>
      <c r="T72" s="2032"/>
      <c r="U72" s="2032"/>
      <c r="V72" s="2032"/>
      <c r="W72" s="2032"/>
      <c r="X72" s="2032"/>
      <c r="Y72" s="2032"/>
      <c r="Z72" s="2032"/>
      <c r="AA72" s="2163"/>
      <c r="AB72" s="1191"/>
      <c r="AC72" s="2164" t="s">
        <v>2389</v>
      </c>
      <c r="AD72" s="2165"/>
      <c r="AE72" s="2165"/>
      <c r="AF72" s="2165"/>
      <c r="AG72" s="2165"/>
      <c r="AH72" s="2165"/>
      <c r="AI72" s="2165"/>
      <c r="AJ72" s="2165"/>
      <c r="AK72" s="2165"/>
      <c r="AL72" s="2165"/>
      <c r="AM72" s="2165"/>
      <c r="AN72" s="2165"/>
      <c r="AO72" s="2165"/>
      <c r="AP72" s="2165"/>
      <c r="AQ72" s="2165"/>
      <c r="AR72" s="2165"/>
      <c r="AS72" s="2165"/>
      <c r="AT72" s="2165"/>
      <c r="AU72" s="2165"/>
      <c r="AV72" s="2026"/>
      <c r="AW72" s="2026"/>
      <c r="AX72" s="2026"/>
      <c r="AY72" s="2026"/>
      <c r="AZ72" s="2026"/>
      <c r="BA72" s="2026"/>
      <c r="BB72" s="2026"/>
      <c r="BC72" s="2027"/>
      <c r="BD72" s="1191"/>
      <c r="BE72" s="1195"/>
    </row>
    <row r="73" spans="1:94" ht="15.75" customHeight="1">
      <c r="A73" s="1191"/>
      <c r="B73" s="2166" t="s">
        <v>2388</v>
      </c>
      <c r="C73" s="2167"/>
      <c r="D73" s="2167"/>
      <c r="E73" s="2167"/>
      <c r="F73" s="2167"/>
      <c r="G73" s="2167"/>
      <c r="H73" s="2167"/>
      <c r="I73" s="2167"/>
      <c r="J73" s="2167"/>
      <c r="K73" s="2167"/>
      <c r="L73" s="2167"/>
      <c r="M73" s="2167"/>
      <c r="N73" s="2167"/>
      <c r="O73" s="2032">
        <v>0</v>
      </c>
      <c r="P73" s="2032"/>
      <c r="Q73" s="2032"/>
      <c r="R73" s="2032"/>
      <c r="S73" s="2032"/>
      <c r="T73" s="2032"/>
      <c r="U73" s="2032"/>
      <c r="V73" s="2032"/>
      <c r="W73" s="2032"/>
      <c r="X73" s="2032"/>
      <c r="Y73" s="2032"/>
      <c r="Z73" s="2032"/>
      <c r="AA73" s="2163"/>
      <c r="AB73" s="1191"/>
      <c r="AC73" s="2041" t="s">
        <v>2333</v>
      </c>
      <c r="AD73" s="2042"/>
      <c r="AE73" s="2042"/>
      <c r="AF73" s="2042"/>
      <c r="AG73" s="2042"/>
      <c r="AH73" s="2042"/>
      <c r="AI73" s="2042"/>
      <c r="AJ73" s="2042"/>
      <c r="AK73" s="2042"/>
      <c r="AL73" s="2042"/>
      <c r="AM73" s="2042"/>
      <c r="AN73" s="2042"/>
      <c r="AO73" s="2042"/>
      <c r="AP73" s="2042"/>
      <c r="AQ73" s="2042"/>
      <c r="AR73" s="2042"/>
      <c r="AS73" s="2042"/>
      <c r="AT73" s="2042"/>
      <c r="AU73" s="2042"/>
      <c r="AV73" s="2042"/>
      <c r="AW73" s="2042"/>
      <c r="AX73" s="2042"/>
      <c r="AY73" s="2042"/>
      <c r="AZ73" s="2042"/>
      <c r="BA73" s="2042"/>
      <c r="BB73" s="2042"/>
      <c r="BC73" s="2043"/>
      <c r="BD73" s="1191"/>
      <c r="BE73" s="1195"/>
      <c r="CK73" s="1189"/>
      <c r="CL73" s="1189"/>
      <c r="CM73" s="1189"/>
      <c r="CN73" s="1189"/>
      <c r="CO73" s="1189"/>
      <c r="CP73" s="1189"/>
    </row>
    <row r="74" spans="1:94" ht="15.75" customHeight="1">
      <c r="A74" s="1191"/>
      <c r="B74" s="1986"/>
      <c r="C74" s="1987"/>
      <c r="D74" s="1987"/>
      <c r="E74" s="1987"/>
      <c r="F74" s="1987"/>
      <c r="G74" s="1987"/>
      <c r="H74" s="1987"/>
      <c r="I74" s="1987"/>
      <c r="J74" s="1987"/>
      <c r="K74" s="1987"/>
      <c r="L74" s="1987"/>
      <c r="M74" s="1987"/>
      <c r="N74" s="1987"/>
      <c r="O74" s="2032"/>
      <c r="P74" s="2032"/>
      <c r="Q74" s="2032"/>
      <c r="R74" s="2032"/>
      <c r="S74" s="2032"/>
      <c r="T74" s="2032"/>
      <c r="U74" s="2032"/>
      <c r="V74" s="2032"/>
      <c r="W74" s="2032"/>
      <c r="X74" s="2032"/>
      <c r="Y74" s="2032"/>
      <c r="Z74" s="2032"/>
      <c r="AA74" s="2163"/>
      <c r="AB74" s="1191"/>
      <c r="AC74" s="2041"/>
      <c r="AD74" s="2042"/>
      <c r="AE74" s="2042"/>
      <c r="AF74" s="2042"/>
      <c r="AG74" s="2042"/>
      <c r="AH74" s="2042"/>
      <c r="AI74" s="2042"/>
      <c r="AJ74" s="2042"/>
      <c r="AK74" s="2042"/>
      <c r="AL74" s="2042"/>
      <c r="AM74" s="2042"/>
      <c r="AN74" s="2042"/>
      <c r="AO74" s="2042"/>
      <c r="AP74" s="2042"/>
      <c r="AQ74" s="2042"/>
      <c r="AR74" s="2042"/>
      <c r="AS74" s="2042"/>
      <c r="AT74" s="2042"/>
      <c r="AU74" s="2042"/>
      <c r="AV74" s="2042"/>
      <c r="AW74" s="2042"/>
      <c r="AX74" s="2042"/>
      <c r="AY74" s="2042"/>
      <c r="AZ74" s="2042"/>
      <c r="BA74" s="2042"/>
      <c r="BB74" s="2042"/>
      <c r="BC74" s="2043"/>
      <c r="BD74" s="1191"/>
      <c r="BE74" s="1195"/>
      <c r="CK74" s="1189"/>
      <c r="CL74" s="1189"/>
      <c r="CM74" s="1189"/>
      <c r="CN74" s="1189"/>
      <c r="CO74" s="1189"/>
      <c r="CP74" s="1189"/>
    </row>
    <row r="75" spans="1:94" ht="15.75" customHeight="1" thickBot="1">
      <c r="A75" s="1191"/>
      <c r="B75" s="2168" t="s">
        <v>124</v>
      </c>
      <c r="C75" s="2169"/>
      <c r="D75" s="2169"/>
      <c r="E75" s="2169"/>
      <c r="F75" s="2169"/>
      <c r="G75" s="2169"/>
      <c r="H75" s="2169"/>
      <c r="I75" s="2169"/>
      <c r="J75" s="2169"/>
      <c r="K75" s="2169"/>
      <c r="L75" s="2169"/>
      <c r="M75" s="2169"/>
      <c r="N75" s="2169"/>
      <c r="O75" s="2170">
        <f>SUM(O70:AA74)</f>
        <v>0</v>
      </c>
      <c r="P75" s="2170"/>
      <c r="Q75" s="2170"/>
      <c r="R75" s="2170"/>
      <c r="S75" s="2170"/>
      <c r="T75" s="2170"/>
      <c r="U75" s="2170"/>
      <c r="V75" s="2170"/>
      <c r="W75" s="2170"/>
      <c r="X75" s="2170"/>
      <c r="Y75" s="2170"/>
      <c r="Z75" s="2170"/>
      <c r="AA75" s="2171"/>
      <c r="AB75" s="1191"/>
      <c r="AC75" s="2041"/>
      <c r="AD75" s="2042"/>
      <c r="AE75" s="2042"/>
      <c r="AF75" s="2042"/>
      <c r="AG75" s="2042"/>
      <c r="AH75" s="2042"/>
      <c r="AI75" s="2042"/>
      <c r="AJ75" s="2042"/>
      <c r="AK75" s="2042"/>
      <c r="AL75" s="2042"/>
      <c r="AM75" s="2042"/>
      <c r="AN75" s="2042"/>
      <c r="AO75" s="2042"/>
      <c r="AP75" s="2042"/>
      <c r="AQ75" s="2042"/>
      <c r="AR75" s="2042"/>
      <c r="AS75" s="2042"/>
      <c r="AT75" s="2042"/>
      <c r="AU75" s="2042"/>
      <c r="AV75" s="2042"/>
      <c r="AW75" s="2042"/>
      <c r="AX75" s="2042"/>
      <c r="AY75" s="2042"/>
      <c r="AZ75" s="2042"/>
      <c r="BA75" s="2042"/>
      <c r="BB75" s="2042"/>
      <c r="BC75" s="2043"/>
      <c r="BD75" s="1191"/>
      <c r="BE75" s="1195"/>
      <c r="CK75" s="1189"/>
      <c r="CL75" s="1189"/>
      <c r="CM75" s="1189"/>
      <c r="CN75" s="1189"/>
      <c r="CO75" s="1189"/>
      <c r="CP75" s="1189"/>
    </row>
    <row r="76" spans="1:94" ht="15.75" customHeight="1">
      <c r="A76" s="1191"/>
      <c r="B76" s="1191"/>
      <c r="C76" s="1191"/>
      <c r="D76" s="1191"/>
      <c r="E76" s="1191"/>
      <c r="F76" s="1191"/>
      <c r="G76" s="1191"/>
      <c r="H76" s="1191"/>
      <c r="I76" s="1191"/>
      <c r="J76" s="1191"/>
      <c r="K76" s="1191"/>
      <c r="L76" s="1191"/>
      <c r="M76" s="1191"/>
      <c r="N76" s="1191"/>
      <c r="O76" s="1191"/>
      <c r="P76" s="1191"/>
      <c r="Q76" s="1191"/>
      <c r="R76" s="1191"/>
      <c r="S76" s="1191"/>
      <c r="T76" s="1191"/>
      <c r="U76" s="1191"/>
      <c r="V76" s="1191"/>
      <c r="W76" s="1191"/>
      <c r="X76" s="1191"/>
      <c r="Y76" s="1191"/>
      <c r="Z76" s="1191"/>
      <c r="AA76" s="1191"/>
      <c r="AB76" s="1191"/>
      <c r="AC76" s="2041"/>
      <c r="AD76" s="2042"/>
      <c r="AE76" s="2042"/>
      <c r="AF76" s="2042"/>
      <c r="AG76" s="2042"/>
      <c r="AH76" s="2042"/>
      <c r="AI76" s="2042"/>
      <c r="AJ76" s="2042"/>
      <c r="AK76" s="2042"/>
      <c r="AL76" s="2042"/>
      <c r="AM76" s="2042"/>
      <c r="AN76" s="2042"/>
      <c r="AO76" s="2042"/>
      <c r="AP76" s="2042"/>
      <c r="AQ76" s="2042"/>
      <c r="AR76" s="2042"/>
      <c r="AS76" s="2042"/>
      <c r="AT76" s="2042"/>
      <c r="AU76" s="2042"/>
      <c r="AV76" s="2042"/>
      <c r="AW76" s="2042"/>
      <c r="AX76" s="2042"/>
      <c r="AY76" s="2042"/>
      <c r="AZ76" s="2042"/>
      <c r="BA76" s="2042"/>
      <c r="BB76" s="2042"/>
      <c r="BC76" s="2043"/>
      <c r="BD76" s="1191"/>
      <c r="BE76" s="1195"/>
      <c r="CK76" s="1189"/>
      <c r="CL76" s="1189"/>
      <c r="CM76" s="1189"/>
      <c r="CN76" s="1189"/>
      <c r="CO76" s="1189"/>
      <c r="CP76" s="1189"/>
    </row>
    <row r="77" spans="1:94" ht="15.75" customHeight="1" thickBot="1">
      <c r="A77" s="1191"/>
      <c r="B77" s="1191"/>
      <c r="C77" s="1191"/>
      <c r="D77" s="1191"/>
      <c r="E77" s="1191"/>
      <c r="F77" s="1191"/>
      <c r="G77" s="1191"/>
      <c r="H77" s="1191"/>
      <c r="I77" s="1191"/>
      <c r="J77" s="1191"/>
      <c r="K77" s="1191"/>
      <c r="L77" s="1191"/>
      <c r="M77" s="1191"/>
      <c r="N77" s="1191"/>
      <c r="O77" s="1191"/>
      <c r="P77" s="1191"/>
      <c r="Q77" s="1191"/>
      <c r="R77" s="1191"/>
      <c r="S77" s="1191"/>
      <c r="T77" s="1191"/>
      <c r="U77" s="1191"/>
      <c r="V77" s="1191"/>
      <c r="W77" s="1191"/>
      <c r="X77" s="1191"/>
      <c r="Y77" s="1191"/>
      <c r="Z77" s="1191"/>
      <c r="AA77" s="1191"/>
      <c r="AB77" s="1191"/>
      <c r="AC77" s="2044"/>
      <c r="AD77" s="2045"/>
      <c r="AE77" s="2045"/>
      <c r="AF77" s="2045"/>
      <c r="AG77" s="2045"/>
      <c r="AH77" s="2045"/>
      <c r="AI77" s="2045"/>
      <c r="AJ77" s="2045"/>
      <c r="AK77" s="2045"/>
      <c r="AL77" s="2045"/>
      <c r="AM77" s="2045"/>
      <c r="AN77" s="2045"/>
      <c r="AO77" s="2045"/>
      <c r="AP77" s="2045"/>
      <c r="AQ77" s="2045"/>
      <c r="AR77" s="2045"/>
      <c r="AS77" s="2045"/>
      <c r="AT77" s="2045"/>
      <c r="AU77" s="2045"/>
      <c r="AV77" s="2045"/>
      <c r="AW77" s="2045"/>
      <c r="AX77" s="2045"/>
      <c r="AY77" s="2045"/>
      <c r="AZ77" s="2045"/>
      <c r="BA77" s="2045"/>
      <c r="BB77" s="2045"/>
      <c r="BC77" s="2046"/>
      <c r="BD77" s="1191"/>
      <c r="BE77" s="1195"/>
      <c r="CK77" s="1189"/>
      <c r="CL77" s="1189"/>
      <c r="CM77" s="1189"/>
      <c r="CN77" s="1189"/>
      <c r="CO77" s="1189"/>
      <c r="CP77" s="1189"/>
    </row>
    <row r="78" spans="1:94" ht="15.75" customHeight="1" thickBot="1">
      <c r="A78" s="1191"/>
      <c r="B78" s="1203" t="s">
        <v>2387</v>
      </c>
      <c r="C78" s="1204"/>
      <c r="D78" s="1205"/>
      <c r="E78" s="1205"/>
      <c r="F78" s="1205"/>
      <c r="G78" s="1205"/>
      <c r="H78" s="1205"/>
      <c r="I78" s="1205"/>
      <c r="J78" s="1205"/>
      <c r="K78" s="1205"/>
      <c r="L78" s="1205"/>
      <c r="M78" s="1205"/>
      <c r="N78" s="1205"/>
      <c r="O78" s="1205"/>
      <c r="P78" s="1205"/>
      <c r="Q78" s="1205"/>
      <c r="R78" s="1205"/>
      <c r="S78" s="1205"/>
      <c r="T78" s="1206"/>
      <c r="U78" s="1191"/>
      <c r="V78" s="1191"/>
      <c r="W78" s="1191"/>
      <c r="X78" s="1191"/>
      <c r="Y78" s="1191"/>
      <c r="Z78" s="1191"/>
      <c r="AA78" s="1191"/>
      <c r="AB78" s="1191"/>
      <c r="AC78" s="1191"/>
      <c r="AD78" s="1191"/>
      <c r="AE78" s="1191"/>
      <c r="AF78" s="1191"/>
      <c r="AG78" s="1191"/>
      <c r="AH78" s="1191"/>
      <c r="AI78" s="1191"/>
      <c r="AJ78" s="1191"/>
      <c r="AK78" s="1191"/>
      <c r="AL78" s="1191"/>
      <c r="AM78" s="1191"/>
      <c r="AN78" s="1191"/>
      <c r="AO78" s="1191"/>
      <c r="AP78" s="1191"/>
      <c r="AQ78" s="1191"/>
      <c r="AR78" s="1191"/>
      <c r="AS78" s="1191"/>
      <c r="AT78" s="1191"/>
      <c r="AU78" s="1191"/>
      <c r="AV78" s="1191"/>
      <c r="AW78" s="1191"/>
      <c r="AX78" s="1191"/>
      <c r="AY78" s="1191"/>
      <c r="AZ78" s="1191"/>
      <c r="BA78" s="1191"/>
      <c r="BB78" s="1191"/>
      <c r="BC78" s="1191"/>
      <c r="BD78" s="1191"/>
      <c r="BE78" s="1195"/>
      <c r="CK78" s="1189"/>
      <c r="CL78" s="1189"/>
      <c r="CM78" s="1189"/>
      <c r="CN78" s="1189"/>
      <c r="CO78" s="1189"/>
      <c r="CP78" s="1189"/>
    </row>
    <row r="79" spans="1:94" ht="15.75" customHeight="1">
      <c r="A79" s="1191"/>
      <c r="B79" s="1203" t="s">
        <v>2286</v>
      </c>
      <c r="C79" s="1207"/>
      <c r="D79" s="1207"/>
      <c r="E79" s="1208"/>
      <c r="F79" s="2146"/>
      <c r="G79" s="2147"/>
      <c r="H79" s="2147"/>
      <c r="I79" s="2147"/>
      <c r="J79" s="2147"/>
      <c r="K79" s="2147"/>
      <c r="L79" s="2147"/>
      <c r="M79" s="2147"/>
      <c r="N79" s="2147"/>
      <c r="O79" s="2147"/>
      <c r="P79" s="2147"/>
      <c r="Q79" s="2147"/>
      <c r="R79" s="2147"/>
      <c r="S79" s="2147"/>
      <c r="T79" s="2148"/>
      <c r="U79" s="1191"/>
      <c r="V79" s="1191"/>
      <c r="W79" s="1191"/>
      <c r="X79" s="1191"/>
      <c r="Y79" s="1191"/>
      <c r="Z79" s="1191"/>
      <c r="AA79" s="1191"/>
      <c r="AB79" s="1191"/>
      <c r="AC79" s="1191"/>
      <c r="AD79" s="1191"/>
      <c r="AE79" s="1191"/>
      <c r="AF79" s="1191"/>
      <c r="AG79" s="1191"/>
      <c r="AH79" s="1191"/>
      <c r="AI79" s="1191"/>
      <c r="AJ79" s="1191"/>
      <c r="AK79" s="1191"/>
      <c r="AL79" s="1191"/>
      <c r="AM79" s="1191"/>
      <c r="AN79" s="1191"/>
      <c r="AO79" s="1191"/>
      <c r="AP79" s="1191"/>
      <c r="AQ79" s="1191"/>
      <c r="AR79" s="1191"/>
      <c r="AS79" s="1191"/>
      <c r="AT79" s="1191"/>
      <c r="AU79" s="1191"/>
      <c r="AV79" s="1191"/>
      <c r="AW79" s="1191"/>
      <c r="AX79" s="1191"/>
      <c r="AY79" s="1191"/>
      <c r="AZ79" s="1191"/>
      <c r="BA79" s="1191"/>
      <c r="BB79" s="1191"/>
      <c r="BC79" s="1191"/>
      <c r="BD79" s="1191"/>
      <c r="BE79" s="1195"/>
      <c r="CK79" s="1189"/>
      <c r="CL79" s="1189"/>
      <c r="CM79" s="1189"/>
      <c r="CN79" s="1189"/>
      <c r="CO79" s="1189"/>
      <c r="CP79" s="1189"/>
    </row>
    <row r="80" spans="1:94" ht="15.75" customHeight="1" thickBot="1">
      <c r="A80" s="1191"/>
      <c r="B80" s="2149" t="s">
        <v>2386</v>
      </c>
      <c r="C80" s="2150"/>
      <c r="D80" s="2150"/>
      <c r="E80" s="2150"/>
      <c r="F80" s="2150"/>
      <c r="G80" s="2150"/>
      <c r="H80" s="2150"/>
      <c r="I80" s="2150"/>
      <c r="J80" s="2150"/>
      <c r="K80" s="2150"/>
      <c r="L80" s="2150"/>
      <c r="M80" s="2150"/>
      <c r="N80" s="2150"/>
      <c r="O80" s="2150"/>
      <c r="P80" s="2150"/>
      <c r="Q80" s="2150"/>
      <c r="R80" s="2152" t="str">
        <f>IFERROR(INDEX(BR96:BR98,MATCH(F79,$BQ$96:$BQ$98,0))/SUM($BR$96:$BR$98),"")</f>
        <v/>
      </c>
      <c r="S80" s="2153"/>
      <c r="T80" s="2154"/>
      <c r="U80" s="1191"/>
      <c r="V80" s="1191"/>
      <c r="W80" s="1191"/>
      <c r="X80" s="1191"/>
      <c r="Y80" s="1191"/>
      <c r="Z80" s="1191"/>
      <c r="AA80" s="1191"/>
      <c r="AB80" s="1191"/>
      <c r="AC80" s="1191"/>
      <c r="AD80" s="1191"/>
      <c r="AE80" s="1191"/>
      <c r="AF80" s="1191"/>
      <c r="AG80" s="1191"/>
      <c r="AH80" s="1191"/>
      <c r="AI80" s="1191"/>
      <c r="AJ80" s="1191"/>
      <c r="AK80" s="1191"/>
      <c r="AL80" s="1191"/>
      <c r="AM80" s="1191"/>
      <c r="AN80" s="1191"/>
      <c r="AO80" s="1191"/>
      <c r="AP80" s="1191"/>
      <c r="AQ80" s="1191"/>
      <c r="AR80" s="1191"/>
      <c r="AS80" s="1191"/>
      <c r="AT80" s="1191"/>
      <c r="AU80" s="1191"/>
      <c r="AV80" s="1191"/>
      <c r="AW80" s="1191"/>
      <c r="AX80" s="1191"/>
      <c r="AY80" s="1191"/>
      <c r="AZ80" s="1191"/>
      <c r="BA80" s="1191"/>
      <c r="BB80" s="1191"/>
      <c r="BC80" s="1191"/>
      <c r="BD80" s="1191"/>
      <c r="BE80" s="1195"/>
      <c r="CK80" s="1189"/>
      <c r="CL80" s="1189"/>
      <c r="CM80" s="1189"/>
      <c r="CN80" s="1189"/>
      <c r="CO80" s="1189"/>
      <c r="CP80" s="1189"/>
    </row>
    <row r="81" spans="1:94" ht="15.75" customHeight="1" thickBot="1">
      <c r="A81" s="1191"/>
      <c r="B81" s="2155" t="s">
        <v>2385</v>
      </c>
      <c r="C81" s="2156"/>
      <c r="D81" s="2156"/>
      <c r="E81" s="2156"/>
      <c r="F81" s="2156"/>
      <c r="G81" s="2156"/>
      <c r="H81" s="2156"/>
      <c r="I81" s="2156"/>
      <c r="J81" s="2156"/>
      <c r="K81" s="2156"/>
      <c r="L81" s="2156"/>
      <c r="M81" s="2156"/>
      <c r="N81" s="2156"/>
      <c r="O81" s="2156"/>
      <c r="P81" s="2156"/>
      <c r="Q81" s="2156"/>
      <c r="R81" s="2137" t="s">
        <v>2189</v>
      </c>
      <c r="S81" s="2138"/>
      <c r="T81" s="2139"/>
      <c r="U81" s="1191"/>
      <c r="V81" s="1191"/>
      <c r="W81" s="1191"/>
      <c r="X81" s="1191"/>
      <c r="Y81" s="1191"/>
      <c r="Z81" s="1191"/>
      <c r="AA81" s="1191"/>
      <c r="AB81" s="1191"/>
      <c r="AC81" s="1191"/>
      <c r="AD81" s="1191"/>
      <c r="AE81" s="1191"/>
      <c r="AF81" s="1191"/>
      <c r="AG81" s="1191"/>
      <c r="AH81" s="1191"/>
      <c r="AI81" s="1191"/>
      <c r="AJ81" s="1191"/>
      <c r="AK81" s="1191"/>
      <c r="AL81" s="1191"/>
      <c r="AM81" s="1191"/>
      <c r="AN81" s="1191"/>
      <c r="AO81" s="1191"/>
      <c r="AP81" s="1191"/>
      <c r="AQ81" s="1191"/>
      <c r="AR81" s="1191"/>
      <c r="AS81" s="1191"/>
      <c r="AT81" s="1191"/>
      <c r="AU81" s="1191"/>
      <c r="AV81" s="1191"/>
      <c r="AW81" s="1191"/>
      <c r="AX81" s="1191"/>
      <c r="AY81" s="1191"/>
      <c r="AZ81" s="1191"/>
      <c r="BA81" s="1191"/>
      <c r="BB81" s="1191"/>
      <c r="BC81" s="1191"/>
      <c r="BD81" s="1191"/>
      <c r="BE81" s="1195"/>
      <c r="CK81" s="1189"/>
      <c r="CL81" s="1189"/>
      <c r="CM81" s="1189"/>
      <c r="CN81" s="1189"/>
      <c r="CO81" s="1189"/>
      <c r="CP81" s="1189"/>
    </row>
    <row r="82" spans="1:94" ht="15.75" customHeight="1" thickBot="1">
      <c r="A82" s="1191"/>
      <c r="B82" s="1191"/>
      <c r="C82" s="1191"/>
      <c r="D82" s="1191"/>
      <c r="E82" s="1191"/>
      <c r="F82" s="1191"/>
      <c r="G82" s="1191"/>
      <c r="H82" s="1191"/>
      <c r="I82" s="1191"/>
      <c r="J82" s="1191"/>
      <c r="K82" s="1191"/>
      <c r="L82" s="1191"/>
      <c r="M82" s="1191"/>
      <c r="N82" s="1191"/>
      <c r="O82" s="1191"/>
      <c r="P82" s="1191"/>
      <c r="Q82" s="1191"/>
      <c r="R82" s="1191"/>
      <c r="S82" s="1191"/>
      <c r="T82" s="1191"/>
      <c r="U82" s="1191"/>
      <c r="V82" s="1191"/>
      <c r="W82" s="1191"/>
      <c r="X82" s="1191"/>
      <c r="Y82" s="1191"/>
      <c r="Z82" s="1191"/>
      <c r="AA82" s="1191"/>
      <c r="AB82" s="1191"/>
      <c r="AC82" s="1191"/>
      <c r="AD82" s="1191"/>
      <c r="AE82" s="1191"/>
      <c r="AF82" s="1191"/>
      <c r="AG82" s="1191"/>
      <c r="AH82" s="1191"/>
      <c r="AI82" s="1191"/>
      <c r="AJ82" s="1191"/>
      <c r="AK82" s="1191"/>
      <c r="AL82" s="1191"/>
      <c r="AM82" s="1191"/>
      <c r="AN82" s="1191"/>
      <c r="AO82" s="1191"/>
      <c r="AP82" s="1191"/>
      <c r="AQ82" s="1191"/>
      <c r="AR82" s="1191"/>
      <c r="AS82" s="1191"/>
      <c r="AT82" s="1191"/>
      <c r="AU82" s="1191"/>
      <c r="AV82" s="1191"/>
      <c r="AW82" s="1191"/>
      <c r="AX82" s="1191"/>
      <c r="AY82" s="1191"/>
      <c r="AZ82" s="1191"/>
      <c r="BA82" s="1191"/>
      <c r="BB82" s="1191"/>
      <c r="BC82" s="1191"/>
      <c r="BD82" s="1191"/>
      <c r="BE82" s="1195"/>
      <c r="CK82" s="1189"/>
      <c r="CL82" s="1189"/>
      <c r="CM82" s="1189"/>
      <c r="CN82" s="1189"/>
      <c r="CO82" s="1189"/>
      <c r="CP82" s="1189"/>
    </row>
    <row r="83" spans="1:94" ht="15.75" customHeight="1">
      <c r="A83" s="1191"/>
      <c r="B83" s="2158" t="s">
        <v>2384</v>
      </c>
      <c r="C83" s="2159"/>
      <c r="D83" s="2159"/>
      <c r="E83" s="2159"/>
      <c r="F83" s="2159"/>
      <c r="G83" s="2159"/>
      <c r="H83" s="2159"/>
      <c r="I83" s="2159"/>
      <c r="J83" s="2159"/>
      <c r="K83" s="2159"/>
      <c r="L83" s="2159"/>
      <c r="M83" s="2159"/>
      <c r="N83" s="2159"/>
      <c r="O83" s="2159"/>
      <c r="P83" s="2159"/>
      <c r="Q83" s="2159"/>
      <c r="R83" s="2159"/>
      <c r="S83" s="2159"/>
      <c r="T83" s="2159"/>
      <c r="U83" s="2159"/>
      <c r="V83" s="2159"/>
      <c r="W83" s="2159"/>
      <c r="X83" s="2159"/>
      <c r="Y83" s="2159"/>
      <c r="Z83" s="2159"/>
      <c r="AA83" s="2159"/>
      <c r="AB83" s="2159"/>
      <c r="AC83" s="2159"/>
      <c r="AD83" s="2159"/>
      <c r="AE83" s="2159"/>
      <c r="AF83" s="2159"/>
      <c r="AG83" s="2159"/>
      <c r="AH83" s="2160"/>
      <c r="AI83" s="1191"/>
      <c r="AJ83" s="2122" t="s">
        <v>2383</v>
      </c>
      <c r="AK83" s="2123"/>
      <c r="AL83" s="2123"/>
      <c r="AM83" s="2123"/>
      <c r="AN83" s="2123"/>
      <c r="AO83" s="2123"/>
      <c r="AP83" s="2123"/>
      <c r="AQ83" s="2123"/>
      <c r="AR83" s="2123"/>
      <c r="AS83" s="2123"/>
      <c r="AT83" s="2123"/>
      <c r="AU83" s="2123"/>
      <c r="AV83" s="2123"/>
      <c r="AW83" s="2123"/>
      <c r="AX83" s="2123"/>
      <c r="AY83" s="2142" t="s">
        <v>545</v>
      </c>
      <c r="AZ83" s="2142"/>
      <c r="BA83" s="2142"/>
      <c r="BB83" s="2143"/>
      <c r="BC83" s="1191"/>
      <c r="BD83" s="1191"/>
      <c r="BE83" s="1195"/>
      <c r="CK83" s="1189"/>
      <c r="CL83" s="1189"/>
      <c r="CM83" s="1189"/>
      <c r="CN83" s="1189"/>
      <c r="CO83" s="1189"/>
      <c r="CP83" s="1189"/>
    </row>
    <row r="84" spans="1:94" ht="15.75" customHeight="1">
      <c r="A84" s="1191"/>
      <c r="B84" s="2136"/>
      <c r="C84" s="2101"/>
      <c r="D84" s="2101"/>
      <c r="E84" s="2101"/>
      <c r="F84" s="2101"/>
      <c r="G84" s="2101"/>
      <c r="H84" s="2101"/>
      <c r="I84" s="2101" t="s">
        <v>2373</v>
      </c>
      <c r="J84" s="2101"/>
      <c r="K84" s="2101"/>
      <c r="L84" s="2101"/>
      <c r="M84" s="2101"/>
      <c r="N84" s="2101"/>
      <c r="O84" s="2101" t="s">
        <v>2349</v>
      </c>
      <c r="P84" s="2101"/>
      <c r="Q84" s="2101"/>
      <c r="R84" s="2101"/>
      <c r="S84" s="2101"/>
      <c r="T84" s="2101"/>
      <c r="U84" s="2101"/>
      <c r="V84" s="2140" t="s">
        <v>2348</v>
      </c>
      <c r="W84" s="2140"/>
      <c r="X84" s="2140"/>
      <c r="Y84" s="2140"/>
      <c r="Z84" s="2140"/>
      <c r="AA84" s="2140"/>
      <c r="AB84" s="2071" t="s">
        <v>2372</v>
      </c>
      <c r="AC84" s="2071"/>
      <c r="AD84" s="2071"/>
      <c r="AE84" s="2071"/>
      <c r="AF84" s="2071"/>
      <c r="AG84" s="2071"/>
      <c r="AH84" s="2141"/>
      <c r="AI84" s="1191"/>
      <c r="AJ84" s="2125"/>
      <c r="AK84" s="2126"/>
      <c r="AL84" s="2126"/>
      <c r="AM84" s="2126"/>
      <c r="AN84" s="2126"/>
      <c r="AO84" s="2126"/>
      <c r="AP84" s="2126"/>
      <c r="AQ84" s="2126"/>
      <c r="AR84" s="2126"/>
      <c r="AS84" s="2126"/>
      <c r="AT84" s="2126"/>
      <c r="AU84" s="2126"/>
      <c r="AV84" s="2126"/>
      <c r="AW84" s="2126"/>
      <c r="AX84" s="2126"/>
      <c r="AY84" s="2144"/>
      <c r="AZ84" s="2144"/>
      <c r="BA84" s="2144"/>
      <c r="BB84" s="2145"/>
      <c r="BC84" s="1191"/>
      <c r="BD84" s="1191"/>
      <c r="BE84" s="1195"/>
      <c r="CK84" s="1189"/>
      <c r="CL84" s="1189"/>
      <c r="CM84" s="1189"/>
      <c r="CN84" s="1189"/>
      <c r="CO84" s="1189"/>
      <c r="CP84" s="1189"/>
    </row>
    <row r="85" spans="1:94" ht="15.75" customHeight="1">
      <c r="A85" s="1191"/>
      <c r="B85" s="2136"/>
      <c r="C85" s="2101"/>
      <c r="D85" s="2101"/>
      <c r="E85" s="2101"/>
      <c r="F85" s="2101"/>
      <c r="G85" s="2101"/>
      <c r="H85" s="2101"/>
      <c r="I85" s="2101"/>
      <c r="J85" s="2101"/>
      <c r="K85" s="2101"/>
      <c r="L85" s="2101"/>
      <c r="M85" s="2101"/>
      <c r="N85" s="2101"/>
      <c r="O85" s="2101"/>
      <c r="P85" s="2101"/>
      <c r="Q85" s="2101"/>
      <c r="R85" s="2101"/>
      <c r="S85" s="2101"/>
      <c r="T85" s="2101"/>
      <c r="U85" s="2101"/>
      <c r="V85" s="2140"/>
      <c r="W85" s="2140"/>
      <c r="X85" s="2140"/>
      <c r="Y85" s="2140"/>
      <c r="Z85" s="2140"/>
      <c r="AA85" s="2140"/>
      <c r="AB85" s="2071"/>
      <c r="AC85" s="2071"/>
      <c r="AD85" s="2071"/>
      <c r="AE85" s="2071"/>
      <c r="AF85" s="2071"/>
      <c r="AG85" s="2071"/>
      <c r="AH85" s="2141"/>
      <c r="AI85" s="1191"/>
      <c r="AJ85" s="2125"/>
      <c r="AK85" s="2126"/>
      <c r="AL85" s="2126"/>
      <c r="AM85" s="2126"/>
      <c r="AN85" s="2126"/>
      <c r="AO85" s="2126"/>
      <c r="AP85" s="2126"/>
      <c r="AQ85" s="2126"/>
      <c r="AR85" s="2126"/>
      <c r="AS85" s="2126"/>
      <c r="AT85" s="2126"/>
      <c r="AU85" s="2126"/>
      <c r="AV85" s="2126"/>
      <c r="AW85" s="2126"/>
      <c r="AX85" s="2126"/>
      <c r="AY85" s="2144"/>
      <c r="AZ85" s="2144"/>
      <c r="BA85" s="2144"/>
      <c r="BB85" s="2145"/>
      <c r="BC85" s="1191"/>
      <c r="BD85" s="1191"/>
      <c r="BE85" s="1195"/>
      <c r="CK85" s="1189"/>
      <c r="CL85" s="1189"/>
      <c r="CM85" s="1189"/>
      <c r="CN85" s="1189"/>
      <c r="CO85" s="1189"/>
      <c r="CP85" s="1189"/>
    </row>
    <row r="86" spans="1:94" ht="15.75" customHeight="1">
      <c r="A86" s="1191"/>
      <c r="B86" s="2136" t="s">
        <v>2371</v>
      </c>
      <c r="C86" s="2101"/>
      <c r="D86" s="2101"/>
      <c r="E86" s="2101"/>
      <c r="F86" s="2101"/>
      <c r="G86" s="2101"/>
      <c r="H86" s="2101"/>
      <c r="I86" s="2074">
        <v>0</v>
      </c>
      <c r="J86" s="2074"/>
      <c r="K86" s="2074"/>
      <c r="L86" s="2074"/>
      <c r="M86" s="2074"/>
      <c r="N86" s="2074"/>
      <c r="O86" s="2074">
        <v>0</v>
      </c>
      <c r="P86" s="2074"/>
      <c r="Q86" s="2074"/>
      <c r="R86" s="2074"/>
      <c r="S86" s="2074"/>
      <c r="T86" s="2074"/>
      <c r="U86" s="2074"/>
      <c r="V86" s="2074">
        <v>0</v>
      </c>
      <c r="W86" s="2074"/>
      <c r="X86" s="2074"/>
      <c r="Y86" s="2074"/>
      <c r="Z86" s="2074"/>
      <c r="AA86" s="2074"/>
      <c r="AB86" s="2074">
        <v>0</v>
      </c>
      <c r="AC86" s="2074"/>
      <c r="AD86" s="2074"/>
      <c r="AE86" s="2074"/>
      <c r="AF86" s="2074"/>
      <c r="AG86" s="2074"/>
      <c r="AH86" s="2075"/>
      <c r="AI86" s="1191"/>
      <c r="AJ86" s="2125"/>
      <c r="AK86" s="2126"/>
      <c r="AL86" s="2126"/>
      <c r="AM86" s="2126"/>
      <c r="AN86" s="2126"/>
      <c r="AO86" s="2126"/>
      <c r="AP86" s="2126"/>
      <c r="AQ86" s="2126"/>
      <c r="AR86" s="2126"/>
      <c r="AS86" s="2126"/>
      <c r="AT86" s="2126"/>
      <c r="AU86" s="2126"/>
      <c r="AV86" s="2126"/>
      <c r="AW86" s="2126"/>
      <c r="AX86" s="2126"/>
      <c r="AY86" s="2144"/>
      <c r="AZ86" s="2144"/>
      <c r="BA86" s="2144"/>
      <c r="BB86" s="2145"/>
      <c r="BC86" s="1191"/>
      <c r="BD86" s="1191"/>
      <c r="BE86" s="1195"/>
      <c r="CK86" s="1189"/>
      <c r="CL86" s="1189"/>
      <c r="CM86" s="1189"/>
      <c r="CN86" s="1189"/>
      <c r="CO86" s="1189"/>
      <c r="CP86" s="1189"/>
    </row>
    <row r="87" spans="1:94" ht="15.75" customHeight="1">
      <c r="A87" s="1191"/>
      <c r="B87" s="2136" t="s">
        <v>2370</v>
      </c>
      <c r="C87" s="2101"/>
      <c r="D87" s="2101"/>
      <c r="E87" s="2101"/>
      <c r="F87" s="2101"/>
      <c r="G87" s="2101"/>
      <c r="H87" s="2101"/>
      <c r="I87" s="2074">
        <v>0</v>
      </c>
      <c r="J87" s="2074"/>
      <c r="K87" s="2074"/>
      <c r="L87" s="2074"/>
      <c r="M87" s="2074"/>
      <c r="N87" s="2074"/>
      <c r="O87" s="2074">
        <v>0</v>
      </c>
      <c r="P87" s="2074"/>
      <c r="Q87" s="2074"/>
      <c r="R87" s="2074"/>
      <c r="S87" s="2074"/>
      <c r="T87" s="2074"/>
      <c r="U87" s="2074"/>
      <c r="V87" s="2074">
        <v>0</v>
      </c>
      <c r="W87" s="2074"/>
      <c r="X87" s="2074"/>
      <c r="Y87" s="2074"/>
      <c r="Z87" s="2074"/>
      <c r="AA87" s="2074"/>
      <c r="AB87" s="2074">
        <v>0</v>
      </c>
      <c r="AC87" s="2074"/>
      <c r="AD87" s="2074"/>
      <c r="AE87" s="2074"/>
      <c r="AF87" s="2074"/>
      <c r="AG87" s="2074"/>
      <c r="AH87" s="2075"/>
      <c r="AI87" s="1191"/>
      <c r="AJ87" s="2041" t="s">
        <v>2377</v>
      </c>
      <c r="AK87" s="2042"/>
      <c r="AL87" s="2042"/>
      <c r="AM87" s="2042"/>
      <c r="AN87" s="2042"/>
      <c r="AO87" s="2042"/>
      <c r="AP87" s="2042"/>
      <c r="AQ87" s="2042"/>
      <c r="AR87" s="2042"/>
      <c r="AS87" s="2042"/>
      <c r="AT87" s="2042"/>
      <c r="AU87" s="2042"/>
      <c r="AV87" s="2042"/>
      <c r="AW87" s="2042"/>
      <c r="AX87" s="2042"/>
      <c r="AY87" s="2042"/>
      <c r="AZ87" s="2042"/>
      <c r="BA87" s="2042"/>
      <c r="BB87" s="2043"/>
      <c r="BC87" s="1191"/>
      <c r="BD87" s="1191"/>
      <c r="BE87" s="1195"/>
      <c r="CK87" s="1189"/>
      <c r="CL87" s="1189"/>
      <c r="CM87" s="1189"/>
      <c r="CN87" s="1189"/>
      <c r="CO87" s="1189"/>
      <c r="CP87" s="1189"/>
    </row>
    <row r="88" spans="1:94" ht="15.75" customHeight="1" thickBot="1">
      <c r="A88" s="1191"/>
      <c r="B88" s="2131" t="s">
        <v>2369</v>
      </c>
      <c r="C88" s="2132"/>
      <c r="D88" s="2132"/>
      <c r="E88" s="2132"/>
      <c r="F88" s="2132"/>
      <c r="G88" s="2132"/>
      <c r="H88" s="2132"/>
      <c r="I88" s="2068">
        <v>0</v>
      </c>
      <c r="J88" s="2068"/>
      <c r="K88" s="2068"/>
      <c r="L88" s="2068"/>
      <c r="M88" s="2068"/>
      <c r="N88" s="2068"/>
      <c r="O88" s="2068">
        <v>0</v>
      </c>
      <c r="P88" s="2068"/>
      <c r="Q88" s="2068"/>
      <c r="R88" s="2068"/>
      <c r="S88" s="2068"/>
      <c r="T88" s="2068"/>
      <c r="U88" s="2068"/>
      <c r="V88" s="2068">
        <v>0</v>
      </c>
      <c r="W88" s="2068"/>
      <c r="X88" s="2068"/>
      <c r="Y88" s="2068"/>
      <c r="Z88" s="2068"/>
      <c r="AA88" s="2068"/>
      <c r="AB88" s="2068">
        <v>0</v>
      </c>
      <c r="AC88" s="2068"/>
      <c r="AD88" s="2068"/>
      <c r="AE88" s="2068"/>
      <c r="AF88" s="2068"/>
      <c r="AG88" s="2068"/>
      <c r="AH88" s="2069"/>
      <c r="AI88" s="1191"/>
      <c r="AJ88" s="2044"/>
      <c r="AK88" s="2045"/>
      <c r="AL88" s="2045"/>
      <c r="AM88" s="2045"/>
      <c r="AN88" s="2045"/>
      <c r="AO88" s="2045"/>
      <c r="AP88" s="2045"/>
      <c r="AQ88" s="2045"/>
      <c r="AR88" s="2045"/>
      <c r="AS88" s="2045"/>
      <c r="AT88" s="2045"/>
      <c r="AU88" s="2045"/>
      <c r="AV88" s="2045"/>
      <c r="AW88" s="2045"/>
      <c r="AX88" s="2045"/>
      <c r="AY88" s="2045"/>
      <c r="AZ88" s="2045"/>
      <c r="BA88" s="2045"/>
      <c r="BB88" s="2046"/>
      <c r="BC88" s="1191"/>
      <c r="BD88" s="1191"/>
      <c r="BE88" s="1195"/>
      <c r="CK88" s="1189"/>
      <c r="CL88" s="1189"/>
      <c r="CM88" s="1189"/>
      <c r="CN88" s="1189"/>
      <c r="CO88" s="1189"/>
      <c r="CP88" s="1189"/>
    </row>
    <row r="89" spans="1:94" ht="15.75" customHeight="1">
      <c r="A89" s="1191"/>
      <c r="B89" s="1191"/>
      <c r="C89" s="1191"/>
      <c r="D89" s="1191"/>
      <c r="E89" s="1191"/>
      <c r="F89" s="1191"/>
      <c r="G89" s="1191"/>
      <c r="H89" s="1191"/>
      <c r="I89" s="1191"/>
      <c r="J89" s="1191"/>
      <c r="K89" s="1191"/>
      <c r="L89" s="1191"/>
      <c r="M89" s="1191"/>
      <c r="N89" s="1191"/>
      <c r="O89" s="1191"/>
      <c r="P89" s="1191"/>
      <c r="Q89" s="1191"/>
      <c r="R89" s="1191"/>
      <c r="S89" s="1191"/>
      <c r="T89" s="1191"/>
      <c r="U89" s="1191"/>
      <c r="V89" s="1191"/>
      <c r="W89" s="1191"/>
      <c r="X89" s="1191"/>
      <c r="Y89" s="1191"/>
      <c r="Z89" s="1191"/>
      <c r="AA89" s="1191"/>
      <c r="AB89" s="1191"/>
      <c r="AC89" s="1191"/>
      <c r="AD89" s="1191"/>
      <c r="AE89" s="1191"/>
      <c r="AF89" s="1191"/>
      <c r="AG89" s="1191"/>
      <c r="AH89" s="1191"/>
      <c r="AI89" s="1191"/>
      <c r="AJ89" s="1191"/>
      <c r="AK89" s="1191"/>
      <c r="AL89" s="1191"/>
      <c r="AM89" s="1191"/>
      <c r="AN89" s="1191"/>
      <c r="AO89" s="1191"/>
      <c r="AP89" s="1191"/>
      <c r="AQ89" s="1191"/>
      <c r="AR89" s="1191"/>
      <c r="AS89" s="1191"/>
      <c r="AT89" s="1191"/>
      <c r="AU89" s="1191"/>
      <c r="AV89" s="1191"/>
      <c r="AW89" s="1191"/>
      <c r="AX89" s="1191"/>
      <c r="AY89" s="1191"/>
      <c r="AZ89" s="1191"/>
      <c r="BA89" s="1191"/>
      <c r="BB89" s="1191"/>
      <c r="BC89" s="1191"/>
      <c r="BD89" s="1191"/>
      <c r="BE89" s="1195"/>
      <c r="CM89" s="1189"/>
      <c r="CN89" s="1189"/>
      <c r="CO89" s="1189"/>
      <c r="CP89" s="1189"/>
    </row>
    <row r="90" spans="1:94" ht="15.75" customHeight="1" thickBot="1">
      <c r="A90" s="1191"/>
      <c r="B90" s="1191"/>
      <c r="C90" s="1191"/>
      <c r="D90" s="1191"/>
      <c r="E90" s="1191"/>
      <c r="F90" s="1191"/>
      <c r="G90" s="1191"/>
      <c r="H90" s="1191"/>
      <c r="I90" s="1191"/>
      <c r="J90" s="1191"/>
      <c r="K90" s="1191"/>
      <c r="L90" s="1191"/>
      <c r="M90" s="1191"/>
      <c r="N90" s="1191"/>
      <c r="O90" s="1191"/>
      <c r="P90" s="1191"/>
      <c r="Q90" s="1191"/>
      <c r="R90" s="1191"/>
      <c r="S90" s="1191"/>
      <c r="T90" s="1191"/>
      <c r="U90" s="1191"/>
      <c r="V90" s="1191"/>
      <c r="W90" s="1191"/>
      <c r="X90" s="1191"/>
      <c r="Y90" s="1191"/>
      <c r="Z90" s="1191"/>
      <c r="AA90" s="1191"/>
      <c r="AB90" s="1191"/>
      <c r="AC90" s="1191"/>
      <c r="AD90" s="1191"/>
      <c r="AE90" s="1191"/>
      <c r="AF90" s="1191"/>
      <c r="AG90" s="1191"/>
      <c r="AH90" s="1191"/>
      <c r="AI90" s="1191"/>
      <c r="AJ90" s="1191"/>
      <c r="AK90" s="1191"/>
      <c r="AL90" s="1191"/>
      <c r="AM90" s="1191"/>
      <c r="AN90" s="1191"/>
      <c r="AO90" s="1191"/>
      <c r="AP90" s="1191"/>
      <c r="AQ90" s="1191"/>
      <c r="AR90" s="1191"/>
      <c r="AS90" s="1191"/>
      <c r="AT90" s="1191"/>
      <c r="AU90" s="1191"/>
      <c r="AV90" s="1191"/>
      <c r="AW90" s="1191"/>
      <c r="AX90" s="1191"/>
      <c r="AY90" s="1191"/>
      <c r="AZ90" s="1191"/>
      <c r="BA90" s="1191"/>
      <c r="BB90" s="1191"/>
      <c r="BC90" s="1191"/>
      <c r="BD90" s="1191"/>
      <c r="BE90" s="1195"/>
      <c r="CM90" s="1189"/>
      <c r="CN90" s="1189"/>
      <c r="CO90" s="1189"/>
      <c r="CP90" s="1189"/>
    </row>
    <row r="91" spans="1:94" ht="15.75" customHeight="1" thickBot="1">
      <c r="A91" s="1191"/>
      <c r="B91" s="1203" t="s">
        <v>2382</v>
      </c>
      <c r="C91" s="1209"/>
      <c r="D91" s="1210"/>
      <c r="E91" s="1211"/>
      <c r="F91" s="1211"/>
      <c r="G91" s="1211"/>
      <c r="H91" s="1211"/>
      <c r="I91" s="1211"/>
      <c r="J91" s="1211"/>
      <c r="K91" s="1211"/>
      <c r="L91" s="1211"/>
      <c r="M91" s="1211"/>
      <c r="N91" s="1211"/>
      <c r="O91" s="1211"/>
      <c r="P91" s="1211"/>
      <c r="Q91" s="1211"/>
      <c r="R91" s="1211"/>
      <c r="S91" s="1211"/>
      <c r="T91" s="1212"/>
      <c r="U91" s="1191"/>
      <c r="V91" s="1191"/>
      <c r="W91" s="1191"/>
      <c r="X91" s="1191"/>
      <c r="Y91" s="1191"/>
      <c r="Z91" s="1191"/>
      <c r="AA91" s="1191"/>
      <c r="AB91" s="1191"/>
      <c r="AC91" s="1191"/>
      <c r="AD91" s="1191"/>
      <c r="AE91" s="1191"/>
      <c r="AF91" s="1191"/>
      <c r="AG91" s="1191"/>
      <c r="AH91" s="1191"/>
      <c r="AI91" s="1191"/>
      <c r="AJ91" s="1191"/>
      <c r="AK91" s="1191"/>
      <c r="AL91" s="1191"/>
      <c r="AM91" s="1191"/>
      <c r="AN91" s="1191"/>
      <c r="AO91" s="1191"/>
      <c r="AP91" s="1191"/>
      <c r="AQ91" s="1191"/>
      <c r="AR91" s="1191"/>
      <c r="AS91" s="1191"/>
      <c r="AT91" s="1191"/>
      <c r="AU91" s="1191"/>
      <c r="AV91" s="1191"/>
      <c r="AW91" s="1191"/>
      <c r="AX91" s="1191"/>
      <c r="AY91" s="1191"/>
      <c r="AZ91" s="1191"/>
      <c r="BA91" s="1191"/>
      <c r="BB91" s="1191"/>
      <c r="BC91" s="1191"/>
      <c r="BD91" s="1191"/>
      <c r="BE91" s="1195"/>
      <c r="BQ91" s="1213"/>
      <c r="CM91" s="1189"/>
      <c r="CN91" s="1189"/>
      <c r="CO91" s="1189"/>
      <c r="CP91" s="1189"/>
    </row>
    <row r="92" spans="1:94" ht="15.75" customHeight="1">
      <c r="A92" s="1191"/>
      <c r="B92" s="1214" t="s">
        <v>2286</v>
      </c>
      <c r="C92" s="1214"/>
      <c r="D92" s="1215"/>
      <c r="E92" s="1216"/>
      <c r="F92" s="2146"/>
      <c r="G92" s="2147"/>
      <c r="H92" s="2147"/>
      <c r="I92" s="2147"/>
      <c r="J92" s="2147"/>
      <c r="K92" s="2147"/>
      <c r="L92" s="2147"/>
      <c r="M92" s="2147"/>
      <c r="N92" s="2147"/>
      <c r="O92" s="2147"/>
      <c r="P92" s="2147"/>
      <c r="Q92" s="2147"/>
      <c r="R92" s="2147"/>
      <c r="S92" s="2147"/>
      <c r="T92" s="2148"/>
      <c r="U92" s="1191"/>
      <c r="V92" s="1191"/>
      <c r="W92" s="1191"/>
      <c r="X92" s="1191"/>
      <c r="Y92" s="1191"/>
      <c r="Z92" s="1191"/>
      <c r="AA92" s="1191"/>
      <c r="AB92" s="1191"/>
      <c r="AC92" s="1191"/>
      <c r="AD92" s="1191"/>
      <c r="AE92" s="1191"/>
      <c r="AF92" s="1191"/>
      <c r="AG92" s="1191"/>
      <c r="AH92" s="1191"/>
      <c r="AI92" s="1191"/>
      <c r="AJ92" s="1191"/>
      <c r="AK92" s="1191"/>
      <c r="AL92" s="1191"/>
      <c r="AM92" s="1191"/>
      <c r="AN92" s="1191"/>
      <c r="AO92" s="1191"/>
      <c r="AP92" s="1191"/>
      <c r="AQ92" s="1191"/>
      <c r="AR92" s="1191"/>
      <c r="AS92" s="1191"/>
      <c r="AT92" s="1191"/>
      <c r="AU92" s="1191"/>
      <c r="AV92" s="1191"/>
      <c r="AW92" s="1191"/>
      <c r="AX92" s="1191"/>
      <c r="AY92" s="1191"/>
      <c r="AZ92" s="1191"/>
      <c r="BA92" s="1191"/>
      <c r="BB92" s="1191"/>
      <c r="BC92" s="1191"/>
      <c r="BD92" s="1191"/>
      <c r="BE92" s="1195"/>
      <c r="CM92" s="1189"/>
      <c r="CN92" s="1189"/>
      <c r="CO92" s="1189"/>
      <c r="CP92" s="1189"/>
    </row>
    <row r="93" spans="1:94" ht="15.75" customHeight="1" thickBot="1">
      <c r="A93" s="1191"/>
      <c r="B93" s="2149" t="s">
        <v>2381</v>
      </c>
      <c r="C93" s="2150"/>
      <c r="D93" s="2150"/>
      <c r="E93" s="2150"/>
      <c r="F93" s="2150"/>
      <c r="G93" s="2150"/>
      <c r="H93" s="2150"/>
      <c r="I93" s="2150"/>
      <c r="J93" s="2150"/>
      <c r="K93" s="2150"/>
      <c r="L93" s="2150"/>
      <c r="M93" s="2150"/>
      <c r="N93" s="2150"/>
      <c r="O93" s="2150"/>
      <c r="P93" s="2150"/>
      <c r="Q93" s="2151"/>
      <c r="R93" s="2152" t="str">
        <f>IFERROR(INDEX(BR96:BR98,MATCH(F92,$BQ$96:$BQ$98,0))/SUM($BR$96:$BR$98),"")</f>
        <v/>
      </c>
      <c r="S93" s="2153"/>
      <c r="T93" s="2154"/>
      <c r="U93" s="1191"/>
      <c r="V93" s="1191"/>
      <c r="W93" s="1191"/>
      <c r="X93" s="1191"/>
      <c r="Y93" s="1191"/>
      <c r="Z93" s="1191"/>
      <c r="AA93" s="1191"/>
      <c r="AB93" s="1191"/>
      <c r="AC93" s="1191"/>
      <c r="AD93" s="1191"/>
      <c r="AE93" s="1191"/>
      <c r="AF93" s="1191"/>
      <c r="AG93" s="1191"/>
      <c r="AH93" s="1191"/>
      <c r="AI93" s="1191"/>
      <c r="AJ93" s="1191"/>
      <c r="AK93" s="1191"/>
      <c r="AL93" s="1191"/>
      <c r="AM93" s="1191"/>
      <c r="AN93" s="1191"/>
      <c r="AO93" s="1191"/>
      <c r="AP93" s="1191"/>
      <c r="AQ93" s="1191"/>
      <c r="AR93" s="1191"/>
      <c r="AS93" s="1191"/>
      <c r="AT93" s="1191"/>
      <c r="AU93" s="1191"/>
      <c r="AV93" s="1191"/>
      <c r="AW93" s="1191"/>
      <c r="AX93" s="1191"/>
      <c r="AY93" s="1191"/>
      <c r="AZ93" s="1191"/>
      <c r="BA93" s="1191"/>
      <c r="BB93" s="1191"/>
      <c r="BC93" s="1191"/>
      <c r="BD93" s="1191"/>
      <c r="BE93" s="1195"/>
      <c r="CM93" s="1189"/>
      <c r="CN93" s="1189"/>
      <c r="CO93" s="1189"/>
      <c r="CP93" s="1189"/>
    </row>
    <row r="94" spans="1:94" ht="15.75" customHeight="1" thickBot="1">
      <c r="A94" s="1191"/>
      <c r="B94" s="2155" t="s">
        <v>2380</v>
      </c>
      <c r="C94" s="2156"/>
      <c r="D94" s="2156"/>
      <c r="E94" s="2156"/>
      <c r="F94" s="2156"/>
      <c r="G94" s="2156"/>
      <c r="H94" s="2156"/>
      <c r="I94" s="2156"/>
      <c r="J94" s="2156"/>
      <c r="K94" s="2156"/>
      <c r="L94" s="2156"/>
      <c r="M94" s="2156"/>
      <c r="N94" s="2156"/>
      <c r="O94" s="2156"/>
      <c r="P94" s="2156"/>
      <c r="Q94" s="2157"/>
      <c r="R94" s="2137" t="s">
        <v>2189</v>
      </c>
      <c r="S94" s="2138"/>
      <c r="T94" s="2139"/>
      <c r="U94" s="1191"/>
      <c r="V94" s="1191"/>
      <c r="W94" s="1191"/>
      <c r="X94" s="1191"/>
      <c r="Y94" s="1191"/>
      <c r="Z94" s="1191"/>
      <c r="AA94" s="1191"/>
      <c r="AB94" s="1191"/>
      <c r="AC94" s="1191"/>
      <c r="AD94" s="1191"/>
      <c r="AE94" s="1191"/>
      <c r="AF94" s="1191"/>
      <c r="AG94" s="1191"/>
      <c r="AH94" s="1191"/>
      <c r="AI94" s="1191"/>
      <c r="AJ94" s="1191"/>
      <c r="AK94" s="1191"/>
      <c r="AL94" s="1191"/>
      <c r="AM94" s="1191"/>
      <c r="AN94" s="1191"/>
      <c r="AO94" s="1191"/>
      <c r="AP94" s="1191"/>
      <c r="AQ94" s="1191"/>
      <c r="AR94" s="1191"/>
      <c r="AS94" s="1191"/>
      <c r="AT94" s="1191"/>
      <c r="AU94" s="1191"/>
      <c r="AV94" s="1191"/>
      <c r="AW94" s="1191"/>
      <c r="AX94" s="1191"/>
      <c r="AY94" s="1191"/>
      <c r="AZ94" s="1191"/>
      <c r="BA94" s="1191"/>
      <c r="BB94" s="1191"/>
      <c r="BC94" s="1191"/>
      <c r="BD94" s="1191"/>
      <c r="BE94" s="1195"/>
      <c r="CM94" s="1189"/>
      <c r="CN94" s="1189"/>
      <c r="CO94" s="1189"/>
      <c r="CP94" s="1189"/>
    </row>
    <row r="95" spans="1:94" ht="15.75" customHeight="1" thickBot="1">
      <c r="A95" s="1191"/>
      <c r="B95" s="1191"/>
      <c r="C95" s="1191"/>
      <c r="D95" s="1191"/>
      <c r="E95" s="1191"/>
      <c r="F95" s="1191"/>
      <c r="G95" s="1191"/>
      <c r="H95" s="1191"/>
      <c r="I95" s="1191"/>
      <c r="J95" s="1191"/>
      <c r="K95" s="1191"/>
      <c r="L95" s="1191"/>
      <c r="M95" s="1191"/>
      <c r="N95" s="1191"/>
      <c r="O95" s="1191"/>
      <c r="P95" s="1191"/>
      <c r="Q95" s="1191"/>
      <c r="R95" s="1191"/>
      <c r="S95" s="1191"/>
      <c r="T95" s="1191"/>
      <c r="U95" s="1191"/>
      <c r="V95" s="1191"/>
      <c r="W95" s="1191"/>
      <c r="X95" s="1191"/>
      <c r="Y95" s="1191"/>
      <c r="Z95" s="1191"/>
      <c r="AA95" s="1191"/>
      <c r="AB95" s="1191"/>
      <c r="AC95" s="1191"/>
      <c r="AD95" s="1191"/>
      <c r="AE95" s="1191"/>
      <c r="AF95" s="1191"/>
      <c r="AG95" s="1191"/>
      <c r="AH95" s="1191"/>
      <c r="AI95" s="1191"/>
      <c r="AJ95" s="1191"/>
      <c r="AK95" s="1191"/>
      <c r="AL95" s="1191"/>
      <c r="AM95" s="1191"/>
      <c r="AN95" s="1191"/>
      <c r="AO95" s="1191"/>
      <c r="AP95" s="1191"/>
      <c r="AQ95" s="1191"/>
      <c r="AR95" s="1191"/>
      <c r="AS95" s="1191"/>
      <c r="AT95" s="1191"/>
      <c r="AU95" s="1191"/>
      <c r="AV95" s="1191"/>
      <c r="AW95" s="1191"/>
      <c r="AX95" s="1191"/>
      <c r="AY95" s="1191"/>
      <c r="AZ95" s="1191"/>
      <c r="BA95" s="1191"/>
      <c r="BB95" s="1191"/>
      <c r="BC95" s="1191"/>
      <c r="BD95" s="1191"/>
      <c r="BE95" s="1195"/>
      <c r="CM95" s="1189"/>
      <c r="CN95" s="1189"/>
      <c r="CO95" s="1189"/>
      <c r="CP95" s="1189"/>
    </row>
    <row r="96" spans="1:94" ht="15.75" customHeight="1">
      <c r="A96" s="1191"/>
      <c r="B96" s="2158" t="s">
        <v>2379</v>
      </c>
      <c r="C96" s="2159"/>
      <c r="D96" s="2159"/>
      <c r="E96" s="2159"/>
      <c r="F96" s="2159"/>
      <c r="G96" s="2159"/>
      <c r="H96" s="2159"/>
      <c r="I96" s="2159"/>
      <c r="J96" s="2159"/>
      <c r="K96" s="2159"/>
      <c r="L96" s="2159"/>
      <c r="M96" s="2159"/>
      <c r="N96" s="2159"/>
      <c r="O96" s="2159"/>
      <c r="P96" s="2159"/>
      <c r="Q96" s="2159"/>
      <c r="R96" s="2159"/>
      <c r="S96" s="2159"/>
      <c r="T96" s="2159"/>
      <c r="U96" s="2159"/>
      <c r="V96" s="2159"/>
      <c r="W96" s="2159"/>
      <c r="X96" s="2159"/>
      <c r="Y96" s="2159"/>
      <c r="Z96" s="2159"/>
      <c r="AA96" s="2159"/>
      <c r="AB96" s="2159"/>
      <c r="AC96" s="2159"/>
      <c r="AD96" s="2159"/>
      <c r="AE96" s="2159"/>
      <c r="AF96" s="2159"/>
      <c r="AG96" s="2159"/>
      <c r="AH96" s="2160"/>
      <c r="AI96" s="1191"/>
      <c r="AJ96" s="2122" t="s">
        <v>2378</v>
      </c>
      <c r="AK96" s="2123"/>
      <c r="AL96" s="2123"/>
      <c r="AM96" s="2123"/>
      <c r="AN96" s="2123"/>
      <c r="AO96" s="2123"/>
      <c r="AP96" s="2123"/>
      <c r="AQ96" s="2123"/>
      <c r="AR96" s="2123"/>
      <c r="AS96" s="2123"/>
      <c r="AT96" s="2123"/>
      <c r="AU96" s="2123"/>
      <c r="AV96" s="2123"/>
      <c r="AW96" s="2123"/>
      <c r="AX96" s="2123"/>
      <c r="AY96" s="2142" t="s">
        <v>545</v>
      </c>
      <c r="AZ96" s="2142"/>
      <c r="BA96" s="2142"/>
      <c r="BB96" s="2143"/>
      <c r="BC96" s="1191"/>
      <c r="BD96" s="1191"/>
      <c r="BE96" s="1195"/>
      <c r="BQ96" s="1188" t="str">
        <f>Application!M243&amp;IF(TRIM(Application!AA249)&lt;&gt;""," ("&amp;Application!AA249&amp;")","")</f>
        <v>Francis AGP LLC (MRK Partners, Inc. )</v>
      </c>
      <c r="BR96" s="1217">
        <f>Application!AH246</f>
        <v>5.0000000000000001E-3</v>
      </c>
      <c r="CM96" s="1189"/>
      <c r="CN96" s="1189"/>
      <c r="CO96" s="1189"/>
      <c r="CP96" s="1189"/>
    </row>
    <row r="97" spans="1:94" ht="15.75" customHeight="1">
      <c r="A97" s="1191"/>
      <c r="B97" s="2136"/>
      <c r="C97" s="2101"/>
      <c r="D97" s="2101"/>
      <c r="E97" s="2101"/>
      <c r="F97" s="2101"/>
      <c r="G97" s="2101"/>
      <c r="H97" s="2101"/>
      <c r="I97" s="2101" t="s">
        <v>2373</v>
      </c>
      <c r="J97" s="2101"/>
      <c r="K97" s="2101"/>
      <c r="L97" s="2101"/>
      <c r="M97" s="2101"/>
      <c r="N97" s="2101"/>
      <c r="O97" s="2101" t="s">
        <v>2349</v>
      </c>
      <c r="P97" s="2101"/>
      <c r="Q97" s="2101"/>
      <c r="R97" s="2101"/>
      <c r="S97" s="2101"/>
      <c r="T97" s="2101"/>
      <c r="U97" s="2101"/>
      <c r="V97" s="2140" t="s">
        <v>2348</v>
      </c>
      <c r="W97" s="2140"/>
      <c r="X97" s="2140"/>
      <c r="Y97" s="2140"/>
      <c r="Z97" s="2140"/>
      <c r="AA97" s="2140"/>
      <c r="AB97" s="2071" t="s">
        <v>2372</v>
      </c>
      <c r="AC97" s="2071"/>
      <c r="AD97" s="2071"/>
      <c r="AE97" s="2071"/>
      <c r="AF97" s="2071"/>
      <c r="AG97" s="2071"/>
      <c r="AH97" s="2141"/>
      <c r="AI97" s="1191"/>
      <c r="AJ97" s="2125"/>
      <c r="AK97" s="2126"/>
      <c r="AL97" s="2126"/>
      <c r="AM97" s="2126"/>
      <c r="AN97" s="2126"/>
      <c r="AO97" s="2126"/>
      <c r="AP97" s="2126"/>
      <c r="AQ97" s="2126"/>
      <c r="AR97" s="2126"/>
      <c r="AS97" s="2126"/>
      <c r="AT97" s="2126"/>
      <c r="AU97" s="2126"/>
      <c r="AV97" s="2126"/>
      <c r="AW97" s="2126"/>
      <c r="AX97" s="2126"/>
      <c r="AY97" s="2144"/>
      <c r="AZ97" s="2144"/>
      <c r="BA97" s="2144"/>
      <c r="BB97" s="2145"/>
      <c r="BC97" s="1191"/>
      <c r="BD97" s="1191"/>
      <c r="BE97" s="1195"/>
      <c r="BQ97" s="1188" t="str">
        <f>Application!M251&amp;IF(TRIM(Application!AA257)&lt;&gt;""," ("&amp;Application!AA257&amp;")","")</f>
        <v>Pacific Southwest Community Development Corporation, a California nonprofit public benefit corporation (Pacific Southwest Community Development Corporation, a California nonprofit public benefit corporation)</v>
      </c>
      <c r="BR97" s="1217">
        <f>Application!AH254</f>
        <v>5.0000000000000001E-3</v>
      </c>
      <c r="CM97" s="1189"/>
      <c r="CN97" s="1189"/>
      <c r="CO97" s="1189"/>
      <c r="CP97" s="1189"/>
    </row>
    <row r="98" spans="1:94" ht="15.75" customHeight="1">
      <c r="A98" s="1191"/>
      <c r="B98" s="2136"/>
      <c r="C98" s="2101"/>
      <c r="D98" s="2101"/>
      <c r="E98" s="2101"/>
      <c r="F98" s="2101"/>
      <c r="G98" s="2101"/>
      <c r="H98" s="2101"/>
      <c r="I98" s="2101"/>
      <c r="J98" s="2101"/>
      <c r="K98" s="2101"/>
      <c r="L98" s="2101"/>
      <c r="M98" s="2101"/>
      <c r="N98" s="2101"/>
      <c r="O98" s="2101"/>
      <c r="P98" s="2101"/>
      <c r="Q98" s="2101"/>
      <c r="R98" s="2101"/>
      <c r="S98" s="2101"/>
      <c r="T98" s="2101"/>
      <c r="U98" s="2101"/>
      <c r="V98" s="2140"/>
      <c r="W98" s="2140"/>
      <c r="X98" s="2140"/>
      <c r="Y98" s="2140"/>
      <c r="Z98" s="2140"/>
      <c r="AA98" s="2140"/>
      <c r="AB98" s="2071"/>
      <c r="AC98" s="2071"/>
      <c r="AD98" s="2071"/>
      <c r="AE98" s="2071"/>
      <c r="AF98" s="2071"/>
      <c r="AG98" s="2071"/>
      <c r="AH98" s="2141"/>
      <c r="AI98" s="1191"/>
      <c r="AJ98" s="2125"/>
      <c r="AK98" s="2126"/>
      <c r="AL98" s="2126"/>
      <c r="AM98" s="2126"/>
      <c r="AN98" s="2126"/>
      <c r="AO98" s="2126"/>
      <c r="AP98" s="2126"/>
      <c r="AQ98" s="2126"/>
      <c r="AR98" s="2126"/>
      <c r="AS98" s="2126"/>
      <c r="AT98" s="2126"/>
      <c r="AU98" s="2126"/>
      <c r="AV98" s="2126"/>
      <c r="AW98" s="2126"/>
      <c r="AX98" s="2126"/>
      <c r="AY98" s="2144"/>
      <c r="AZ98" s="2144"/>
      <c r="BA98" s="2144"/>
      <c r="BB98" s="2145"/>
      <c r="BC98" s="1191"/>
      <c r="BD98" s="1191"/>
      <c r="BE98" s="1195"/>
      <c r="BQ98" s="1188" t="str">
        <f>Application!M259&amp;IF(TRIM(Application!AA265)&lt;&gt;""," ("&amp;Application!AA265&amp;")","")</f>
        <v/>
      </c>
      <c r="BR98" s="1217">
        <f>Application!AH262</f>
        <v>0</v>
      </c>
      <c r="CM98" s="1189"/>
      <c r="CN98" s="1189"/>
      <c r="CO98" s="1189"/>
      <c r="CP98" s="1189"/>
    </row>
    <row r="99" spans="1:94" ht="15.75" customHeight="1">
      <c r="A99" s="1191"/>
      <c r="B99" s="2136" t="s">
        <v>2371</v>
      </c>
      <c r="C99" s="2101"/>
      <c r="D99" s="2101"/>
      <c r="E99" s="2101"/>
      <c r="F99" s="2101"/>
      <c r="G99" s="2101"/>
      <c r="H99" s="2101"/>
      <c r="I99" s="2074">
        <v>0</v>
      </c>
      <c r="J99" s="2074"/>
      <c r="K99" s="2074"/>
      <c r="L99" s="2074"/>
      <c r="M99" s="2074"/>
      <c r="N99" s="2074"/>
      <c r="O99" s="2074">
        <v>0</v>
      </c>
      <c r="P99" s="2074"/>
      <c r="Q99" s="2074"/>
      <c r="R99" s="2074"/>
      <c r="S99" s="2074"/>
      <c r="T99" s="2074"/>
      <c r="U99" s="2074"/>
      <c r="V99" s="2074">
        <v>0</v>
      </c>
      <c r="W99" s="2074"/>
      <c r="X99" s="2074"/>
      <c r="Y99" s="2074"/>
      <c r="Z99" s="2074"/>
      <c r="AA99" s="2074"/>
      <c r="AB99" s="2074">
        <v>0</v>
      </c>
      <c r="AC99" s="2074"/>
      <c r="AD99" s="2074"/>
      <c r="AE99" s="2074"/>
      <c r="AF99" s="2074"/>
      <c r="AG99" s="2074"/>
      <c r="AH99" s="2075"/>
      <c r="AI99" s="1191"/>
      <c r="AJ99" s="2125"/>
      <c r="AK99" s="2126"/>
      <c r="AL99" s="2126"/>
      <c r="AM99" s="2126"/>
      <c r="AN99" s="2126"/>
      <c r="AO99" s="2126"/>
      <c r="AP99" s="2126"/>
      <c r="AQ99" s="2126"/>
      <c r="AR99" s="2126"/>
      <c r="AS99" s="2126"/>
      <c r="AT99" s="2126"/>
      <c r="AU99" s="2126"/>
      <c r="AV99" s="2126"/>
      <c r="AW99" s="2126"/>
      <c r="AX99" s="2126"/>
      <c r="AY99" s="2144"/>
      <c r="AZ99" s="2144"/>
      <c r="BA99" s="2144"/>
      <c r="BB99" s="2145"/>
      <c r="BC99" s="1191"/>
      <c r="BD99" s="1191"/>
      <c r="BE99" s="1195"/>
      <c r="CM99" s="1189"/>
      <c r="CN99" s="1189"/>
      <c r="CO99" s="1189"/>
      <c r="CP99" s="1189"/>
    </row>
    <row r="100" spans="1:94" ht="15.75" customHeight="1">
      <c r="A100" s="1191"/>
      <c r="B100" s="2136" t="s">
        <v>2370</v>
      </c>
      <c r="C100" s="2101"/>
      <c r="D100" s="2101"/>
      <c r="E100" s="2101"/>
      <c r="F100" s="2101"/>
      <c r="G100" s="2101"/>
      <c r="H100" s="2101"/>
      <c r="I100" s="2074">
        <v>0</v>
      </c>
      <c r="J100" s="2074"/>
      <c r="K100" s="2074"/>
      <c r="L100" s="2074"/>
      <c r="M100" s="2074"/>
      <c r="N100" s="2074"/>
      <c r="O100" s="2074">
        <v>0</v>
      </c>
      <c r="P100" s="2074"/>
      <c r="Q100" s="2074"/>
      <c r="R100" s="2074"/>
      <c r="S100" s="2074"/>
      <c r="T100" s="2074"/>
      <c r="U100" s="2074"/>
      <c r="V100" s="2074">
        <v>0</v>
      </c>
      <c r="W100" s="2074"/>
      <c r="X100" s="2074"/>
      <c r="Y100" s="2074"/>
      <c r="Z100" s="2074"/>
      <c r="AA100" s="2074"/>
      <c r="AB100" s="2074">
        <v>0</v>
      </c>
      <c r="AC100" s="2074"/>
      <c r="AD100" s="2074"/>
      <c r="AE100" s="2074"/>
      <c r="AF100" s="2074"/>
      <c r="AG100" s="2074"/>
      <c r="AH100" s="2075"/>
      <c r="AI100" s="1191"/>
      <c r="AJ100" s="2041" t="s">
        <v>2377</v>
      </c>
      <c r="AK100" s="2042"/>
      <c r="AL100" s="2042"/>
      <c r="AM100" s="2042"/>
      <c r="AN100" s="2042"/>
      <c r="AO100" s="2042"/>
      <c r="AP100" s="2042"/>
      <c r="AQ100" s="2042"/>
      <c r="AR100" s="2042"/>
      <c r="AS100" s="2042"/>
      <c r="AT100" s="2042"/>
      <c r="AU100" s="2042"/>
      <c r="AV100" s="2042"/>
      <c r="AW100" s="2042"/>
      <c r="AX100" s="2042"/>
      <c r="AY100" s="2042"/>
      <c r="AZ100" s="2042"/>
      <c r="BA100" s="2042"/>
      <c r="BB100" s="2043"/>
      <c r="BC100" s="1191"/>
      <c r="BD100" s="1191"/>
      <c r="BE100" s="1195"/>
      <c r="CM100" s="1189"/>
      <c r="CN100" s="1189"/>
      <c r="CO100" s="1189"/>
      <c r="CP100" s="1189"/>
    </row>
    <row r="101" spans="1:94" ht="15.75" customHeight="1" thickBot="1">
      <c r="A101" s="1191"/>
      <c r="B101" s="2131" t="s">
        <v>2369</v>
      </c>
      <c r="C101" s="2132"/>
      <c r="D101" s="2132"/>
      <c r="E101" s="2132"/>
      <c r="F101" s="2132"/>
      <c r="G101" s="2132"/>
      <c r="H101" s="2132"/>
      <c r="I101" s="2068">
        <v>0</v>
      </c>
      <c r="J101" s="2068"/>
      <c r="K101" s="2068"/>
      <c r="L101" s="2068"/>
      <c r="M101" s="2068"/>
      <c r="N101" s="2068"/>
      <c r="O101" s="2068">
        <v>0</v>
      </c>
      <c r="P101" s="2068"/>
      <c r="Q101" s="2068"/>
      <c r="R101" s="2068"/>
      <c r="S101" s="2068"/>
      <c r="T101" s="2068"/>
      <c r="U101" s="2068"/>
      <c r="V101" s="2068">
        <v>0</v>
      </c>
      <c r="W101" s="2068"/>
      <c r="X101" s="2068"/>
      <c r="Y101" s="2068"/>
      <c r="Z101" s="2068"/>
      <c r="AA101" s="2068"/>
      <c r="AB101" s="2068">
        <v>0</v>
      </c>
      <c r="AC101" s="2068"/>
      <c r="AD101" s="2068"/>
      <c r="AE101" s="2068"/>
      <c r="AF101" s="2068"/>
      <c r="AG101" s="2068"/>
      <c r="AH101" s="2069"/>
      <c r="AI101" s="1191"/>
      <c r="AJ101" s="2044"/>
      <c r="AK101" s="2045"/>
      <c r="AL101" s="2045"/>
      <c r="AM101" s="2045"/>
      <c r="AN101" s="2045"/>
      <c r="AO101" s="2045"/>
      <c r="AP101" s="2045"/>
      <c r="AQ101" s="2045"/>
      <c r="AR101" s="2045"/>
      <c r="AS101" s="2045"/>
      <c r="AT101" s="2045"/>
      <c r="AU101" s="2045"/>
      <c r="AV101" s="2045"/>
      <c r="AW101" s="2045"/>
      <c r="AX101" s="2045"/>
      <c r="AY101" s="2045"/>
      <c r="AZ101" s="2045"/>
      <c r="BA101" s="2045"/>
      <c r="BB101" s="2046"/>
      <c r="BC101" s="1191"/>
      <c r="BD101" s="1191"/>
      <c r="BE101" s="1195"/>
      <c r="CM101" s="1189"/>
      <c r="CN101" s="1189"/>
      <c r="CO101" s="1189"/>
      <c r="CP101" s="1189"/>
    </row>
    <row r="102" spans="1:94" ht="15.75" customHeight="1" thickBot="1">
      <c r="A102" s="1191"/>
      <c r="B102" s="1191"/>
      <c r="C102" s="1191"/>
      <c r="D102" s="1191"/>
      <c r="E102" s="1191"/>
      <c r="F102" s="1191"/>
      <c r="G102" s="1191"/>
      <c r="H102" s="1191"/>
      <c r="I102" s="1191"/>
      <c r="J102" s="1191"/>
      <c r="K102" s="1191"/>
      <c r="L102" s="1191"/>
      <c r="M102" s="1191"/>
      <c r="N102" s="1191"/>
      <c r="O102" s="1191"/>
      <c r="P102" s="1191"/>
      <c r="Q102" s="1191"/>
      <c r="R102" s="1191"/>
      <c r="S102" s="1191"/>
      <c r="T102" s="1191"/>
      <c r="U102" s="1191"/>
      <c r="V102" s="1191"/>
      <c r="W102" s="1191"/>
      <c r="X102" s="1191"/>
      <c r="Y102" s="1191"/>
      <c r="Z102" s="1191"/>
      <c r="AA102" s="1191"/>
      <c r="AB102" s="1191"/>
      <c r="AC102" s="1191"/>
      <c r="AD102" s="1191"/>
      <c r="AE102" s="1191"/>
      <c r="AF102" s="1191"/>
      <c r="AG102" s="1191"/>
      <c r="AH102" s="1191"/>
      <c r="AI102" s="1191"/>
      <c r="AJ102" s="1191"/>
      <c r="AK102" s="1191"/>
      <c r="AL102" s="1191"/>
      <c r="AM102" s="1191"/>
      <c r="AN102" s="1191"/>
      <c r="AO102" s="1191"/>
      <c r="AP102" s="1191"/>
      <c r="AQ102" s="1191"/>
      <c r="AR102" s="1191"/>
      <c r="AS102" s="1191"/>
      <c r="AT102" s="1191"/>
      <c r="AU102" s="1191"/>
      <c r="AV102" s="1191"/>
      <c r="AW102" s="1191"/>
      <c r="AX102" s="1191"/>
      <c r="AY102" s="1191"/>
      <c r="AZ102" s="1191"/>
      <c r="BA102" s="1191"/>
      <c r="BB102" s="1191"/>
      <c r="BC102" s="1191"/>
      <c r="BD102" s="1191"/>
      <c r="BE102" s="1195"/>
      <c r="CM102" s="1189"/>
      <c r="CN102" s="1189"/>
      <c r="CO102" s="1189"/>
      <c r="CP102" s="1189"/>
    </row>
    <row r="103" spans="1:94" ht="15.75" customHeight="1" thickBot="1">
      <c r="A103" s="1191"/>
      <c r="B103" s="1210" t="s">
        <v>2376</v>
      </c>
      <c r="C103" s="1204"/>
      <c r="D103" s="1205"/>
      <c r="E103" s="1205"/>
      <c r="F103" s="1218"/>
      <c r="G103" s="1218"/>
      <c r="H103" s="1218"/>
      <c r="I103" s="1218"/>
      <c r="J103" s="1218"/>
      <c r="K103" s="1218"/>
      <c r="L103" s="1218"/>
      <c r="M103" s="1218"/>
      <c r="N103" s="1218"/>
      <c r="O103" s="1219"/>
      <c r="P103" s="1218"/>
      <c r="Q103" s="1218"/>
      <c r="R103" s="1219"/>
      <c r="S103" s="1191" t="s">
        <v>249</v>
      </c>
      <c r="T103" s="1191"/>
      <c r="U103" s="1191"/>
      <c r="V103" s="1191"/>
      <c r="W103" s="1191"/>
      <c r="X103" s="1191"/>
      <c r="Y103" s="1191"/>
      <c r="Z103" s="1191"/>
      <c r="AA103" s="1191"/>
      <c r="AB103" s="1191"/>
      <c r="AC103" s="1191"/>
      <c r="AD103" s="1191"/>
      <c r="AE103" s="1191"/>
      <c r="AF103" s="1191"/>
      <c r="AG103" s="1191"/>
      <c r="AH103" s="1191"/>
      <c r="AI103" s="1191"/>
      <c r="AJ103" s="1191"/>
      <c r="AK103" s="1191"/>
      <c r="AL103" s="1191"/>
      <c r="AM103" s="1191"/>
      <c r="AN103" s="1191"/>
      <c r="AO103" s="1191"/>
      <c r="AP103" s="1191"/>
      <c r="AQ103" s="1191"/>
      <c r="AR103" s="1191"/>
      <c r="AS103" s="1191"/>
      <c r="AT103" s="1191"/>
      <c r="AU103" s="1191"/>
      <c r="AV103" s="1191"/>
      <c r="AW103" s="1191"/>
      <c r="AX103" s="1191"/>
      <c r="AY103" s="1191"/>
      <c r="AZ103" s="1191"/>
      <c r="BA103" s="1191"/>
      <c r="BB103" s="1191"/>
      <c r="BC103" s="1191"/>
      <c r="BD103" s="1191"/>
      <c r="BE103" s="1195"/>
      <c r="CM103" s="1189"/>
      <c r="CN103" s="1189"/>
      <c r="CO103" s="1189"/>
      <c r="CP103" s="1189"/>
    </row>
    <row r="104" spans="1:94" ht="15.75" customHeight="1">
      <c r="A104" s="1191"/>
      <c r="B104" s="1214" t="s">
        <v>2286</v>
      </c>
      <c r="C104" s="1214"/>
      <c r="D104" s="1220"/>
      <c r="E104" s="1221"/>
      <c r="F104" s="2095"/>
      <c r="G104" s="2096"/>
      <c r="H104" s="2096"/>
      <c r="I104" s="2096"/>
      <c r="J104" s="2096"/>
      <c r="K104" s="2096"/>
      <c r="L104" s="2096"/>
      <c r="M104" s="2096"/>
      <c r="N104" s="2096"/>
      <c r="O104" s="2096"/>
      <c r="P104" s="2096"/>
      <c r="Q104" s="2096"/>
      <c r="R104" s="2097"/>
      <c r="S104" s="1191"/>
      <c r="T104" s="1191"/>
      <c r="U104" s="1191"/>
      <c r="V104" s="1191"/>
      <c r="W104" s="1191"/>
      <c r="X104" s="1191"/>
      <c r="Y104" s="1191"/>
      <c r="Z104" s="1191"/>
      <c r="AA104" s="1191"/>
      <c r="AB104" s="1191"/>
      <c r="AC104" s="1191"/>
      <c r="AD104" s="1191"/>
      <c r="AE104" s="1191"/>
      <c r="AF104" s="1191"/>
      <c r="AG104" s="1191"/>
      <c r="AH104" s="1191"/>
      <c r="AI104" s="1191"/>
      <c r="AJ104" s="1191"/>
      <c r="AK104" s="1191"/>
      <c r="AL104" s="1191"/>
      <c r="AM104" s="1191"/>
      <c r="AN104" s="1191"/>
      <c r="AO104" s="1191"/>
      <c r="AP104" s="1191"/>
      <c r="AQ104" s="1191"/>
      <c r="AR104" s="1191"/>
      <c r="AS104" s="1191"/>
      <c r="AT104" s="1191"/>
      <c r="AU104" s="1191"/>
      <c r="AV104" s="1191"/>
      <c r="AW104" s="1191"/>
      <c r="AX104" s="1191"/>
      <c r="AY104" s="1191"/>
      <c r="AZ104" s="1191"/>
      <c r="BA104" s="1191"/>
      <c r="BB104" s="1191"/>
      <c r="BC104" s="1191"/>
      <c r="BD104" s="1191"/>
      <c r="BE104" s="1195"/>
      <c r="CM104" s="1189"/>
      <c r="CN104" s="1189"/>
      <c r="CO104" s="1189"/>
      <c r="CP104" s="1189"/>
    </row>
    <row r="105" spans="1:94" ht="15.75" customHeight="1" thickBot="1">
      <c r="A105" s="1191"/>
      <c r="B105" s="1222" t="s">
        <v>2375</v>
      </c>
      <c r="C105" s="1223"/>
      <c r="D105" s="1224"/>
      <c r="E105" s="1224"/>
      <c r="F105" s="1224"/>
      <c r="G105" s="1224"/>
      <c r="H105" s="1224"/>
      <c r="I105" s="1224"/>
      <c r="J105" s="1224"/>
      <c r="K105" s="1224"/>
      <c r="L105" s="1225"/>
      <c r="M105" s="1224"/>
      <c r="N105" s="1225"/>
      <c r="O105" s="2137" t="str">
        <f>IFERROR(INDEX(BR96:BR98,MATCH(F104,$BQ$96:$BQ$98,0))/SUM($BR$96:$BR$98),"")</f>
        <v/>
      </c>
      <c r="P105" s="2138"/>
      <c r="Q105" s="2138"/>
      <c r="R105" s="2139"/>
      <c r="S105" s="1191"/>
      <c r="T105" s="1191"/>
      <c r="U105" s="1191"/>
      <c r="V105" s="1191"/>
      <c r="W105" s="1191"/>
      <c r="X105" s="1191"/>
      <c r="Y105" s="1191"/>
      <c r="Z105" s="1191"/>
      <c r="AA105" s="1191"/>
      <c r="AB105" s="1191"/>
      <c r="AC105" s="1191"/>
      <c r="AD105" s="1191"/>
      <c r="AE105" s="1191"/>
      <c r="AF105" s="1191"/>
      <c r="AG105" s="1191"/>
      <c r="AH105" s="1191"/>
      <c r="AI105" s="1191"/>
      <c r="AJ105" s="1191"/>
      <c r="AK105" s="1191"/>
      <c r="AL105" s="1191"/>
      <c r="AM105" s="1191"/>
      <c r="AN105" s="1191"/>
      <c r="AO105" s="1191"/>
      <c r="AP105" s="1191"/>
      <c r="AQ105" s="1191"/>
      <c r="AR105" s="1191"/>
      <c r="AS105" s="1191"/>
      <c r="AT105" s="1191"/>
      <c r="AU105" s="1191"/>
      <c r="AV105" s="1191"/>
      <c r="AW105" s="1191"/>
      <c r="AX105" s="1191"/>
      <c r="AY105" s="1191"/>
      <c r="AZ105" s="1191"/>
      <c r="BA105" s="1191"/>
      <c r="BB105" s="1191"/>
      <c r="BC105" s="1191"/>
      <c r="BD105" s="1191"/>
      <c r="BE105" s="1195"/>
      <c r="CM105" s="1189"/>
      <c r="CN105" s="1189"/>
      <c r="CO105" s="1189"/>
      <c r="CP105" s="1189"/>
    </row>
    <row r="106" spans="1:94" ht="15.75" customHeight="1" thickBot="1">
      <c r="A106" s="1191"/>
      <c r="B106" s="1191"/>
      <c r="C106" s="1191"/>
      <c r="D106" s="1191"/>
      <c r="E106" s="1191"/>
      <c r="F106" s="1191"/>
      <c r="G106" s="1191"/>
      <c r="H106" s="1191"/>
      <c r="I106" s="1191"/>
      <c r="J106" s="1191"/>
      <c r="K106" s="1191"/>
      <c r="L106" s="1191"/>
      <c r="M106" s="1191"/>
      <c r="N106" s="1191"/>
      <c r="O106" s="1191"/>
      <c r="P106" s="1226"/>
      <c r="Q106" s="1191"/>
      <c r="R106" s="1191"/>
      <c r="S106" s="1191"/>
      <c r="T106" s="1191"/>
      <c r="U106" s="1191"/>
      <c r="V106" s="1191"/>
      <c r="W106" s="1191"/>
      <c r="X106" s="1191"/>
      <c r="Y106" s="1191"/>
      <c r="Z106" s="1191"/>
      <c r="AA106" s="1191"/>
      <c r="AB106" s="1191"/>
      <c r="AC106" s="1191"/>
      <c r="AD106" s="1191"/>
      <c r="AE106" s="1191"/>
      <c r="AF106" s="1191"/>
      <c r="AG106" s="1191"/>
      <c r="AH106" s="1191"/>
      <c r="AI106" s="1191"/>
      <c r="AJ106" s="1191"/>
      <c r="AK106" s="1191"/>
      <c r="AL106" s="1191"/>
      <c r="AM106" s="1191"/>
      <c r="AN106" s="1191"/>
      <c r="AO106" s="1191"/>
      <c r="AP106" s="1191"/>
      <c r="AQ106" s="1191"/>
      <c r="AR106" s="1191"/>
      <c r="AS106" s="1191"/>
      <c r="AT106" s="1191"/>
      <c r="AU106" s="1191"/>
      <c r="AV106" s="1191"/>
      <c r="AW106" s="1191"/>
      <c r="AX106" s="1191"/>
      <c r="AY106" s="1191"/>
      <c r="AZ106" s="1191"/>
      <c r="BA106" s="1191"/>
      <c r="BB106" s="1191"/>
      <c r="BC106" s="1191"/>
      <c r="BD106" s="1191"/>
      <c r="BE106" s="1195"/>
      <c r="CM106" s="1189"/>
      <c r="CN106" s="1189"/>
      <c r="CO106" s="1189"/>
      <c r="CP106" s="1189"/>
    </row>
    <row r="107" spans="1:94" ht="15.75" customHeight="1">
      <c r="A107" s="1191"/>
      <c r="B107" s="2024" t="s">
        <v>2374</v>
      </c>
      <c r="C107" s="2025"/>
      <c r="D107" s="2025"/>
      <c r="E107" s="2025"/>
      <c r="F107" s="2025"/>
      <c r="G107" s="2025"/>
      <c r="H107" s="2025"/>
      <c r="I107" s="2025"/>
      <c r="J107" s="2025"/>
      <c r="K107" s="2025"/>
      <c r="L107" s="2025"/>
      <c r="M107" s="2025"/>
      <c r="N107" s="2025"/>
      <c r="O107" s="2025"/>
      <c r="P107" s="2025"/>
      <c r="Q107" s="2025"/>
      <c r="R107" s="2025"/>
      <c r="S107" s="2025"/>
      <c r="T107" s="2025"/>
      <c r="U107" s="2025"/>
      <c r="V107" s="2025"/>
      <c r="W107" s="2025"/>
      <c r="X107" s="2025"/>
      <c r="Y107" s="2025"/>
      <c r="Z107" s="2025"/>
      <c r="AA107" s="2025"/>
      <c r="AB107" s="2025"/>
      <c r="AC107" s="2025"/>
      <c r="AD107" s="2025"/>
      <c r="AE107" s="2025"/>
      <c r="AF107" s="2025"/>
      <c r="AG107" s="2025"/>
      <c r="AH107" s="2034"/>
      <c r="AI107" s="1191"/>
      <c r="AJ107" s="1191"/>
      <c r="AK107" s="1191"/>
      <c r="AL107" s="1191"/>
      <c r="AM107" s="1191"/>
      <c r="AN107" s="1191"/>
      <c r="AO107" s="1191"/>
      <c r="AP107" s="1191"/>
      <c r="AQ107" s="1191"/>
      <c r="AR107" s="1191"/>
      <c r="AS107" s="1191"/>
      <c r="AT107" s="1191"/>
      <c r="AU107" s="1191"/>
      <c r="AV107" s="1191"/>
      <c r="AW107" s="1191"/>
      <c r="AX107" s="1191"/>
      <c r="AY107" s="1191"/>
      <c r="AZ107" s="1191"/>
      <c r="BA107" s="1191"/>
      <c r="BB107" s="1191"/>
      <c r="BC107" s="1191"/>
      <c r="BD107" s="1191"/>
      <c r="BE107" s="1195"/>
      <c r="CM107" s="1189"/>
      <c r="CN107" s="1189"/>
      <c r="CO107" s="1189"/>
      <c r="CP107" s="1189"/>
    </row>
    <row r="108" spans="1:94" ht="16.5" customHeight="1">
      <c r="A108" s="1191"/>
      <c r="B108" s="2136"/>
      <c r="C108" s="2101"/>
      <c r="D108" s="2101"/>
      <c r="E108" s="2101"/>
      <c r="F108" s="2101"/>
      <c r="G108" s="2101"/>
      <c r="H108" s="2101"/>
      <c r="I108" s="2101" t="s">
        <v>2373</v>
      </c>
      <c r="J108" s="2101"/>
      <c r="K108" s="2101"/>
      <c r="L108" s="2101"/>
      <c r="M108" s="2101"/>
      <c r="N108" s="2101"/>
      <c r="O108" s="2101" t="s">
        <v>2349</v>
      </c>
      <c r="P108" s="2101"/>
      <c r="Q108" s="2101"/>
      <c r="R108" s="2101"/>
      <c r="S108" s="2101"/>
      <c r="T108" s="2101"/>
      <c r="U108" s="2101"/>
      <c r="V108" s="2140" t="s">
        <v>2348</v>
      </c>
      <c r="W108" s="2140"/>
      <c r="X108" s="2140"/>
      <c r="Y108" s="2140"/>
      <c r="Z108" s="2140"/>
      <c r="AA108" s="2140"/>
      <c r="AB108" s="2071" t="s">
        <v>2372</v>
      </c>
      <c r="AC108" s="2071"/>
      <c r="AD108" s="2071"/>
      <c r="AE108" s="2071"/>
      <c r="AF108" s="2071"/>
      <c r="AG108" s="2071"/>
      <c r="AH108" s="2141"/>
      <c r="AI108" s="1191"/>
      <c r="AJ108" s="1191"/>
      <c r="AK108" s="1191"/>
      <c r="AL108" s="1191"/>
      <c r="AM108" s="1191"/>
      <c r="AN108" s="1191"/>
      <c r="AO108" s="1191"/>
      <c r="AP108" s="1191"/>
      <c r="AQ108" s="1191"/>
      <c r="AR108" s="1191"/>
      <c r="AS108" s="1191"/>
      <c r="AT108" s="1191"/>
      <c r="AU108" s="1191"/>
      <c r="AV108" s="1191"/>
      <c r="AW108" s="1191"/>
      <c r="AX108" s="1191"/>
      <c r="AY108" s="1191"/>
      <c r="AZ108" s="1191"/>
      <c r="BA108" s="1191"/>
      <c r="BB108" s="1191"/>
      <c r="BC108" s="1191"/>
      <c r="BD108" s="1191"/>
      <c r="BE108" s="1195"/>
      <c r="CM108" s="1189"/>
      <c r="CN108" s="1189"/>
      <c r="CO108" s="1189"/>
      <c r="CP108" s="1189"/>
    </row>
    <row r="109" spans="1:94" ht="16.5" customHeight="1">
      <c r="A109" s="1191"/>
      <c r="B109" s="2136"/>
      <c r="C109" s="2101"/>
      <c r="D109" s="2101"/>
      <c r="E109" s="2101"/>
      <c r="F109" s="2101"/>
      <c r="G109" s="2101"/>
      <c r="H109" s="2101"/>
      <c r="I109" s="2101"/>
      <c r="J109" s="2101"/>
      <c r="K109" s="2101"/>
      <c r="L109" s="2101"/>
      <c r="M109" s="2101"/>
      <c r="N109" s="2101"/>
      <c r="O109" s="2101"/>
      <c r="P109" s="2101"/>
      <c r="Q109" s="2101"/>
      <c r="R109" s="2101"/>
      <c r="S109" s="2101"/>
      <c r="T109" s="2101"/>
      <c r="U109" s="2101"/>
      <c r="V109" s="2140"/>
      <c r="W109" s="2140"/>
      <c r="X109" s="2140"/>
      <c r="Y109" s="2140"/>
      <c r="Z109" s="2140"/>
      <c r="AA109" s="2140"/>
      <c r="AB109" s="2071"/>
      <c r="AC109" s="2071"/>
      <c r="AD109" s="2071"/>
      <c r="AE109" s="2071"/>
      <c r="AF109" s="2071"/>
      <c r="AG109" s="2071"/>
      <c r="AH109" s="2141"/>
      <c r="AI109" s="1191"/>
      <c r="AJ109" s="1191"/>
      <c r="AK109" s="1191"/>
      <c r="AL109" s="1191"/>
      <c r="AM109" s="1191"/>
      <c r="AN109" s="1191"/>
      <c r="AO109" s="1191"/>
      <c r="AP109" s="1191"/>
      <c r="AQ109" s="1191"/>
      <c r="AR109" s="1191"/>
      <c r="AS109" s="1191"/>
      <c r="AT109" s="1191"/>
      <c r="AU109" s="1191"/>
      <c r="AV109" s="1191"/>
      <c r="AW109" s="1191"/>
      <c r="AX109" s="1191"/>
      <c r="AY109" s="1191"/>
      <c r="AZ109" s="1191"/>
      <c r="BA109" s="1191"/>
      <c r="BB109" s="1191"/>
      <c r="BC109" s="1191"/>
      <c r="BD109" s="1191"/>
      <c r="BE109" s="1195"/>
      <c r="CM109" s="1189"/>
      <c r="CN109" s="1189"/>
      <c r="CO109" s="1189"/>
      <c r="CP109" s="1189"/>
    </row>
    <row r="110" spans="1:94" ht="15.75" customHeight="1">
      <c r="A110" s="1191"/>
      <c r="B110" s="2136" t="s">
        <v>2371</v>
      </c>
      <c r="C110" s="2101"/>
      <c r="D110" s="2101"/>
      <c r="E110" s="2101"/>
      <c r="F110" s="2101"/>
      <c r="G110" s="2101"/>
      <c r="H110" s="2101"/>
      <c r="I110" s="2074">
        <v>0</v>
      </c>
      <c r="J110" s="2074"/>
      <c r="K110" s="2074"/>
      <c r="L110" s="2074"/>
      <c r="M110" s="2074"/>
      <c r="N110" s="2074"/>
      <c r="O110" s="2074">
        <v>0</v>
      </c>
      <c r="P110" s="2074"/>
      <c r="Q110" s="2074"/>
      <c r="R110" s="2074"/>
      <c r="S110" s="2074"/>
      <c r="T110" s="2074"/>
      <c r="U110" s="2074"/>
      <c r="V110" s="2074">
        <v>0</v>
      </c>
      <c r="W110" s="2074"/>
      <c r="X110" s="2074"/>
      <c r="Y110" s="2074"/>
      <c r="Z110" s="2074"/>
      <c r="AA110" s="2074"/>
      <c r="AB110" s="2074">
        <v>0</v>
      </c>
      <c r="AC110" s="2074"/>
      <c r="AD110" s="2074"/>
      <c r="AE110" s="2074"/>
      <c r="AF110" s="2074"/>
      <c r="AG110" s="2074"/>
      <c r="AH110" s="2075"/>
      <c r="AI110" s="1191"/>
      <c r="AJ110" s="1191"/>
      <c r="AK110" s="1191"/>
      <c r="AL110" s="1191"/>
      <c r="AM110" s="1191"/>
      <c r="AN110" s="1191"/>
      <c r="AO110" s="1191"/>
      <c r="AP110" s="1191"/>
      <c r="AQ110" s="1191"/>
      <c r="AR110" s="1191"/>
      <c r="AS110" s="1191"/>
      <c r="AT110" s="1191"/>
      <c r="AU110" s="1191"/>
      <c r="AV110" s="1191"/>
      <c r="AW110" s="1191"/>
      <c r="AX110" s="1191"/>
      <c r="AY110" s="1191"/>
      <c r="AZ110" s="1191"/>
      <c r="BA110" s="1191"/>
      <c r="BB110" s="1191"/>
      <c r="BC110" s="1191"/>
      <c r="BD110" s="1191"/>
      <c r="BE110" s="1195"/>
      <c r="CM110" s="1189"/>
      <c r="CN110" s="1189"/>
      <c r="CO110" s="1189"/>
      <c r="CP110" s="1189"/>
    </row>
    <row r="111" spans="1:94" ht="15.75" customHeight="1">
      <c r="A111" s="1191"/>
      <c r="B111" s="2136" t="s">
        <v>2370</v>
      </c>
      <c r="C111" s="2101"/>
      <c r="D111" s="2101"/>
      <c r="E111" s="2101"/>
      <c r="F111" s="2101"/>
      <c r="G111" s="2101"/>
      <c r="H111" s="2101"/>
      <c r="I111" s="2074">
        <v>0</v>
      </c>
      <c r="J111" s="2074"/>
      <c r="K111" s="2074"/>
      <c r="L111" s="2074"/>
      <c r="M111" s="2074"/>
      <c r="N111" s="2074"/>
      <c r="O111" s="2074">
        <v>0</v>
      </c>
      <c r="P111" s="2074"/>
      <c r="Q111" s="2074"/>
      <c r="R111" s="2074"/>
      <c r="S111" s="2074"/>
      <c r="T111" s="2074"/>
      <c r="U111" s="2074"/>
      <c r="V111" s="2074">
        <v>0</v>
      </c>
      <c r="W111" s="2074"/>
      <c r="X111" s="2074"/>
      <c r="Y111" s="2074"/>
      <c r="Z111" s="2074"/>
      <c r="AA111" s="2074"/>
      <c r="AB111" s="2074">
        <v>0</v>
      </c>
      <c r="AC111" s="2074"/>
      <c r="AD111" s="2074"/>
      <c r="AE111" s="2074"/>
      <c r="AF111" s="2074"/>
      <c r="AG111" s="2074"/>
      <c r="AH111" s="2075"/>
      <c r="AI111" s="1191"/>
      <c r="AJ111" s="1191"/>
      <c r="AK111" s="1191"/>
      <c r="AL111" s="1191"/>
      <c r="AM111" s="1191"/>
      <c r="AN111" s="1191"/>
      <c r="AO111" s="1191"/>
      <c r="AP111" s="1191"/>
      <c r="AQ111" s="1191"/>
      <c r="AR111" s="1191"/>
      <c r="AS111" s="1191"/>
      <c r="AT111" s="1191"/>
      <c r="AU111" s="1191"/>
      <c r="AV111" s="1191"/>
      <c r="AW111" s="1191"/>
      <c r="AX111" s="1191"/>
      <c r="AY111" s="1191"/>
      <c r="AZ111" s="1191"/>
      <c r="BA111" s="1191"/>
      <c r="BB111" s="1191"/>
      <c r="BC111" s="1191"/>
      <c r="BD111" s="1191"/>
      <c r="BE111" s="1195"/>
      <c r="CM111" s="1189"/>
      <c r="CN111" s="1189"/>
      <c r="CO111" s="1189"/>
      <c r="CP111" s="1189"/>
    </row>
    <row r="112" spans="1:94" ht="15.75" customHeight="1" thickBot="1">
      <c r="A112" s="1191"/>
      <c r="B112" s="2131" t="s">
        <v>2369</v>
      </c>
      <c r="C112" s="2132"/>
      <c r="D112" s="2132"/>
      <c r="E112" s="2132"/>
      <c r="F112" s="2132"/>
      <c r="G112" s="2132"/>
      <c r="H112" s="2132"/>
      <c r="I112" s="2068">
        <v>0</v>
      </c>
      <c r="J112" s="2068"/>
      <c r="K112" s="2068"/>
      <c r="L112" s="2068"/>
      <c r="M112" s="2068"/>
      <c r="N112" s="2068"/>
      <c r="O112" s="2068">
        <v>0</v>
      </c>
      <c r="P112" s="2068"/>
      <c r="Q112" s="2068"/>
      <c r="R112" s="2068"/>
      <c r="S112" s="2068"/>
      <c r="T112" s="2068"/>
      <c r="U112" s="2068"/>
      <c r="V112" s="2068">
        <v>0</v>
      </c>
      <c r="W112" s="2068"/>
      <c r="X112" s="2068"/>
      <c r="Y112" s="2068"/>
      <c r="Z112" s="2068"/>
      <c r="AA112" s="2068"/>
      <c r="AB112" s="2068">
        <v>0</v>
      </c>
      <c r="AC112" s="2068"/>
      <c r="AD112" s="2068"/>
      <c r="AE112" s="2068"/>
      <c r="AF112" s="2068"/>
      <c r="AG112" s="2068"/>
      <c r="AH112" s="2069"/>
      <c r="AI112" s="1191"/>
      <c r="AJ112" s="1191"/>
      <c r="AK112" s="1191"/>
      <c r="AL112" s="1191"/>
      <c r="AM112" s="1191"/>
      <c r="AN112" s="1191"/>
      <c r="AO112" s="1191"/>
      <c r="AP112" s="1191"/>
      <c r="AQ112" s="1191"/>
      <c r="AR112" s="1191"/>
      <c r="AS112" s="1191"/>
      <c r="AT112" s="1191"/>
      <c r="AU112" s="1191"/>
      <c r="AV112" s="1191"/>
      <c r="AW112" s="1191"/>
      <c r="AX112" s="1191"/>
      <c r="AY112" s="1191"/>
      <c r="AZ112" s="1191"/>
      <c r="BA112" s="1191"/>
      <c r="BB112" s="1191"/>
      <c r="BC112" s="1191"/>
      <c r="BD112" s="1191"/>
      <c r="BE112" s="1195"/>
      <c r="CM112" s="1189"/>
      <c r="CN112" s="1189"/>
      <c r="CO112" s="1189"/>
      <c r="CP112" s="1189"/>
    </row>
    <row r="113" spans="1:57" ht="15.75" customHeight="1" thickBot="1">
      <c r="A113" s="1191"/>
      <c r="B113" s="1191"/>
      <c r="C113" s="1191"/>
      <c r="D113" s="1191"/>
      <c r="E113" s="1191"/>
      <c r="F113" s="1191"/>
      <c r="G113" s="1191"/>
      <c r="H113" s="1191"/>
      <c r="I113" s="1191"/>
      <c r="J113" s="1191"/>
      <c r="K113" s="1191"/>
      <c r="L113" s="1191"/>
      <c r="M113" s="1191"/>
      <c r="N113" s="1191"/>
      <c r="O113" s="1191"/>
      <c r="P113" s="1191"/>
      <c r="Q113" s="1191"/>
      <c r="R113" s="1191"/>
      <c r="S113" s="1191"/>
      <c r="T113" s="1191"/>
      <c r="U113" s="1191" t="s">
        <v>249</v>
      </c>
      <c r="V113" s="1191"/>
      <c r="W113" s="1191"/>
      <c r="X113" s="1191"/>
      <c r="Y113" s="1191"/>
      <c r="Z113" s="1191"/>
      <c r="AA113" s="1191"/>
      <c r="AB113" s="1191"/>
      <c r="AC113" s="1191"/>
      <c r="AD113" s="1191"/>
      <c r="AE113" s="1191"/>
      <c r="AF113" s="1191"/>
      <c r="AG113" s="1191"/>
      <c r="AH113" s="1191"/>
      <c r="AI113" s="1191"/>
      <c r="AJ113" s="1191"/>
      <c r="AK113" s="1191"/>
      <c r="AL113" s="1191"/>
      <c r="AM113" s="1191"/>
      <c r="AN113" s="1191"/>
      <c r="AO113" s="1191"/>
      <c r="AP113" s="1191"/>
      <c r="AQ113" s="1191"/>
      <c r="AR113" s="1191"/>
      <c r="AS113" s="1191"/>
      <c r="AT113" s="1191"/>
      <c r="AU113" s="1191"/>
      <c r="AV113" s="1191"/>
      <c r="AW113" s="1191"/>
      <c r="AX113" s="1191"/>
      <c r="AY113" s="1191"/>
      <c r="AZ113" s="1191"/>
      <c r="BA113" s="1191"/>
      <c r="BB113" s="1191"/>
      <c r="BC113" s="1191"/>
      <c r="BD113" s="1191"/>
      <c r="BE113" s="1195"/>
    </row>
    <row r="114" spans="1:57" ht="15.75" customHeight="1" thickBot="1">
      <c r="A114" s="1191"/>
      <c r="B114" s="1203" t="s">
        <v>2368</v>
      </c>
      <c r="C114" s="1209"/>
      <c r="D114" s="1209"/>
      <c r="E114" s="1209"/>
      <c r="F114" s="1209"/>
      <c r="G114" s="1209"/>
      <c r="H114" s="1209"/>
      <c r="I114" s="1209"/>
      <c r="J114" s="1209"/>
      <c r="K114" s="1209"/>
      <c r="L114" s="1209"/>
      <c r="M114" s="1209"/>
      <c r="N114" s="1209"/>
      <c r="O114" s="1209"/>
      <c r="P114" s="1209"/>
      <c r="Q114" s="1209"/>
      <c r="R114" s="1227"/>
      <c r="S114" s="1191"/>
      <c r="T114" s="1191"/>
      <c r="U114" s="1191"/>
      <c r="V114" s="1191"/>
      <c r="W114" s="1191"/>
      <c r="X114" s="1191"/>
      <c r="Y114" s="1191"/>
      <c r="Z114" s="1191"/>
      <c r="AA114" s="1191"/>
      <c r="AB114" s="1191"/>
      <c r="AC114" s="1191"/>
      <c r="AD114" s="1191"/>
      <c r="AE114" s="1191"/>
      <c r="AF114" s="1191"/>
      <c r="AG114" s="1191"/>
      <c r="AH114" s="1191"/>
      <c r="AI114" s="1191"/>
      <c r="AJ114" s="1191"/>
      <c r="AK114" s="1191"/>
      <c r="AL114" s="1191"/>
      <c r="AM114" s="1191"/>
      <c r="AN114" s="1191"/>
      <c r="AO114" s="1191"/>
      <c r="AP114" s="1191"/>
      <c r="AQ114" s="1191"/>
      <c r="AR114" s="1191"/>
      <c r="AS114" s="1191"/>
      <c r="AT114" s="1191"/>
      <c r="AU114" s="1191"/>
      <c r="AV114" s="1191"/>
      <c r="AW114" s="1191"/>
      <c r="AX114" s="1191"/>
      <c r="AY114" s="1191"/>
      <c r="AZ114" s="1191"/>
      <c r="BA114" s="1191"/>
      <c r="BB114" s="1191"/>
      <c r="BC114" s="1191"/>
      <c r="BD114" s="1191"/>
      <c r="BE114" s="1195"/>
    </row>
    <row r="115" spans="1:57" ht="15.75" customHeight="1">
      <c r="A115" s="1191"/>
      <c r="B115" s="1214" t="s">
        <v>2286</v>
      </c>
      <c r="C115" s="1214"/>
      <c r="D115" s="1220"/>
      <c r="E115" s="1221"/>
      <c r="F115" s="2133"/>
      <c r="G115" s="2134"/>
      <c r="H115" s="2134"/>
      <c r="I115" s="2134"/>
      <c r="J115" s="2134"/>
      <c r="K115" s="2134"/>
      <c r="L115" s="2134"/>
      <c r="M115" s="2134"/>
      <c r="N115" s="2134"/>
      <c r="O115" s="2134"/>
      <c r="P115" s="2134"/>
      <c r="Q115" s="2134"/>
      <c r="R115" s="2135"/>
      <c r="S115" s="1191"/>
      <c r="T115" s="1191"/>
      <c r="U115" s="1191"/>
      <c r="V115" s="1191"/>
      <c r="W115" s="1191"/>
      <c r="X115" s="1191"/>
      <c r="Y115" s="1191"/>
      <c r="Z115" s="1191"/>
      <c r="AA115" s="1191"/>
      <c r="AB115" s="1191"/>
      <c r="AC115" s="1191"/>
      <c r="AD115" s="1191"/>
      <c r="AE115" s="1191"/>
      <c r="AF115" s="1191"/>
      <c r="AG115" s="1191"/>
      <c r="AH115" s="1191"/>
      <c r="AI115" s="1191"/>
      <c r="AJ115" s="1191"/>
      <c r="AK115" s="1191"/>
      <c r="AL115" s="1191"/>
      <c r="AM115" s="1191"/>
      <c r="AN115" s="1191"/>
      <c r="AO115" s="1191"/>
      <c r="AP115" s="1191"/>
      <c r="AQ115" s="1191"/>
      <c r="AR115" s="1191"/>
      <c r="AS115" s="1191"/>
      <c r="AT115" s="1191"/>
      <c r="AU115" s="1191"/>
      <c r="AV115" s="1191"/>
      <c r="AW115" s="1191"/>
      <c r="AX115" s="1191"/>
      <c r="AY115" s="1191"/>
      <c r="AZ115" s="1191"/>
      <c r="BA115" s="1191"/>
      <c r="BB115" s="1191"/>
      <c r="BC115" s="1191"/>
      <c r="BD115" s="1191"/>
      <c r="BE115" s="1195"/>
    </row>
    <row r="116" spans="1:57" ht="15.75" customHeight="1" thickBot="1">
      <c r="A116" s="1191"/>
      <c r="B116" s="1191"/>
      <c r="C116" s="1191"/>
      <c r="D116" s="1191"/>
      <c r="E116" s="1191"/>
      <c r="F116" s="1191"/>
      <c r="G116" s="1191"/>
      <c r="H116" s="1191"/>
      <c r="I116" s="1191"/>
      <c r="J116" s="1191"/>
      <c r="K116" s="1191"/>
      <c r="L116" s="1191"/>
      <c r="M116" s="1191"/>
      <c r="N116" s="1191"/>
      <c r="O116" s="1191"/>
      <c r="P116" s="1191"/>
      <c r="Q116" s="1191"/>
      <c r="R116" s="1191"/>
      <c r="S116" s="1191"/>
      <c r="T116" s="1191"/>
      <c r="U116" s="1191"/>
      <c r="V116" s="1191"/>
      <c r="W116" s="1191"/>
      <c r="X116" s="1191"/>
      <c r="Y116" s="1191"/>
      <c r="Z116" s="1191"/>
      <c r="AA116" s="1191"/>
      <c r="AB116" s="1191"/>
      <c r="AC116" s="1191"/>
      <c r="AD116" s="1191"/>
      <c r="AE116" s="1191"/>
      <c r="AF116" s="1191"/>
      <c r="AG116" s="1191"/>
      <c r="AH116" s="1191"/>
      <c r="AI116" s="1191"/>
      <c r="AJ116" s="1191"/>
      <c r="AK116" s="1191"/>
      <c r="AL116" s="1191"/>
      <c r="AM116" s="1191"/>
      <c r="AN116" s="1191"/>
      <c r="AO116" s="1191"/>
      <c r="AP116" s="1191"/>
      <c r="AQ116" s="1191"/>
      <c r="AR116" s="1191"/>
      <c r="AS116" s="1191"/>
      <c r="AT116" s="1191"/>
      <c r="AU116" s="1191"/>
      <c r="AV116" s="1191"/>
      <c r="AW116" s="1191"/>
      <c r="AX116" s="1191"/>
      <c r="AY116" s="1191"/>
      <c r="AZ116" s="1191"/>
      <c r="BA116" s="1191"/>
      <c r="BB116" s="1191"/>
      <c r="BC116" s="1191"/>
      <c r="BD116" s="1191"/>
      <c r="BE116" s="1195"/>
    </row>
    <row r="117" spans="1:57" ht="15.75" customHeight="1">
      <c r="A117" s="1191"/>
      <c r="B117" s="2106" t="s">
        <v>2367</v>
      </c>
      <c r="C117" s="2107"/>
      <c r="D117" s="2107"/>
      <c r="E117" s="2107"/>
      <c r="F117" s="2107"/>
      <c r="G117" s="2107"/>
      <c r="H117" s="2107"/>
      <c r="I117" s="2107"/>
      <c r="J117" s="2107"/>
      <c r="K117" s="2107"/>
      <c r="L117" s="2107"/>
      <c r="M117" s="2107"/>
      <c r="N117" s="2107"/>
      <c r="O117" s="2107"/>
      <c r="P117" s="2107"/>
      <c r="Q117" s="2107"/>
      <c r="R117" s="2107"/>
      <c r="S117" s="2107"/>
      <c r="T117" s="2107"/>
      <c r="U117" s="2110" t="s">
        <v>545</v>
      </c>
      <c r="V117" s="2110"/>
      <c r="W117" s="2110"/>
      <c r="X117" s="2111"/>
      <c r="Y117" s="1191"/>
      <c r="Z117" s="1191"/>
      <c r="AA117" s="1191"/>
      <c r="AB117" s="1191"/>
      <c r="AC117" s="1191"/>
      <c r="AD117" s="1191"/>
      <c r="AE117" s="1191"/>
      <c r="AF117" s="1191"/>
      <c r="AG117" s="1191"/>
      <c r="AH117" s="1191"/>
      <c r="AI117" s="1191"/>
      <c r="AJ117" s="1191"/>
      <c r="AK117" s="1191"/>
      <c r="AL117" s="1191"/>
      <c r="AM117" s="1191"/>
      <c r="AN117" s="1191"/>
      <c r="AO117" s="1191"/>
      <c r="AP117" s="1191"/>
      <c r="AQ117" s="1191"/>
      <c r="AR117" s="1191"/>
      <c r="AS117" s="1191"/>
      <c r="AT117" s="1191"/>
      <c r="AU117" s="1191"/>
      <c r="AV117" s="1191"/>
      <c r="AW117" s="1191"/>
      <c r="AX117" s="1191"/>
      <c r="AY117" s="1191"/>
      <c r="AZ117" s="1191"/>
      <c r="BA117" s="1191"/>
      <c r="BB117" s="1191"/>
      <c r="BC117" s="1191"/>
      <c r="BD117" s="1191"/>
      <c r="BE117" s="1195"/>
    </row>
    <row r="118" spans="1:57" ht="15.75" customHeight="1">
      <c r="A118" s="1191"/>
      <c r="B118" s="2108"/>
      <c r="C118" s="2109"/>
      <c r="D118" s="2109"/>
      <c r="E118" s="2109"/>
      <c r="F118" s="2109"/>
      <c r="G118" s="2109"/>
      <c r="H118" s="2109"/>
      <c r="I118" s="2109"/>
      <c r="J118" s="2109"/>
      <c r="K118" s="2109"/>
      <c r="L118" s="2109"/>
      <c r="M118" s="2109"/>
      <c r="N118" s="2109"/>
      <c r="O118" s="2109"/>
      <c r="P118" s="2109"/>
      <c r="Q118" s="2109"/>
      <c r="R118" s="2109"/>
      <c r="S118" s="2109"/>
      <c r="T118" s="2109"/>
      <c r="U118" s="2112"/>
      <c r="V118" s="2112"/>
      <c r="W118" s="2112"/>
      <c r="X118" s="2113"/>
      <c r="Y118" s="1191"/>
      <c r="Z118" s="1191"/>
      <c r="AA118" s="1191"/>
      <c r="AB118" s="1191"/>
      <c r="AC118" s="1191"/>
      <c r="AD118" s="1191"/>
      <c r="AE118" s="1191"/>
      <c r="AF118" s="1191"/>
      <c r="AG118" s="1191"/>
      <c r="AH118" s="1191"/>
      <c r="AI118" s="1191"/>
      <c r="AJ118" s="1191"/>
      <c r="AK118" s="1191"/>
      <c r="AL118" s="1191"/>
      <c r="AM118" s="1191"/>
      <c r="AN118" s="1191"/>
      <c r="AO118" s="1191"/>
      <c r="AP118" s="1191"/>
      <c r="AQ118" s="1191"/>
      <c r="AR118" s="1191"/>
      <c r="AS118" s="1191"/>
      <c r="AT118" s="1191"/>
      <c r="AU118" s="1191"/>
      <c r="AV118" s="1191"/>
      <c r="AW118" s="1191"/>
      <c r="AX118" s="1191"/>
      <c r="AY118" s="1191"/>
      <c r="AZ118" s="1191"/>
      <c r="BA118" s="1191"/>
      <c r="BB118" s="1191"/>
      <c r="BC118" s="1191"/>
      <c r="BD118" s="1191"/>
      <c r="BE118" s="1195"/>
    </row>
    <row r="119" spans="1:57" ht="15.75" customHeight="1">
      <c r="A119" s="1191"/>
      <c r="B119" s="2108"/>
      <c r="C119" s="2109"/>
      <c r="D119" s="2109"/>
      <c r="E119" s="2109"/>
      <c r="F119" s="2109"/>
      <c r="G119" s="2109"/>
      <c r="H119" s="2109"/>
      <c r="I119" s="2109"/>
      <c r="J119" s="2109"/>
      <c r="K119" s="2109"/>
      <c r="L119" s="2109"/>
      <c r="M119" s="2109"/>
      <c r="N119" s="2109"/>
      <c r="O119" s="2109"/>
      <c r="P119" s="2109"/>
      <c r="Q119" s="2109"/>
      <c r="R119" s="2109"/>
      <c r="S119" s="2109"/>
      <c r="T119" s="2109"/>
      <c r="U119" s="2112"/>
      <c r="V119" s="2112"/>
      <c r="W119" s="2112"/>
      <c r="X119" s="2113"/>
      <c r="Y119" s="1191"/>
      <c r="Z119" s="1191"/>
      <c r="AA119" s="1191"/>
      <c r="AB119" s="1191"/>
      <c r="AC119" s="1191"/>
      <c r="AD119" s="1191"/>
      <c r="AE119" s="1191"/>
      <c r="AF119" s="1191"/>
      <c r="AG119" s="1191"/>
      <c r="AH119" s="1191"/>
      <c r="AI119" s="1191"/>
      <c r="AJ119" s="1191"/>
      <c r="AK119" s="1191"/>
      <c r="AL119" s="1191"/>
      <c r="AM119" s="1191"/>
      <c r="AN119" s="1191"/>
      <c r="AO119" s="1191"/>
      <c r="AP119" s="1191"/>
      <c r="AQ119" s="1191"/>
      <c r="AR119" s="1191"/>
      <c r="AS119" s="1191"/>
      <c r="AT119" s="1191"/>
      <c r="AU119" s="1191"/>
      <c r="AV119" s="1191"/>
      <c r="AW119" s="1191"/>
      <c r="AX119" s="1191"/>
      <c r="AY119" s="1191"/>
      <c r="AZ119" s="1191"/>
      <c r="BA119" s="1191"/>
      <c r="BB119" s="1191"/>
      <c r="BC119" s="1191"/>
      <c r="BD119" s="1191"/>
      <c r="BE119" s="1195"/>
    </row>
    <row r="120" spans="1:57" ht="15.75" customHeight="1">
      <c r="A120" s="1191"/>
      <c r="B120" s="2108"/>
      <c r="C120" s="2109"/>
      <c r="D120" s="2109"/>
      <c r="E120" s="2109"/>
      <c r="F120" s="2109"/>
      <c r="G120" s="2109"/>
      <c r="H120" s="2109"/>
      <c r="I120" s="2109"/>
      <c r="J120" s="2109"/>
      <c r="K120" s="2109"/>
      <c r="L120" s="2109"/>
      <c r="M120" s="2109"/>
      <c r="N120" s="2109"/>
      <c r="O120" s="2109"/>
      <c r="P120" s="2109"/>
      <c r="Q120" s="2109"/>
      <c r="R120" s="2109"/>
      <c r="S120" s="2109"/>
      <c r="T120" s="2109"/>
      <c r="U120" s="2112"/>
      <c r="V120" s="2112"/>
      <c r="W120" s="2112"/>
      <c r="X120" s="2113"/>
      <c r="Y120" s="1191"/>
      <c r="Z120" s="1191"/>
      <c r="AA120" s="1191"/>
      <c r="AB120" s="1191"/>
      <c r="AC120" s="1191"/>
      <c r="AD120" s="1191"/>
      <c r="AE120" s="1191"/>
      <c r="AF120" s="1191"/>
      <c r="AG120" s="1191"/>
      <c r="AH120" s="1191"/>
      <c r="AI120" s="1191"/>
      <c r="AJ120" s="1191"/>
      <c r="AK120" s="1191"/>
      <c r="AL120" s="1191"/>
      <c r="AM120" s="1191"/>
      <c r="AN120" s="1191"/>
      <c r="AO120" s="1191"/>
      <c r="AP120" s="1191"/>
      <c r="AQ120" s="1191"/>
      <c r="AR120" s="1191"/>
      <c r="AS120" s="1191"/>
      <c r="AT120" s="1191"/>
      <c r="AU120" s="1191"/>
      <c r="AV120" s="1191"/>
      <c r="AW120" s="1191"/>
      <c r="AX120" s="1191"/>
      <c r="AY120" s="1191"/>
      <c r="AZ120" s="1191"/>
      <c r="BA120" s="1191"/>
      <c r="BB120" s="1191"/>
      <c r="BC120" s="1191"/>
      <c r="BD120" s="1191"/>
      <c r="BE120" s="1195"/>
    </row>
    <row r="121" spans="1:57" ht="15.75" customHeight="1">
      <c r="A121" s="1191"/>
      <c r="B121" s="2114" t="s">
        <v>2367</v>
      </c>
      <c r="C121" s="2115"/>
      <c r="D121" s="2115"/>
      <c r="E121" s="2115"/>
      <c r="F121" s="2115"/>
      <c r="G121" s="2115"/>
      <c r="H121" s="2115"/>
      <c r="I121" s="2115"/>
      <c r="J121" s="2115"/>
      <c r="K121" s="2115"/>
      <c r="L121" s="2115"/>
      <c r="M121" s="2115"/>
      <c r="N121" s="2115"/>
      <c r="O121" s="2115"/>
      <c r="P121" s="2115"/>
      <c r="Q121" s="2115"/>
      <c r="R121" s="2115"/>
      <c r="S121" s="2115"/>
      <c r="T121" s="2115"/>
      <c r="U121" s="2118" t="s">
        <v>545</v>
      </c>
      <c r="V121" s="2118"/>
      <c r="W121" s="2118"/>
      <c r="X121" s="2119"/>
      <c r="Y121" s="1191"/>
      <c r="Z121" s="1191"/>
      <c r="AA121" s="1191"/>
      <c r="AB121" s="1191"/>
      <c r="AC121" s="1191"/>
      <c r="AD121" s="1191"/>
      <c r="AE121" s="1191"/>
      <c r="AF121" s="1191"/>
      <c r="AG121" s="1191"/>
      <c r="AH121" s="1191"/>
      <c r="AI121" s="1191"/>
      <c r="AJ121" s="1191"/>
      <c r="AK121" s="1191"/>
      <c r="AL121" s="1191"/>
      <c r="AM121" s="1191"/>
      <c r="AN121" s="1191"/>
      <c r="AO121" s="1191"/>
      <c r="AP121" s="1191"/>
      <c r="AQ121" s="1191"/>
      <c r="AR121" s="1191"/>
      <c r="AS121" s="1191"/>
      <c r="AT121" s="1191"/>
      <c r="AU121" s="1191"/>
      <c r="AV121" s="1191"/>
      <c r="AW121" s="1191"/>
      <c r="AX121" s="1191"/>
      <c r="AY121" s="1191"/>
      <c r="AZ121" s="1191"/>
      <c r="BA121" s="1191"/>
      <c r="BB121" s="1191"/>
      <c r="BC121" s="1191"/>
      <c r="BD121" s="1191"/>
      <c r="BE121" s="1195"/>
    </row>
    <row r="122" spans="1:57" ht="15.75" customHeight="1" thickBot="1">
      <c r="A122" s="1191"/>
      <c r="B122" s="2116"/>
      <c r="C122" s="2117"/>
      <c r="D122" s="2117"/>
      <c r="E122" s="2117"/>
      <c r="F122" s="2117"/>
      <c r="G122" s="2117"/>
      <c r="H122" s="2117"/>
      <c r="I122" s="2117"/>
      <c r="J122" s="2117"/>
      <c r="K122" s="2117"/>
      <c r="L122" s="2117"/>
      <c r="M122" s="2117"/>
      <c r="N122" s="2117"/>
      <c r="O122" s="2117"/>
      <c r="P122" s="2117"/>
      <c r="Q122" s="2117"/>
      <c r="R122" s="2117"/>
      <c r="S122" s="2117"/>
      <c r="T122" s="2117"/>
      <c r="U122" s="2120"/>
      <c r="V122" s="2120"/>
      <c r="W122" s="2120"/>
      <c r="X122" s="2121"/>
      <c r="Y122" s="1191"/>
      <c r="Z122" s="1191"/>
      <c r="AA122" s="1191"/>
      <c r="AB122" s="1191"/>
      <c r="AC122" s="1191"/>
      <c r="AD122" s="1191"/>
      <c r="AE122" s="1191"/>
      <c r="AF122" s="1191"/>
      <c r="AG122" s="1191"/>
      <c r="AH122" s="1191"/>
      <c r="AI122" s="1191"/>
      <c r="AJ122" s="1191"/>
      <c r="AK122" s="1191"/>
      <c r="AL122" s="1191"/>
      <c r="AM122" s="1191"/>
      <c r="AN122" s="1191"/>
      <c r="AO122" s="1191"/>
      <c r="AP122" s="1191"/>
      <c r="AQ122" s="1191"/>
      <c r="AR122" s="1191"/>
      <c r="AS122" s="1191"/>
      <c r="AT122" s="1191"/>
      <c r="AU122" s="1191"/>
      <c r="AV122" s="1191"/>
      <c r="AW122" s="1191"/>
      <c r="AX122" s="1191"/>
      <c r="AY122" s="1191"/>
      <c r="AZ122" s="1191"/>
      <c r="BA122" s="1191"/>
      <c r="BB122" s="1191"/>
      <c r="BC122" s="1191"/>
      <c r="BD122" s="1191"/>
      <c r="BE122" s="1195"/>
    </row>
    <row r="123" spans="1:57" ht="15.75" customHeight="1" thickBot="1">
      <c r="A123" s="1191"/>
      <c r="B123" s="1191"/>
      <c r="C123" s="1191"/>
      <c r="D123" s="1191"/>
      <c r="E123" s="1191"/>
      <c r="F123" s="1191"/>
      <c r="G123" s="1191"/>
      <c r="H123" s="1191"/>
      <c r="I123" s="1191"/>
      <c r="J123" s="1191"/>
      <c r="K123" s="1191"/>
      <c r="L123" s="1191"/>
      <c r="M123" s="1191"/>
      <c r="N123" s="1191"/>
      <c r="O123" s="1191"/>
      <c r="P123" s="1191"/>
      <c r="Q123" s="1191"/>
      <c r="R123" s="1191"/>
      <c r="S123" s="1191"/>
      <c r="T123" s="1191"/>
      <c r="U123" s="1191"/>
      <c r="V123" s="1191"/>
      <c r="W123" s="1191"/>
      <c r="X123" s="1191"/>
      <c r="Y123" s="1191"/>
      <c r="Z123" s="1191"/>
      <c r="AA123" s="1191"/>
      <c r="AB123" s="1191"/>
      <c r="AC123" s="1191"/>
      <c r="AD123" s="1191"/>
      <c r="AE123" s="1191"/>
      <c r="AF123" s="1191"/>
      <c r="AG123" s="1191"/>
      <c r="AH123" s="1191"/>
      <c r="AI123" s="1191"/>
      <c r="AJ123" s="1191"/>
      <c r="AK123" s="1191"/>
      <c r="AL123" s="1191"/>
      <c r="AM123" s="1191"/>
      <c r="AN123" s="1191"/>
      <c r="AO123" s="1191"/>
      <c r="AP123" s="1191"/>
      <c r="AQ123" s="1191"/>
      <c r="AR123" s="1191"/>
      <c r="AS123" s="1191"/>
      <c r="AT123" s="1191"/>
      <c r="AU123" s="1191"/>
      <c r="AV123" s="1191"/>
      <c r="AW123" s="1191"/>
      <c r="AX123" s="1191"/>
      <c r="AY123" s="1191"/>
      <c r="AZ123" s="1191"/>
      <c r="BA123" s="1191"/>
      <c r="BB123" s="1191"/>
      <c r="BC123" s="1191"/>
      <c r="BD123" s="1191"/>
      <c r="BE123" s="1195"/>
    </row>
    <row r="124" spans="1:57" ht="15.75" customHeight="1" thickBot="1">
      <c r="A124" s="1191"/>
      <c r="B124" s="1210" t="s">
        <v>2366</v>
      </c>
      <c r="C124" s="1205"/>
      <c r="D124" s="1205"/>
      <c r="E124" s="1205"/>
      <c r="F124" s="1205"/>
      <c r="G124" s="1205"/>
      <c r="H124" s="1205"/>
      <c r="I124" s="1205"/>
      <c r="J124" s="1205"/>
      <c r="K124" s="1205"/>
      <c r="L124" s="1205"/>
      <c r="M124" s="1205"/>
      <c r="N124" s="1205"/>
      <c r="O124" s="1205"/>
      <c r="P124" s="1205"/>
      <c r="Q124" s="1205"/>
      <c r="R124" s="1206"/>
      <c r="S124" s="1191"/>
      <c r="T124" s="1191"/>
      <c r="U124" s="1191"/>
      <c r="V124" s="1191"/>
      <c r="W124" s="1191"/>
      <c r="X124" s="1191"/>
      <c r="Y124" s="1191"/>
      <c r="Z124" s="1191"/>
      <c r="AA124" s="1191"/>
      <c r="AB124" s="1191"/>
      <c r="AC124" s="1191"/>
      <c r="AD124" s="1191"/>
      <c r="AE124" s="1191"/>
      <c r="AF124" s="1191"/>
      <c r="AG124" s="1191"/>
      <c r="AH124" s="1191"/>
      <c r="AI124" s="1191"/>
      <c r="AJ124" s="1191"/>
      <c r="AK124" s="1191"/>
      <c r="AL124" s="1191"/>
      <c r="AM124" s="1191"/>
      <c r="AN124" s="1191"/>
      <c r="AO124" s="1191"/>
      <c r="AP124" s="1191"/>
      <c r="AQ124" s="1191"/>
      <c r="AR124" s="1191"/>
      <c r="AS124" s="1191"/>
      <c r="AT124" s="1191"/>
      <c r="AU124" s="1191"/>
      <c r="AV124" s="1191"/>
      <c r="AW124" s="1191"/>
      <c r="AX124" s="1191"/>
      <c r="AY124" s="1191"/>
      <c r="AZ124" s="1191"/>
      <c r="BA124" s="1191"/>
      <c r="BB124" s="1191"/>
      <c r="BC124" s="1191"/>
      <c r="BD124" s="1191"/>
      <c r="BE124" s="1195"/>
    </row>
    <row r="125" spans="1:57" ht="15.75" customHeight="1" thickBot="1">
      <c r="A125" s="1191"/>
      <c r="B125" s="1191"/>
      <c r="C125" s="1191"/>
      <c r="D125" s="1191"/>
      <c r="E125" s="1191"/>
      <c r="F125" s="1191"/>
      <c r="G125" s="1191"/>
      <c r="H125" s="1191"/>
      <c r="I125" s="1191"/>
      <c r="J125" s="1191"/>
      <c r="K125" s="1191"/>
      <c r="L125" s="1191"/>
      <c r="M125" s="1191"/>
      <c r="N125" s="1191"/>
      <c r="O125" s="1191"/>
      <c r="P125" s="1226"/>
      <c r="Q125" s="1191"/>
      <c r="R125" s="1191"/>
      <c r="S125" s="1191"/>
      <c r="T125" s="1191"/>
      <c r="U125" s="1191"/>
      <c r="V125" s="1191"/>
      <c r="W125" s="1191"/>
      <c r="X125" s="2122" t="s">
        <v>2365</v>
      </c>
      <c r="Y125" s="2123"/>
      <c r="Z125" s="2123"/>
      <c r="AA125" s="2123"/>
      <c r="AB125" s="2123"/>
      <c r="AC125" s="2123"/>
      <c r="AD125" s="2123"/>
      <c r="AE125" s="2123"/>
      <c r="AF125" s="2123"/>
      <c r="AG125" s="2123"/>
      <c r="AH125" s="2123"/>
      <c r="AI125" s="2123"/>
      <c r="AJ125" s="2123"/>
      <c r="AK125" s="2123"/>
      <c r="AL125" s="2123"/>
      <c r="AM125" s="2123"/>
      <c r="AN125" s="2123"/>
      <c r="AO125" s="2123"/>
      <c r="AP125" s="2123"/>
      <c r="AQ125" s="2123"/>
      <c r="AR125" s="2123"/>
      <c r="AS125" s="2123"/>
      <c r="AT125" s="2123"/>
      <c r="AU125" s="2123"/>
      <c r="AV125" s="2123"/>
      <c r="AW125" s="2123"/>
      <c r="AX125" s="2123"/>
      <c r="AY125" s="2123"/>
      <c r="AZ125" s="2123"/>
      <c r="BA125" s="2123"/>
      <c r="BB125" s="2123"/>
      <c r="BC125" s="2123"/>
      <c r="BD125" s="2124"/>
      <c r="BE125" s="1195"/>
    </row>
    <row r="126" spans="1:57" ht="15.75" customHeight="1">
      <c r="A126" s="1191"/>
      <c r="B126" s="2128" t="s">
        <v>1575</v>
      </c>
      <c r="C126" s="2129"/>
      <c r="D126" s="2129"/>
      <c r="E126" s="2129"/>
      <c r="F126" s="2129"/>
      <c r="G126" s="2129"/>
      <c r="H126" s="2129"/>
      <c r="I126" s="2129"/>
      <c r="J126" s="2129"/>
      <c r="K126" s="2129"/>
      <c r="L126" s="2129"/>
      <c r="M126" s="2129"/>
      <c r="N126" s="2129"/>
      <c r="O126" s="2129"/>
      <c r="P126" s="2129"/>
      <c r="Q126" s="2129"/>
      <c r="R126" s="2129"/>
      <c r="S126" s="2129"/>
      <c r="T126" s="2129"/>
      <c r="U126" s="2130"/>
      <c r="V126" s="1191"/>
      <c r="W126" s="1191"/>
      <c r="X126" s="2125"/>
      <c r="Y126" s="2126"/>
      <c r="Z126" s="2126"/>
      <c r="AA126" s="2126"/>
      <c r="AB126" s="2126"/>
      <c r="AC126" s="2126"/>
      <c r="AD126" s="2126"/>
      <c r="AE126" s="2126"/>
      <c r="AF126" s="2126"/>
      <c r="AG126" s="2126"/>
      <c r="AH126" s="2126"/>
      <c r="AI126" s="2126"/>
      <c r="AJ126" s="2126"/>
      <c r="AK126" s="2126"/>
      <c r="AL126" s="2126"/>
      <c r="AM126" s="2126"/>
      <c r="AN126" s="2126"/>
      <c r="AO126" s="2126"/>
      <c r="AP126" s="2126"/>
      <c r="AQ126" s="2126"/>
      <c r="AR126" s="2126"/>
      <c r="AS126" s="2126"/>
      <c r="AT126" s="2126"/>
      <c r="AU126" s="2126"/>
      <c r="AV126" s="2126"/>
      <c r="AW126" s="2126"/>
      <c r="AX126" s="2126"/>
      <c r="AY126" s="2126"/>
      <c r="AZ126" s="2126"/>
      <c r="BA126" s="2126"/>
      <c r="BB126" s="2126"/>
      <c r="BC126" s="2126"/>
      <c r="BD126" s="2127"/>
      <c r="BE126" s="1195"/>
    </row>
    <row r="127" spans="1:57" ht="15.75" customHeight="1">
      <c r="A127" s="1191"/>
      <c r="B127" s="2038"/>
      <c r="C127" s="2039"/>
      <c r="D127" s="2039"/>
      <c r="E127" s="2039"/>
      <c r="F127" s="2039"/>
      <c r="G127" s="2039"/>
      <c r="H127" s="2039"/>
      <c r="I127" s="2101" t="s">
        <v>2364</v>
      </c>
      <c r="J127" s="2101"/>
      <c r="K127" s="2101"/>
      <c r="L127" s="2101"/>
      <c r="M127" s="2101"/>
      <c r="N127" s="2101"/>
      <c r="O127" s="2102" t="s">
        <v>2363</v>
      </c>
      <c r="P127" s="2102"/>
      <c r="Q127" s="2102"/>
      <c r="R127" s="2102"/>
      <c r="S127" s="2102"/>
      <c r="T127" s="2102"/>
      <c r="U127" s="2103"/>
      <c r="V127" s="1191"/>
      <c r="W127" s="1191"/>
      <c r="X127" s="2041" t="s">
        <v>2333</v>
      </c>
      <c r="Y127" s="2042"/>
      <c r="Z127" s="2042"/>
      <c r="AA127" s="2042"/>
      <c r="AB127" s="2042"/>
      <c r="AC127" s="2042"/>
      <c r="AD127" s="2042"/>
      <c r="AE127" s="2042"/>
      <c r="AF127" s="2042"/>
      <c r="AG127" s="2042"/>
      <c r="AH127" s="2042"/>
      <c r="AI127" s="2042"/>
      <c r="AJ127" s="2042"/>
      <c r="AK127" s="2042"/>
      <c r="AL127" s="2042"/>
      <c r="AM127" s="2042"/>
      <c r="AN127" s="2042"/>
      <c r="AO127" s="2042"/>
      <c r="AP127" s="2042"/>
      <c r="AQ127" s="2042"/>
      <c r="AR127" s="2042"/>
      <c r="AS127" s="2042"/>
      <c r="AT127" s="2042"/>
      <c r="AU127" s="2042"/>
      <c r="AV127" s="2042"/>
      <c r="AW127" s="2042"/>
      <c r="AX127" s="2042"/>
      <c r="AY127" s="2042"/>
      <c r="AZ127" s="2042"/>
      <c r="BA127" s="2042"/>
      <c r="BB127" s="2042"/>
      <c r="BC127" s="2042"/>
      <c r="BD127" s="2043"/>
      <c r="BE127" s="1195"/>
    </row>
    <row r="128" spans="1:57" ht="15.75" customHeight="1">
      <c r="A128" s="1191"/>
      <c r="B128" s="2072" t="s">
        <v>2347</v>
      </c>
      <c r="C128" s="2073"/>
      <c r="D128" s="2073"/>
      <c r="E128" s="2073"/>
      <c r="F128" s="2073"/>
      <c r="G128" s="2073"/>
      <c r="H128" s="2073"/>
      <c r="I128" s="2074">
        <v>0</v>
      </c>
      <c r="J128" s="2074"/>
      <c r="K128" s="2074"/>
      <c r="L128" s="2074"/>
      <c r="M128" s="2074"/>
      <c r="N128" s="2074"/>
      <c r="O128" s="2074">
        <v>0</v>
      </c>
      <c r="P128" s="2074"/>
      <c r="Q128" s="2074"/>
      <c r="R128" s="2074"/>
      <c r="S128" s="2074"/>
      <c r="T128" s="2074"/>
      <c r="U128" s="2075"/>
      <c r="V128" s="1191"/>
      <c r="W128" s="1191"/>
      <c r="X128" s="2041"/>
      <c r="Y128" s="2042"/>
      <c r="Z128" s="2042"/>
      <c r="AA128" s="2042"/>
      <c r="AB128" s="2042"/>
      <c r="AC128" s="2042"/>
      <c r="AD128" s="2042"/>
      <c r="AE128" s="2042"/>
      <c r="AF128" s="2042"/>
      <c r="AG128" s="2042"/>
      <c r="AH128" s="2042"/>
      <c r="AI128" s="2042"/>
      <c r="AJ128" s="2042"/>
      <c r="AK128" s="2042"/>
      <c r="AL128" s="2042"/>
      <c r="AM128" s="2042"/>
      <c r="AN128" s="2042"/>
      <c r="AO128" s="2042"/>
      <c r="AP128" s="2042"/>
      <c r="AQ128" s="2042"/>
      <c r="AR128" s="2042"/>
      <c r="AS128" s="2042"/>
      <c r="AT128" s="2042"/>
      <c r="AU128" s="2042"/>
      <c r="AV128" s="2042"/>
      <c r="AW128" s="2042"/>
      <c r="AX128" s="2042"/>
      <c r="AY128" s="2042"/>
      <c r="AZ128" s="2042"/>
      <c r="BA128" s="2042"/>
      <c r="BB128" s="2042"/>
      <c r="BC128" s="2042"/>
      <c r="BD128" s="2043"/>
      <c r="BE128" s="1195"/>
    </row>
    <row r="129" spans="1:57" ht="15.75" customHeight="1" thickBot="1">
      <c r="A129" s="1191"/>
      <c r="B129" s="2066" t="s">
        <v>2346</v>
      </c>
      <c r="C129" s="2067"/>
      <c r="D129" s="2067"/>
      <c r="E129" s="2067"/>
      <c r="F129" s="2067"/>
      <c r="G129" s="2067"/>
      <c r="H129" s="2067"/>
      <c r="I129" s="2068">
        <v>0</v>
      </c>
      <c r="J129" s="2068"/>
      <c r="K129" s="2068"/>
      <c r="L129" s="2068"/>
      <c r="M129" s="2068"/>
      <c r="N129" s="2068"/>
      <c r="O129" s="2104"/>
      <c r="P129" s="2104"/>
      <c r="Q129" s="2104"/>
      <c r="R129" s="2104"/>
      <c r="S129" s="2104"/>
      <c r="T129" s="2104"/>
      <c r="U129" s="2105"/>
      <c r="V129" s="1191"/>
      <c r="W129" s="1191"/>
      <c r="X129" s="2041"/>
      <c r="Y129" s="2042"/>
      <c r="Z129" s="2042"/>
      <c r="AA129" s="2042"/>
      <c r="AB129" s="2042"/>
      <c r="AC129" s="2042"/>
      <c r="AD129" s="2042"/>
      <c r="AE129" s="2042"/>
      <c r="AF129" s="2042"/>
      <c r="AG129" s="2042"/>
      <c r="AH129" s="2042"/>
      <c r="AI129" s="2042"/>
      <c r="AJ129" s="2042"/>
      <c r="AK129" s="2042"/>
      <c r="AL129" s="2042"/>
      <c r="AM129" s="2042"/>
      <c r="AN129" s="2042"/>
      <c r="AO129" s="2042"/>
      <c r="AP129" s="2042"/>
      <c r="AQ129" s="2042"/>
      <c r="AR129" s="2042"/>
      <c r="AS129" s="2042"/>
      <c r="AT129" s="2042"/>
      <c r="AU129" s="2042"/>
      <c r="AV129" s="2042"/>
      <c r="AW129" s="2042"/>
      <c r="AX129" s="2042"/>
      <c r="AY129" s="2042"/>
      <c r="AZ129" s="2042"/>
      <c r="BA129" s="2042"/>
      <c r="BB129" s="2042"/>
      <c r="BC129" s="2042"/>
      <c r="BD129" s="2043"/>
      <c r="BE129" s="1195"/>
    </row>
    <row r="130" spans="1:57" ht="15.75" customHeight="1" thickBot="1">
      <c r="A130" s="1191"/>
      <c r="B130" s="1191"/>
      <c r="C130" s="1191"/>
      <c r="D130" s="1191"/>
      <c r="E130" s="1191"/>
      <c r="F130" s="1191"/>
      <c r="G130" s="1191"/>
      <c r="H130" s="1191"/>
      <c r="I130" s="1191"/>
      <c r="J130" s="1191"/>
      <c r="K130" s="1191"/>
      <c r="L130" s="1191"/>
      <c r="M130" s="1191"/>
      <c r="N130" s="1191"/>
      <c r="O130" s="1191"/>
      <c r="P130" s="1191"/>
      <c r="Q130" s="1191"/>
      <c r="R130" s="1191"/>
      <c r="S130" s="1191"/>
      <c r="T130" s="1191"/>
      <c r="U130" s="1191"/>
      <c r="V130" s="1191"/>
      <c r="W130" s="1191"/>
      <c r="X130" s="2041"/>
      <c r="Y130" s="2042"/>
      <c r="Z130" s="2042"/>
      <c r="AA130" s="2042"/>
      <c r="AB130" s="2042"/>
      <c r="AC130" s="2042"/>
      <c r="AD130" s="2042"/>
      <c r="AE130" s="2042"/>
      <c r="AF130" s="2042"/>
      <c r="AG130" s="2042"/>
      <c r="AH130" s="2042"/>
      <c r="AI130" s="2042"/>
      <c r="AJ130" s="2042"/>
      <c r="AK130" s="2042"/>
      <c r="AL130" s="2042"/>
      <c r="AM130" s="2042"/>
      <c r="AN130" s="2042"/>
      <c r="AO130" s="2042"/>
      <c r="AP130" s="2042"/>
      <c r="AQ130" s="2042"/>
      <c r="AR130" s="2042"/>
      <c r="AS130" s="2042"/>
      <c r="AT130" s="2042"/>
      <c r="AU130" s="2042"/>
      <c r="AV130" s="2042"/>
      <c r="AW130" s="2042"/>
      <c r="AX130" s="2042"/>
      <c r="AY130" s="2042"/>
      <c r="AZ130" s="2042"/>
      <c r="BA130" s="2042"/>
      <c r="BB130" s="2042"/>
      <c r="BC130" s="2042"/>
      <c r="BD130" s="2043"/>
      <c r="BE130" s="1195"/>
    </row>
    <row r="131" spans="1:57" ht="15.75" customHeight="1" thickBot="1">
      <c r="A131" s="1191"/>
      <c r="B131" s="1210" t="s">
        <v>2362</v>
      </c>
      <c r="C131" s="1211"/>
      <c r="D131" s="1211"/>
      <c r="E131" s="1211"/>
      <c r="F131" s="1211"/>
      <c r="G131" s="1211"/>
      <c r="H131" s="1211"/>
      <c r="I131" s="1211"/>
      <c r="J131" s="1211"/>
      <c r="K131" s="1211"/>
      <c r="L131" s="1211"/>
      <c r="M131" s="1211"/>
      <c r="N131" s="1211"/>
      <c r="O131" s="1211"/>
      <c r="P131" s="1212"/>
      <c r="Q131" s="1196" t="s">
        <v>249</v>
      </c>
      <c r="R131" s="1196" t="s">
        <v>249</v>
      </c>
      <c r="S131" s="1191"/>
      <c r="T131" s="1191"/>
      <c r="U131" s="1191"/>
      <c r="V131" s="1191" t="s">
        <v>249</v>
      </c>
      <c r="W131" s="1191"/>
      <c r="X131" s="2041"/>
      <c r="Y131" s="2042"/>
      <c r="Z131" s="2042"/>
      <c r="AA131" s="2042"/>
      <c r="AB131" s="2042"/>
      <c r="AC131" s="2042"/>
      <c r="AD131" s="2042"/>
      <c r="AE131" s="2042"/>
      <c r="AF131" s="2042"/>
      <c r="AG131" s="2042"/>
      <c r="AH131" s="2042"/>
      <c r="AI131" s="2042"/>
      <c r="AJ131" s="2042"/>
      <c r="AK131" s="2042"/>
      <c r="AL131" s="2042"/>
      <c r="AM131" s="2042"/>
      <c r="AN131" s="2042"/>
      <c r="AO131" s="2042"/>
      <c r="AP131" s="2042"/>
      <c r="AQ131" s="2042"/>
      <c r="AR131" s="2042"/>
      <c r="AS131" s="2042"/>
      <c r="AT131" s="2042"/>
      <c r="AU131" s="2042"/>
      <c r="AV131" s="2042"/>
      <c r="AW131" s="2042"/>
      <c r="AX131" s="2042"/>
      <c r="AY131" s="2042"/>
      <c r="AZ131" s="2042"/>
      <c r="BA131" s="2042"/>
      <c r="BB131" s="2042"/>
      <c r="BC131" s="2042"/>
      <c r="BD131" s="2043"/>
      <c r="BE131" s="1195"/>
    </row>
    <row r="132" spans="1:57" ht="15.75" customHeight="1" thickBot="1">
      <c r="A132" s="1191"/>
      <c r="B132" s="1191"/>
      <c r="C132" s="1191"/>
      <c r="D132" s="1191"/>
      <c r="E132" s="1191"/>
      <c r="F132" s="1191"/>
      <c r="G132" s="1191"/>
      <c r="H132" s="1191"/>
      <c r="I132" s="1191"/>
      <c r="J132" s="1191"/>
      <c r="K132" s="1191"/>
      <c r="L132" s="1191"/>
      <c r="M132" s="1191"/>
      <c r="N132" s="1191"/>
      <c r="O132" s="1191"/>
      <c r="P132" s="1191"/>
      <c r="Q132" s="1191"/>
      <c r="R132" s="1191"/>
      <c r="S132" s="1191"/>
      <c r="T132" s="1191"/>
      <c r="U132" s="1191"/>
      <c r="V132" s="1191"/>
      <c r="W132" s="1191"/>
      <c r="X132" s="2041"/>
      <c r="Y132" s="2042"/>
      <c r="Z132" s="2042"/>
      <c r="AA132" s="2042"/>
      <c r="AB132" s="2042"/>
      <c r="AC132" s="2042"/>
      <c r="AD132" s="2042"/>
      <c r="AE132" s="2042"/>
      <c r="AF132" s="2042"/>
      <c r="AG132" s="2042"/>
      <c r="AH132" s="2042"/>
      <c r="AI132" s="2042"/>
      <c r="AJ132" s="2042"/>
      <c r="AK132" s="2042"/>
      <c r="AL132" s="2042"/>
      <c r="AM132" s="2042"/>
      <c r="AN132" s="2042"/>
      <c r="AO132" s="2042"/>
      <c r="AP132" s="2042"/>
      <c r="AQ132" s="2042"/>
      <c r="AR132" s="2042"/>
      <c r="AS132" s="2042"/>
      <c r="AT132" s="2042"/>
      <c r="AU132" s="2042"/>
      <c r="AV132" s="2042"/>
      <c r="AW132" s="2042"/>
      <c r="AX132" s="2042"/>
      <c r="AY132" s="2042"/>
      <c r="AZ132" s="2042"/>
      <c r="BA132" s="2042"/>
      <c r="BB132" s="2042"/>
      <c r="BC132" s="2042"/>
      <c r="BD132" s="2043"/>
      <c r="BE132" s="1195"/>
    </row>
    <row r="133" spans="1:57" ht="15.75" customHeight="1">
      <c r="A133" s="1191"/>
      <c r="B133" s="2098" t="s">
        <v>2361</v>
      </c>
      <c r="C133" s="2099"/>
      <c r="D133" s="2099"/>
      <c r="E133" s="2099"/>
      <c r="F133" s="2099"/>
      <c r="G133" s="2099"/>
      <c r="H133" s="2099"/>
      <c r="I133" s="2099"/>
      <c r="J133" s="2099"/>
      <c r="K133" s="2099"/>
      <c r="L133" s="2099"/>
      <c r="M133" s="2099"/>
      <c r="N133" s="2099"/>
      <c r="O133" s="2099"/>
      <c r="P133" s="2099"/>
      <c r="Q133" s="2099"/>
      <c r="R133" s="2099"/>
      <c r="S133" s="2099"/>
      <c r="T133" s="2099"/>
      <c r="U133" s="2100"/>
      <c r="V133" s="1191"/>
      <c r="W133" s="1191"/>
      <c r="X133" s="2041"/>
      <c r="Y133" s="2042"/>
      <c r="Z133" s="2042"/>
      <c r="AA133" s="2042"/>
      <c r="AB133" s="2042"/>
      <c r="AC133" s="2042"/>
      <c r="AD133" s="2042"/>
      <c r="AE133" s="2042"/>
      <c r="AF133" s="2042"/>
      <c r="AG133" s="2042"/>
      <c r="AH133" s="2042"/>
      <c r="AI133" s="2042"/>
      <c r="AJ133" s="2042"/>
      <c r="AK133" s="2042"/>
      <c r="AL133" s="2042"/>
      <c r="AM133" s="2042"/>
      <c r="AN133" s="2042"/>
      <c r="AO133" s="2042"/>
      <c r="AP133" s="2042"/>
      <c r="AQ133" s="2042"/>
      <c r="AR133" s="2042"/>
      <c r="AS133" s="2042"/>
      <c r="AT133" s="2042"/>
      <c r="AU133" s="2042"/>
      <c r="AV133" s="2042"/>
      <c r="AW133" s="2042"/>
      <c r="AX133" s="2042"/>
      <c r="AY133" s="2042"/>
      <c r="AZ133" s="2042"/>
      <c r="BA133" s="2042"/>
      <c r="BB133" s="2042"/>
      <c r="BC133" s="2042"/>
      <c r="BD133" s="2043"/>
      <c r="BE133" s="1195"/>
    </row>
    <row r="134" spans="1:57" ht="15.75" customHeight="1">
      <c r="A134" s="1191"/>
      <c r="B134" s="2038"/>
      <c r="C134" s="2039"/>
      <c r="D134" s="2039"/>
      <c r="E134" s="2039"/>
      <c r="F134" s="2039"/>
      <c r="G134" s="2039"/>
      <c r="H134" s="2039"/>
      <c r="I134" s="2076" t="s">
        <v>2349</v>
      </c>
      <c r="J134" s="2076"/>
      <c r="K134" s="2076"/>
      <c r="L134" s="2076"/>
      <c r="M134" s="2076"/>
      <c r="N134" s="2076"/>
      <c r="O134" s="2076"/>
      <c r="P134" s="2076" t="s">
        <v>2348</v>
      </c>
      <c r="Q134" s="2076"/>
      <c r="R134" s="2076"/>
      <c r="S134" s="2076"/>
      <c r="T134" s="2076"/>
      <c r="U134" s="2077"/>
      <c r="V134" s="1191"/>
      <c r="W134" s="1191"/>
      <c r="X134" s="2041"/>
      <c r="Y134" s="2042"/>
      <c r="Z134" s="2042"/>
      <c r="AA134" s="2042"/>
      <c r="AB134" s="2042"/>
      <c r="AC134" s="2042"/>
      <c r="AD134" s="2042"/>
      <c r="AE134" s="2042"/>
      <c r="AF134" s="2042"/>
      <c r="AG134" s="2042"/>
      <c r="AH134" s="2042"/>
      <c r="AI134" s="2042"/>
      <c r="AJ134" s="2042"/>
      <c r="AK134" s="2042"/>
      <c r="AL134" s="2042"/>
      <c r="AM134" s="2042"/>
      <c r="AN134" s="2042"/>
      <c r="AO134" s="2042"/>
      <c r="AP134" s="2042"/>
      <c r="AQ134" s="2042"/>
      <c r="AR134" s="2042"/>
      <c r="AS134" s="2042"/>
      <c r="AT134" s="2042"/>
      <c r="AU134" s="2042"/>
      <c r="AV134" s="2042"/>
      <c r="AW134" s="2042"/>
      <c r="AX134" s="2042"/>
      <c r="AY134" s="2042"/>
      <c r="AZ134" s="2042"/>
      <c r="BA134" s="2042"/>
      <c r="BB134" s="2042"/>
      <c r="BC134" s="2042"/>
      <c r="BD134" s="2043"/>
      <c r="BE134" s="1195"/>
    </row>
    <row r="135" spans="1:57" ht="15.75" customHeight="1">
      <c r="A135" s="1191"/>
      <c r="B135" s="2038"/>
      <c r="C135" s="2039"/>
      <c r="D135" s="2039"/>
      <c r="E135" s="2039"/>
      <c r="F135" s="2039"/>
      <c r="G135" s="2039"/>
      <c r="H135" s="2039"/>
      <c r="I135" s="2076"/>
      <c r="J135" s="2076"/>
      <c r="K135" s="2076"/>
      <c r="L135" s="2076"/>
      <c r="M135" s="2076"/>
      <c r="N135" s="2076"/>
      <c r="O135" s="2076"/>
      <c r="P135" s="2076"/>
      <c r="Q135" s="2076"/>
      <c r="R135" s="2076"/>
      <c r="S135" s="2076"/>
      <c r="T135" s="2076"/>
      <c r="U135" s="2077"/>
      <c r="V135" s="1191"/>
      <c r="W135" s="1191"/>
      <c r="X135" s="2041"/>
      <c r="Y135" s="2042"/>
      <c r="Z135" s="2042"/>
      <c r="AA135" s="2042"/>
      <c r="AB135" s="2042"/>
      <c r="AC135" s="2042"/>
      <c r="AD135" s="2042"/>
      <c r="AE135" s="2042"/>
      <c r="AF135" s="2042"/>
      <c r="AG135" s="2042"/>
      <c r="AH135" s="2042"/>
      <c r="AI135" s="2042"/>
      <c r="AJ135" s="2042"/>
      <c r="AK135" s="2042"/>
      <c r="AL135" s="2042"/>
      <c r="AM135" s="2042"/>
      <c r="AN135" s="2042"/>
      <c r="AO135" s="2042"/>
      <c r="AP135" s="2042"/>
      <c r="AQ135" s="2042"/>
      <c r="AR135" s="2042"/>
      <c r="AS135" s="2042"/>
      <c r="AT135" s="2042"/>
      <c r="AU135" s="2042"/>
      <c r="AV135" s="2042"/>
      <c r="AW135" s="2042"/>
      <c r="AX135" s="2042"/>
      <c r="AY135" s="2042"/>
      <c r="AZ135" s="2042"/>
      <c r="BA135" s="2042"/>
      <c r="BB135" s="2042"/>
      <c r="BC135" s="2042"/>
      <c r="BD135" s="2043"/>
      <c r="BE135" s="1195"/>
    </row>
    <row r="136" spans="1:57" ht="15.75" customHeight="1">
      <c r="A136" s="1191"/>
      <c r="B136" s="2072" t="s">
        <v>2347</v>
      </c>
      <c r="C136" s="2073"/>
      <c r="D136" s="2073"/>
      <c r="E136" s="2073"/>
      <c r="F136" s="2073"/>
      <c r="G136" s="2073"/>
      <c r="H136" s="2073"/>
      <c r="I136" s="2074">
        <v>0</v>
      </c>
      <c r="J136" s="2074"/>
      <c r="K136" s="2074"/>
      <c r="L136" s="2074"/>
      <c r="M136" s="2074"/>
      <c r="N136" s="2074"/>
      <c r="O136" s="2074"/>
      <c r="P136" s="2074">
        <v>0</v>
      </c>
      <c r="Q136" s="2074"/>
      <c r="R136" s="2074"/>
      <c r="S136" s="2074"/>
      <c r="T136" s="2074"/>
      <c r="U136" s="2075"/>
      <c r="V136" s="1191"/>
      <c r="W136" s="1191"/>
      <c r="X136" s="2041"/>
      <c r="Y136" s="2042"/>
      <c r="Z136" s="2042"/>
      <c r="AA136" s="2042"/>
      <c r="AB136" s="2042"/>
      <c r="AC136" s="2042"/>
      <c r="AD136" s="2042"/>
      <c r="AE136" s="2042"/>
      <c r="AF136" s="2042"/>
      <c r="AG136" s="2042"/>
      <c r="AH136" s="2042"/>
      <c r="AI136" s="2042"/>
      <c r="AJ136" s="2042"/>
      <c r="AK136" s="2042"/>
      <c r="AL136" s="2042"/>
      <c r="AM136" s="2042"/>
      <c r="AN136" s="2042"/>
      <c r="AO136" s="2042"/>
      <c r="AP136" s="2042"/>
      <c r="AQ136" s="2042"/>
      <c r="AR136" s="2042"/>
      <c r="AS136" s="2042"/>
      <c r="AT136" s="2042"/>
      <c r="AU136" s="2042"/>
      <c r="AV136" s="2042"/>
      <c r="AW136" s="2042"/>
      <c r="AX136" s="2042"/>
      <c r="AY136" s="2042"/>
      <c r="AZ136" s="2042"/>
      <c r="BA136" s="2042"/>
      <c r="BB136" s="2042"/>
      <c r="BC136" s="2042"/>
      <c r="BD136" s="2043"/>
      <c r="BE136" s="1195"/>
    </row>
    <row r="137" spans="1:57" ht="15.75" customHeight="1" thickBot="1">
      <c r="A137" s="1191"/>
      <c r="B137" s="2066" t="s">
        <v>2346</v>
      </c>
      <c r="C137" s="2067"/>
      <c r="D137" s="2067"/>
      <c r="E137" s="2067"/>
      <c r="F137" s="2067"/>
      <c r="G137" s="2067"/>
      <c r="H137" s="2067"/>
      <c r="I137" s="2068">
        <v>0</v>
      </c>
      <c r="J137" s="2068"/>
      <c r="K137" s="2068"/>
      <c r="L137" s="2068"/>
      <c r="M137" s="2068"/>
      <c r="N137" s="2068"/>
      <c r="O137" s="2068"/>
      <c r="P137" s="2068">
        <v>0</v>
      </c>
      <c r="Q137" s="2068"/>
      <c r="R137" s="2068"/>
      <c r="S137" s="2068"/>
      <c r="T137" s="2068"/>
      <c r="U137" s="2069"/>
      <c r="V137" s="1191"/>
      <c r="W137" s="1191"/>
      <c r="X137" s="2044"/>
      <c r="Y137" s="2045"/>
      <c r="Z137" s="2045"/>
      <c r="AA137" s="2045"/>
      <c r="AB137" s="2045"/>
      <c r="AC137" s="2045"/>
      <c r="AD137" s="2045"/>
      <c r="AE137" s="2045"/>
      <c r="AF137" s="2045"/>
      <c r="AG137" s="2045"/>
      <c r="AH137" s="2045"/>
      <c r="AI137" s="2045"/>
      <c r="AJ137" s="2045"/>
      <c r="AK137" s="2045"/>
      <c r="AL137" s="2045"/>
      <c r="AM137" s="2045"/>
      <c r="AN137" s="2045"/>
      <c r="AO137" s="2045"/>
      <c r="AP137" s="2045"/>
      <c r="AQ137" s="2045"/>
      <c r="AR137" s="2045"/>
      <c r="AS137" s="2045"/>
      <c r="AT137" s="2045"/>
      <c r="AU137" s="2045"/>
      <c r="AV137" s="2045"/>
      <c r="AW137" s="2045"/>
      <c r="AX137" s="2045"/>
      <c r="AY137" s="2045"/>
      <c r="AZ137" s="2045"/>
      <c r="BA137" s="2045"/>
      <c r="BB137" s="2045"/>
      <c r="BC137" s="2045"/>
      <c r="BD137" s="2046"/>
      <c r="BE137" s="1195"/>
    </row>
    <row r="138" spans="1:57" ht="15.75" customHeight="1" thickBot="1">
      <c r="A138" s="1191"/>
      <c r="B138" s="1191"/>
      <c r="C138" s="1191"/>
      <c r="D138" s="1191"/>
      <c r="E138" s="1191"/>
      <c r="F138" s="1191"/>
      <c r="G138" s="1191"/>
      <c r="H138" s="1191"/>
      <c r="I138" s="1191"/>
      <c r="J138" s="1191"/>
      <c r="K138" s="1191"/>
      <c r="L138" s="1191"/>
      <c r="M138" s="1191"/>
      <c r="N138" s="1191"/>
      <c r="O138" s="1191"/>
      <c r="P138" s="1191"/>
      <c r="Q138" s="1228"/>
      <c r="R138" s="1191"/>
      <c r="S138" s="1191"/>
      <c r="T138" s="1191"/>
      <c r="U138" s="1191"/>
      <c r="V138" s="1191"/>
      <c r="W138" s="1191"/>
      <c r="X138" s="1191"/>
      <c r="Y138" s="1191"/>
      <c r="Z138" s="1191"/>
      <c r="AA138" s="1191"/>
      <c r="AB138" s="1191"/>
      <c r="AC138" s="1191"/>
      <c r="AD138" s="1191"/>
      <c r="AE138" s="1191"/>
      <c r="AF138" s="1191"/>
      <c r="AG138" s="1191"/>
      <c r="AH138" s="1191"/>
      <c r="AI138" s="1191"/>
      <c r="AJ138" s="1191"/>
      <c r="AK138" s="1191"/>
      <c r="AL138" s="1191"/>
      <c r="AM138" s="1191"/>
      <c r="AN138" s="1191"/>
      <c r="AO138" s="1191"/>
      <c r="AP138" s="1191"/>
      <c r="AQ138" s="1191"/>
      <c r="AR138" s="1191"/>
      <c r="AS138" s="1191"/>
      <c r="AT138" s="1191"/>
      <c r="AU138" s="1191"/>
      <c r="AV138" s="1191"/>
      <c r="AW138" s="1191"/>
      <c r="AX138" s="1191"/>
      <c r="AY138" s="1191"/>
      <c r="AZ138" s="1191"/>
      <c r="BA138" s="1191"/>
      <c r="BB138" s="1191"/>
      <c r="BC138" s="1191"/>
      <c r="BD138" s="1191"/>
      <c r="BE138" s="1195"/>
    </row>
    <row r="139" spans="1:57" ht="15.75" customHeight="1">
      <c r="A139" s="1191"/>
      <c r="B139" s="2093" t="s">
        <v>2360</v>
      </c>
      <c r="C139" s="2094"/>
      <c r="D139" s="2094"/>
      <c r="E139" s="2094"/>
      <c r="F139" s="2094"/>
      <c r="G139" s="2094"/>
      <c r="H139" s="2094"/>
      <c r="I139" s="2094"/>
      <c r="J139" s="2094"/>
      <c r="K139" s="2094"/>
      <c r="L139" s="2094"/>
      <c r="M139" s="2094"/>
      <c r="N139" s="2094"/>
      <c r="O139" s="2094"/>
      <c r="P139" s="2094"/>
      <c r="Q139" s="2094"/>
      <c r="R139" s="2094"/>
      <c r="S139" s="2094"/>
      <c r="T139" s="2094"/>
      <c r="U139" s="2094"/>
      <c r="V139" s="2094"/>
      <c r="W139" s="2094"/>
      <c r="X139" s="2094"/>
      <c r="Y139" s="2094"/>
      <c r="Z139" s="2094"/>
      <c r="AA139" s="2094"/>
      <c r="AB139" s="2094"/>
      <c r="AC139" s="2094"/>
      <c r="AD139" s="2094"/>
      <c r="AE139" s="2094"/>
      <c r="AF139" s="2094"/>
      <c r="AG139" s="2094"/>
      <c r="AH139" s="2081" t="s">
        <v>545</v>
      </c>
      <c r="AI139" s="2081"/>
      <c r="AJ139" s="2081"/>
      <c r="AK139" s="2081"/>
      <c r="AL139" s="2081"/>
      <c r="AM139" s="2081"/>
      <c r="AN139" s="2081"/>
      <c r="AO139" s="2081"/>
      <c r="AP139" s="2081"/>
      <c r="AQ139" s="2081"/>
      <c r="AR139" s="2081"/>
      <c r="AS139" s="2081"/>
      <c r="AT139" s="2081"/>
      <c r="AU139" s="2081"/>
      <c r="AV139" s="2081"/>
      <c r="AW139" s="2081"/>
      <c r="AX139" s="2082"/>
      <c r="AY139" s="1191"/>
      <c r="AZ139" s="1191"/>
      <c r="BA139" s="1191"/>
      <c r="BB139" s="1191"/>
      <c r="BC139" s="1191"/>
      <c r="BD139" s="1191"/>
      <c r="BE139" s="1195"/>
    </row>
    <row r="140" spans="1:57" ht="15.75" customHeight="1" thickBot="1">
      <c r="A140" s="1191"/>
      <c r="B140" s="2078" t="s">
        <v>2359</v>
      </c>
      <c r="C140" s="2079"/>
      <c r="D140" s="2079"/>
      <c r="E140" s="2079"/>
      <c r="F140" s="2079"/>
      <c r="G140" s="2079"/>
      <c r="H140" s="2079"/>
      <c r="I140" s="2079"/>
      <c r="J140" s="2079"/>
      <c r="K140" s="2079"/>
      <c r="L140" s="2079"/>
      <c r="M140" s="2079"/>
      <c r="N140" s="2079"/>
      <c r="O140" s="2079"/>
      <c r="P140" s="2079"/>
      <c r="Q140" s="2079"/>
      <c r="R140" s="2079"/>
      <c r="S140" s="2079"/>
      <c r="T140" s="2079"/>
      <c r="U140" s="2079"/>
      <c r="V140" s="2079"/>
      <c r="W140" s="2079"/>
      <c r="X140" s="2079"/>
      <c r="Y140" s="2079"/>
      <c r="Z140" s="2079"/>
      <c r="AA140" s="2079"/>
      <c r="AB140" s="2079"/>
      <c r="AC140" s="2079"/>
      <c r="AD140" s="2079"/>
      <c r="AE140" s="2079"/>
      <c r="AF140" s="2079"/>
      <c r="AG140" s="2080"/>
      <c r="AH140" s="2095"/>
      <c r="AI140" s="2096"/>
      <c r="AJ140" s="2096"/>
      <c r="AK140" s="2096"/>
      <c r="AL140" s="2096"/>
      <c r="AM140" s="2096"/>
      <c r="AN140" s="2096"/>
      <c r="AO140" s="2096"/>
      <c r="AP140" s="2096"/>
      <c r="AQ140" s="2096"/>
      <c r="AR140" s="2096"/>
      <c r="AS140" s="2096"/>
      <c r="AT140" s="2096"/>
      <c r="AU140" s="2096"/>
      <c r="AV140" s="2096"/>
      <c r="AW140" s="2096"/>
      <c r="AX140" s="2097"/>
      <c r="AY140" s="1191"/>
      <c r="AZ140" s="1191"/>
      <c r="BA140" s="1191"/>
      <c r="BB140" s="1191"/>
      <c r="BC140" s="1191"/>
      <c r="BD140" s="1191"/>
      <c r="BE140" s="1195"/>
    </row>
    <row r="141" spans="1:57" ht="15.75" customHeight="1">
      <c r="A141" s="1191"/>
      <c r="B141" s="2078" t="s">
        <v>2358</v>
      </c>
      <c r="C141" s="2079"/>
      <c r="D141" s="2079"/>
      <c r="E141" s="2079"/>
      <c r="F141" s="2079"/>
      <c r="G141" s="2079"/>
      <c r="H141" s="2079"/>
      <c r="I141" s="2079"/>
      <c r="J141" s="2079"/>
      <c r="K141" s="2079"/>
      <c r="L141" s="2079"/>
      <c r="M141" s="2079"/>
      <c r="N141" s="2079"/>
      <c r="O141" s="2079"/>
      <c r="P141" s="2079"/>
      <c r="Q141" s="2079"/>
      <c r="R141" s="2079"/>
      <c r="S141" s="2079"/>
      <c r="T141" s="2079"/>
      <c r="U141" s="2079"/>
      <c r="V141" s="2079"/>
      <c r="W141" s="2079"/>
      <c r="X141" s="2079"/>
      <c r="Y141" s="2079"/>
      <c r="Z141" s="2079"/>
      <c r="AA141" s="2079"/>
      <c r="AB141" s="2079"/>
      <c r="AC141" s="2079"/>
      <c r="AD141" s="2079"/>
      <c r="AE141" s="2079"/>
      <c r="AF141" s="2079"/>
      <c r="AG141" s="2080"/>
      <c r="AH141" s="2081" t="s">
        <v>545</v>
      </c>
      <c r="AI141" s="2081"/>
      <c r="AJ141" s="2081"/>
      <c r="AK141" s="2081"/>
      <c r="AL141" s="2081"/>
      <c r="AM141" s="2081"/>
      <c r="AN141" s="2081"/>
      <c r="AO141" s="2081"/>
      <c r="AP141" s="2081"/>
      <c r="AQ141" s="2081"/>
      <c r="AR141" s="2081"/>
      <c r="AS141" s="2081"/>
      <c r="AT141" s="2081"/>
      <c r="AU141" s="2081"/>
      <c r="AV141" s="2081"/>
      <c r="AW141" s="2081"/>
      <c r="AX141" s="2082"/>
      <c r="AY141" s="1191"/>
      <c r="AZ141" s="1191"/>
      <c r="BA141" s="1191"/>
      <c r="BB141" s="1191"/>
      <c r="BC141" s="1191"/>
      <c r="BD141" s="1191"/>
      <c r="BE141" s="1195"/>
    </row>
    <row r="142" spans="1:57" ht="15.75" customHeight="1">
      <c r="A142" s="1191"/>
      <c r="B142" s="2083" t="s">
        <v>2357</v>
      </c>
      <c r="C142" s="2084"/>
      <c r="D142" s="2084"/>
      <c r="E142" s="2084"/>
      <c r="F142" s="2084"/>
      <c r="G142" s="2084"/>
      <c r="H142" s="2084"/>
      <c r="I142" s="2084"/>
      <c r="J142" s="2084"/>
      <c r="K142" s="2084"/>
      <c r="L142" s="2084"/>
      <c r="M142" s="2084"/>
      <c r="N142" s="2084"/>
      <c r="O142" s="2084"/>
      <c r="P142" s="2084"/>
      <c r="Q142" s="2084"/>
      <c r="R142" s="2085" t="s">
        <v>2356</v>
      </c>
      <c r="S142" s="2085"/>
      <c r="T142" s="2085"/>
      <c r="U142" s="2085"/>
      <c r="V142" s="2085"/>
      <c r="W142" s="2085"/>
      <c r="X142" s="2085"/>
      <c r="Y142" s="2085"/>
      <c r="Z142" s="2085"/>
      <c r="AA142" s="2085"/>
      <c r="AB142" s="2085"/>
      <c r="AC142" s="2085"/>
      <c r="AD142" s="2085"/>
      <c r="AE142" s="2085"/>
      <c r="AF142" s="2085"/>
      <c r="AG142" s="2085"/>
      <c r="AH142" s="2085"/>
      <c r="AI142" s="2085"/>
      <c r="AJ142" s="2085"/>
      <c r="AK142" s="2085"/>
      <c r="AL142" s="2085"/>
      <c r="AM142" s="2085"/>
      <c r="AN142" s="2085"/>
      <c r="AO142" s="2085"/>
      <c r="AP142" s="2085"/>
      <c r="AQ142" s="2085"/>
      <c r="AR142" s="2085"/>
      <c r="AS142" s="2085"/>
      <c r="AT142" s="2085"/>
      <c r="AU142" s="2085"/>
      <c r="AV142" s="2085"/>
      <c r="AW142" s="2085"/>
      <c r="AX142" s="2086"/>
      <c r="AY142" s="1191"/>
      <c r="AZ142" s="1191"/>
      <c r="BA142" s="1191"/>
      <c r="BB142" s="1191"/>
      <c r="BC142" s="1191" t="s">
        <v>249</v>
      </c>
      <c r="BD142" s="1191"/>
      <c r="BE142" s="1195"/>
    </row>
    <row r="143" spans="1:57" ht="15.75" customHeight="1">
      <c r="A143" s="1191"/>
      <c r="B143" s="2087" t="s">
        <v>2355</v>
      </c>
      <c r="C143" s="2088"/>
      <c r="D143" s="2088"/>
      <c r="E143" s="2088"/>
      <c r="F143" s="2088"/>
      <c r="G143" s="2088"/>
      <c r="H143" s="2088"/>
      <c r="I143" s="2088"/>
      <c r="J143" s="2088"/>
      <c r="K143" s="2088"/>
      <c r="L143" s="2088"/>
      <c r="M143" s="2088"/>
      <c r="N143" s="2088"/>
      <c r="O143" s="2088"/>
      <c r="P143" s="2088"/>
      <c r="Q143" s="2088"/>
      <c r="R143" s="2088"/>
      <c r="S143" s="2088"/>
      <c r="T143" s="2088"/>
      <c r="U143" s="2088"/>
      <c r="V143" s="2088"/>
      <c r="W143" s="2088"/>
      <c r="X143" s="2088"/>
      <c r="Y143" s="2088"/>
      <c r="Z143" s="2088"/>
      <c r="AA143" s="2088"/>
      <c r="AB143" s="2088"/>
      <c r="AC143" s="2088"/>
      <c r="AD143" s="2088"/>
      <c r="AE143" s="2088"/>
      <c r="AF143" s="2088"/>
      <c r="AG143" s="2088"/>
      <c r="AH143" s="2088"/>
      <c r="AI143" s="2088"/>
      <c r="AJ143" s="2088"/>
      <c r="AK143" s="2088"/>
      <c r="AL143" s="2088"/>
      <c r="AM143" s="2088"/>
      <c r="AN143" s="2088"/>
      <c r="AO143" s="2088"/>
      <c r="AP143" s="2088"/>
      <c r="AQ143" s="2088"/>
      <c r="AR143" s="2088"/>
      <c r="AS143" s="2088"/>
      <c r="AT143" s="2088"/>
      <c r="AU143" s="2088"/>
      <c r="AV143" s="2088"/>
      <c r="AW143" s="2088"/>
      <c r="AX143" s="2089"/>
      <c r="AY143" s="1191"/>
      <c r="AZ143" s="1191"/>
      <c r="BA143" s="1191"/>
      <c r="BB143" s="1191"/>
      <c r="BC143" s="1191"/>
      <c r="BD143" s="1191"/>
      <c r="BE143" s="1195"/>
    </row>
    <row r="144" spans="1:57" ht="15.75" customHeight="1">
      <c r="A144" s="1191"/>
      <c r="B144" s="2087"/>
      <c r="C144" s="2088"/>
      <c r="D144" s="2088"/>
      <c r="E144" s="2088"/>
      <c r="F144" s="2088"/>
      <c r="G144" s="2088"/>
      <c r="H144" s="2088"/>
      <c r="I144" s="2088"/>
      <c r="J144" s="2088"/>
      <c r="K144" s="2088"/>
      <c r="L144" s="2088"/>
      <c r="M144" s="2088"/>
      <c r="N144" s="2088"/>
      <c r="O144" s="2088"/>
      <c r="P144" s="2088"/>
      <c r="Q144" s="2088"/>
      <c r="R144" s="2088"/>
      <c r="S144" s="2088"/>
      <c r="T144" s="2088"/>
      <c r="U144" s="2088"/>
      <c r="V144" s="2088"/>
      <c r="W144" s="2088"/>
      <c r="X144" s="2088"/>
      <c r="Y144" s="2088"/>
      <c r="Z144" s="2088"/>
      <c r="AA144" s="2088"/>
      <c r="AB144" s="2088"/>
      <c r="AC144" s="2088"/>
      <c r="AD144" s="2088"/>
      <c r="AE144" s="2088"/>
      <c r="AF144" s="2088"/>
      <c r="AG144" s="2088"/>
      <c r="AH144" s="2088"/>
      <c r="AI144" s="2088"/>
      <c r="AJ144" s="2088"/>
      <c r="AK144" s="2088"/>
      <c r="AL144" s="2088"/>
      <c r="AM144" s="2088"/>
      <c r="AN144" s="2088"/>
      <c r="AO144" s="2088"/>
      <c r="AP144" s="2088"/>
      <c r="AQ144" s="2088"/>
      <c r="AR144" s="2088"/>
      <c r="AS144" s="2088"/>
      <c r="AT144" s="2088"/>
      <c r="AU144" s="2088"/>
      <c r="AV144" s="2088"/>
      <c r="AW144" s="2088"/>
      <c r="AX144" s="2089"/>
      <c r="AY144" s="1191"/>
      <c r="AZ144" s="1191"/>
      <c r="BA144" s="1191"/>
      <c r="BB144" s="1191"/>
      <c r="BC144" s="1191"/>
      <c r="BD144" s="1191"/>
      <c r="BE144" s="1195"/>
    </row>
    <row r="145" spans="1:57" ht="15.75" customHeight="1">
      <c r="A145" s="1191"/>
      <c r="B145" s="2087"/>
      <c r="C145" s="2088"/>
      <c r="D145" s="2088"/>
      <c r="E145" s="2088"/>
      <c r="F145" s="2088"/>
      <c r="G145" s="2088"/>
      <c r="H145" s="2088"/>
      <c r="I145" s="2088"/>
      <c r="J145" s="2088"/>
      <c r="K145" s="2088"/>
      <c r="L145" s="2088"/>
      <c r="M145" s="2088"/>
      <c r="N145" s="2088"/>
      <c r="O145" s="2088"/>
      <c r="P145" s="2088"/>
      <c r="Q145" s="2088"/>
      <c r="R145" s="2088"/>
      <c r="S145" s="2088"/>
      <c r="T145" s="2088"/>
      <c r="U145" s="2088"/>
      <c r="V145" s="2088"/>
      <c r="W145" s="2088"/>
      <c r="X145" s="2088"/>
      <c r="Y145" s="2088"/>
      <c r="Z145" s="2088"/>
      <c r="AA145" s="2088"/>
      <c r="AB145" s="2088"/>
      <c r="AC145" s="2088"/>
      <c r="AD145" s="2088"/>
      <c r="AE145" s="2088"/>
      <c r="AF145" s="2088"/>
      <c r="AG145" s="2088"/>
      <c r="AH145" s="2088"/>
      <c r="AI145" s="2088"/>
      <c r="AJ145" s="2088"/>
      <c r="AK145" s="2088"/>
      <c r="AL145" s="2088"/>
      <c r="AM145" s="2088"/>
      <c r="AN145" s="2088"/>
      <c r="AO145" s="2088"/>
      <c r="AP145" s="2088"/>
      <c r="AQ145" s="2088"/>
      <c r="AR145" s="2088"/>
      <c r="AS145" s="2088"/>
      <c r="AT145" s="2088"/>
      <c r="AU145" s="2088"/>
      <c r="AV145" s="2088"/>
      <c r="AW145" s="2088"/>
      <c r="AX145" s="2089"/>
      <c r="AY145" s="1191"/>
      <c r="AZ145" s="1191"/>
      <c r="BA145" s="1191"/>
      <c r="BB145" s="1191"/>
      <c r="BC145" s="1191"/>
      <c r="BD145" s="1191"/>
      <c r="BE145" s="1195"/>
    </row>
    <row r="146" spans="1:57" ht="15.75" customHeight="1">
      <c r="A146" s="1191"/>
      <c r="B146" s="2087"/>
      <c r="C146" s="2088"/>
      <c r="D146" s="2088"/>
      <c r="E146" s="2088"/>
      <c r="F146" s="2088"/>
      <c r="G146" s="2088"/>
      <c r="H146" s="2088"/>
      <c r="I146" s="2088"/>
      <c r="J146" s="2088"/>
      <c r="K146" s="2088"/>
      <c r="L146" s="2088"/>
      <c r="M146" s="2088"/>
      <c r="N146" s="2088"/>
      <c r="O146" s="2088"/>
      <c r="P146" s="2088"/>
      <c r="Q146" s="2088"/>
      <c r="R146" s="2088"/>
      <c r="S146" s="2088"/>
      <c r="T146" s="2088"/>
      <c r="U146" s="2088"/>
      <c r="V146" s="2088"/>
      <c r="W146" s="2088"/>
      <c r="X146" s="2088"/>
      <c r="Y146" s="2088"/>
      <c r="Z146" s="2088"/>
      <c r="AA146" s="2088"/>
      <c r="AB146" s="2088"/>
      <c r="AC146" s="2088"/>
      <c r="AD146" s="2088"/>
      <c r="AE146" s="2088"/>
      <c r="AF146" s="2088"/>
      <c r="AG146" s="2088"/>
      <c r="AH146" s="2088"/>
      <c r="AI146" s="2088"/>
      <c r="AJ146" s="2088"/>
      <c r="AK146" s="2088"/>
      <c r="AL146" s="2088"/>
      <c r="AM146" s="2088"/>
      <c r="AN146" s="2088"/>
      <c r="AO146" s="2088"/>
      <c r="AP146" s="2088"/>
      <c r="AQ146" s="2088"/>
      <c r="AR146" s="2088"/>
      <c r="AS146" s="2088"/>
      <c r="AT146" s="2088"/>
      <c r="AU146" s="2088"/>
      <c r="AV146" s="2088"/>
      <c r="AW146" s="2088"/>
      <c r="AX146" s="2089"/>
      <c r="AY146" s="1191"/>
      <c r="AZ146" s="1191"/>
      <c r="BA146" s="1191"/>
      <c r="BB146" s="1191"/>
      <c r="BC146" s="1191"/>
      <c r="BD146" s="1191"/>
      <c r="BE146" s="1195"/>
    </row>
    <row r="147" spans="1:57" ht="15.75" customHeight="1">
      <c r="A147" s="1191"/>
      <c r="B147" s="2087"/>
      <c r="C147" s="2088"/>
      <c r="D147" s="2088"/>
      <c r="E147" s="2088"/>
      <c r="F147" s="2088"/>
      <c r="G147" s="2088"/>
      <c r="H147" s="2088"/>
      <c r="I147" s="2088"/>
      <c r="J147" s="2088"/>
      <c r="K147" s="2088"/>
      <c r="L147" s="2088"/>
      <c r="M147" s="2088"/>
      <c r="N147" s="2088"/>
      <c r="O147" s="2088"/>
      <c r="P147" s="2088"/>
      <c r="Q147" s="2088"/>
      <c r="R147" s="2088"/>
      <c r="S147" s="2088"/>
      <c r="T147" s="2088"/>
      <c r="U147" s="2088"/>
      <c r="V147" s="2088"/>
      <c r="W147" s="2088"/>
      <c r="X147" s="2088"/>
      <c r="Y147" s="2088"/>
      <c r="Z147" s="2088"/>
      <c r="AA147" s="2088"/>
      <c r="AB147" s="2088"/>
      <c r="AC147" s="2088"/>
      <c r="AD147" s="2088"/>
      <c r="AE147" s="2088"/>
      <c r="AF147" s="2088"/>
      <c r="AG147" s="2088"/>
      <c r="AH147" s="2088"/>
      <c r="AI147" s="2088"/>
      <c r="AJ147" s="2088"/>
      <c r="AK147" s="2088"/>
      <c r="AL147" s="2088"/>
      <c r="AM147" s="2088"/>
      <c r="AN147" s="2088"/>
      <c r="AO147" s="2088"/>
      <c r="AP147" s="2088"/>
      <c r="AQ147" s="2088"/>
      <c r="AR147" s="2088"/>
      <c r="AS147" s="2088"/>
      <c r="AT147" s="2088"/>
      <c r="AU147" s="2088"/>
      <c r="AV147" s="2088"/>
      <c r="AW147" s="2088"/>
      <c r="AX147" s="2089"/>
      <c r="AY147" s="1191"/>
      <c r="AZ147" s="1191"/>
      <c r="BA147" s="1191"/>
      <c r="BB147" s="1191"/>
      <c r="BC147" s="1191"/>
      <c r="BD147" s="1191"/>
      <c r="BE147" s="1195"/>
    </row>
    <row r="148" spans="1:57" ht="15.75" customHeight="1">
      <c r="A148" s="1191"/>
      <c r="B148" s="2087"/>
      <c r="C148" s="2088"/>
      <c r="D148" s="2088"/>
      <c r="E148" s="2088"/>
      <c r="F148" s="2088"/>
      <c r="G148" s="2088"/>
      <c r="H148" s="2088"/>
      <c r="I148" s="2088"/>
      <c r="J148" s="2088"/>
      <c r="K148" s="2088"/>
      <c r="L148" s="2088"/>
      <c r="M148" s="2088"/>
      <c r="N148" s="2088"/>
      <c r="O148" s="2088"/>
      <c r="P148" s="2088"/>
      <c r="Q148" s="2088"/>
      <c r="R148" s="2088"/>
      <c r="S148" s="2088"/>
      <c r="T148" s="2088"/>
      <c r="U148" s="2088"/>
      <c r="V148" s="2088"/>
      <c r="W148" s="2088"/>
      <c r="X148" s="2088"/>
      <c r="Y148" s="2088"/>
      <c r="Z148" s="2088"/>
      <c r="AA148" s="2088"/>
      <c r="AB148" s="2088"/>
      <c r="AC148" s="2088"/>
      <c r="AD148" s="2088"/>
      <c r="AE148" s="2088"/>
      <c r="AF148" s="2088"/>
      <c r="AG148" s="2088"/>
      <c r="AH148" s="2088"/>
      <c r="AI148" s="2088"/>
      <c r="AJ148" s="2088"/>
      <c r="AK148" s="2088"/>
      <c r="AL148" s="2088"/>
      <c r="AM148" s="2088"/>
      <c r="AN148" s="2088"/>
      <c r="AO148" s="2088"/>
      <c r="AP148" s="2088"/>
      <c r="AQ148" s="2088"/>
      <c r="AR148" s="2088"/>
      <c r="AS148" s="2088"/>
      <c r="AT148" s="2088"/>
      <c r="AU148" s="2088"/>
      <c r="AV148" s="2088"/>
      <c r="AW148" s="2088"/>
      <c r="AX148" s="2089"/>
      <c r="AY148" s="1191"/>
      <c r="AZ148" s="1191"/>
      <c r="BA148" s="1191"/>
      <c r="BB148" s="1191"/>
      <c r="BC148" s="1191"/>
      <c r="BD148" s="1191"/>
      <c r="BE148" s="1195"/>
    </row>
    <row r="149" spans="1:57" ht="15.75" customHeight="1">
      <c r="A149" s="1191"/>
      <c r="B149" s="2087"/>
      <c r="C149" s="2088"/>
      <c r="D149" s="2088"/>
      <c r="E149" s="2088"/>
      <c r="F149" s="2088"/>
      <c r="G149" s="2088"/>
      <c r="H149" s="2088"/>
      <c r="I149" s="2088"/>
      <c r="J149" s="2088"/>
      <c r="K149" s="2088"/>
      <c r="L149" s="2088"/>
      <c r="M149" s="2088"/>
      <c r="N149" s="2088"/>
      <c r="O149" s="2088"/>
      <c r="P149" s="2088"/>
      <c r="Q149" s="2088"/>
      <c r="R149" s="2088"/>
      <c r="S149" s="2088"/>
      <c r="T149" s="2088"/>
      <c r="U149" s="2088"/>
      <c r="V149" s="2088"/>
      <c r="W149" s="2088"/>
      <c r="X149" s="2088"/>
      <c r="Y149" s="2088"/>
      <c r="Z149" s="2088"/>
      <c r="AA149" s="2088"/>
      <c r="AB149" s="2088"/>
      <c r="AC149" s="2088"/>
      <c r="AD149" s="2088"/>
      <c r="AE149" s="2088"/>
      <c r="AF149" s="2088"/>
      <c r="AG149" s="2088"/>
      <c r="AH149" s="2088"/>
      <c r="AI149" s="2088"/>
      <c r="AJ149" s="2088"/>
      <c r="AK149" s="2088"/>
      <c r="AL149" s="2088"/>
      <c r="AM149" s="2088"/>
      <c r="AN149" s="2088"/>
      <c r="AO149" s="2088"/>
      <c r="AP149" s="2088"/>
      <c r="AQ149" s="2088"/>
      <c r="AR149" s="2088"/>
      <c r="AS149" s="2088"/>
      <c r="AT149" s="2088"/>
      <c r="AU149" s="2088"/>
      <c r="AV149" s="2088"/>
      <c r="AW149" s="2088"/>
      <c r="AX149" s="2089"/>
      <c r="AY149" s="1191"/>
      <c r="AZ149" s="1191"/>
      <c r="BA149" s="1191"/>
      <c r="BB149" s="1191"/>
      <c r="BC149" s="1191"/>
      <c r="BD149" s="1191"/>
      <c r="BE149" s="1195"/>
    </row>
    <row r="150" spans="1:57" ht="15.75" customHeight="1">
      <c r="A150" s="1191"/>
      <c r="B150" s="2087"/>
      <c r="C150" s="2088"/>
      <c r="D150" s="2088"/>
      <c r="E150" s="2088"/>
      <c r="F150" s="2088"/>
      <c r="G150" s="2088"/>
      <c r="H150" s="2088"/>
      <c r="I150" s="2088"/>
      <c r="J150" s="2088"/>
      <c r="K150" s="2088"/>
      <c r="L150" s="2088"/>
      <c r="M150" s="2088"/>
      <c r="N150" s="2088"/>
      <c r="O150" s="2088"/>
      <c r="P150" s="2088"/>
      <c r="Q150" s="2088"/>
      <c r="R150" s="2088"/>
      <c r="S150" s="2088"/>
      <c r="T150" s="2088"/>
      <c r="U150" s="2088"/>
      <c r="V150" s="2088"/>
      <c r="W150" s="2088"/>
      <c r="X150" s="2088"/>
      <c r="Y150" s="2088"/>
      <c r="Z150" s="2088"/>
      <c r="AA150" s="2088"/>
      <c r="AB150" s="2088"/>
      <c r="AC150" s="2088"/>
      <c r="AD150" s="2088"/>
      <c r="AE150" s="2088"/>
      <c r="AF150" s="2088"/>
      <c r="AG150" s="2088"/>
      <c r="AH150" s="2088"/>
      <c r="AI150" s="2088"/>
      <c r="AJ150" s="2088"/>
      <c r="AK150" s="2088"/>
      <c r="AL150" s="2088"/>
      <c r="AM150" s="2088"/>
      <c r="AN150" s="2088"/>
      <c r="AO150" s="2088"/>
      <c r="AP150" s="2088"/>
      <c r="AQ150" s="2088"/>
      <c r="AR150" s="2088"/>
      <c r="AS150" s="2088"/>
      <c r="AT150" s="2088"/>
      <c r="AU150" s="2088"/>
      <c r="AV150" s="2088"/>
      <c r="AW150" s="2088"/>
      <c r="AX150" s="2089"/>
      <c r="AY150" s="1191"/>
      <c r="AZ150" s="1191"/>
      <c r="BA150" s="1191"/>
      <c r="BB150" s="1191"/>
      <c r="BC150" s="1191"/>
      <c r="BD150" s="1191"/>
      <c r="BE150" s="1195"/>
    </row>
    <row r="151" spans="1:57" ht="15.75" customHeight="1">
      <c r="A151" s="1191"/>
      <c r="B151" s="2087"/>
      <c r="C151" s="2088"/>
      <c r="D151" s="2088"/>
      <c r="E151" s="2088"/>
      <c r="F151" s="2088"/>
      <c r="G151" s="2088"/>
      <c r="H151" s="2088"/>
      <c r="I151" s="2088"/>
      <c r="J151" s="2088"/>
      <c r="K151" s="2088"/>
      <c r="L151" s="2088"/>
      <c r="M151" s="2088"/>
      <c r="N151" s="2088"/>
      <c r="O151" s="2088"/>
      <c r="P151" s="2088"/>
      <c r="Q151" s="2088"/>
      <c r="R151" s="2088"/>
      <c r="S151" s="2088"/>
      <c r="T151" s="2088"/>
      <c r="U151" s="2088"/>
      <c r="V151" s="2088"/>
      <c r="W151" s="2088"/>
      <c r="X151" s="2088"/>
      <c r="Y151" s="2088"/>
      <c r="Z151" s="2088"/>
      <c r="AA151" s="2088"/>
      <c r="AB151" s="2088"/>
      <c r="AC151" s="2088"/>
      <c r="AD151" s="2088"/>
      <c r="AE151" s="2088"/>
      <c r="AF151" s="2088"/>
      <c r="AG151" s="2088"/>
      <c r="AH151" s="2088"/>
      <c r="AI151" s="2088"/>
      <c r="AJ151" s="2088"/>
      <c r="AK151" s="2088"/>
      <c r="AL151" s="2088"/>
      <c r="AM151" s="2088"/>
      <c r="AN151" s="2088"/>
      <c r="AO151" s="2088"/>
      <c r="AP151" s="2088"/>
      <c r="AQ151" s="2088"/>
      <c r="AR151" s="2088"/>
      <c r="AS151" s="2088"/>
      <c r="AT151" s="2088"/>
      <c r="AU151" s="2088"/>
      <c r="AV151" s="2088"/>
      <c r="AW151" s="2088"/>
      <c r="AX151" s="2089"/>
      <c r="AY151" s="1191"/>
      <c r="AZ151" s="1191"/>
      <c r="BA151" s="1191"/>
      <c r="BB151" s="1191"/>
      <c r="BC151" s="1191"/>
      <c r="BD151" s="1191"/>
      <c r="BE151" s="1195"/>
    </row>
    <row r="152" spans="1:57" ht="15.75" customHeight="1" thickBot="1">
      <c r="A152" s="1191"/>
      <c r="B152" s="2090"/>
      <c r="C152" s="2091"/>
      <c r="D152" s="2091"/>
      <c r="E152" s="2091"/>
      <c r="F152" s="2091"/>
      <c r="G152" s="2091"/>
      <c r="H152" s="2091"/>
      <c r="I152" s="2091"/>
      <c r="J152" s="2091"/>
      <c r="K152" s="2091"/>
      <c r="L152" s="2091"/>
      <c r="M152" s="2091"/>
      <c r="N152" s="2091"/>
      <c r="O152" s="2091"/>
      <c r="P152" s="2091"/>
      <c r="Q152" s="2091"/>
      <c r="R152" s="2091"/>
      <c r="S152" s="2091"/>
      <c r="T152" s="2091"/>
      <c r="U152" s="2091"/>
      <c r="V152" s="2091"/>
      <c r="W152" s="2091"/>
      <c r="X152" s="2091"/>
      <c r="Y152" s="2091"/>
      <c r="Z152" s="2091"/>
      <c r="AA152" s="2091"/>
      <c r="AB152" s="2091"/>
      <c r="AC152" s="2091"/>
      <c r="AD152" s="2091"/>
      <c r="AE152" s="2091"/>
      <c r="AF152" s="2091"/>
      <c r="AG152" s="2091"/>
      <c r="AH152" s="2091"/>
      <c r="AI152" s="2091"/>
      <c r="AJ152" s="2091"/>
      <c r="AK152" s="2091"/>
      <c r="AL152" s="2091"/>
      <c r="AM152" s="2091"/>
      <c r="AN152" s="2091"/>
      <c r="AO152" s="2091"/>
      <c r="AP152" s="2091"/>
      <c r="AQ152" s="2091"/>
      <c r="AR152" s="2091"/>
      <c r="AS152" s="2091"/>
      <c r="AT152" s="2091"/>
      <c r="AU152" s="2091"/>
      <c r="AV152" s="2091"/>
      <c r="AW152" s="2091"/>
      <c r="AX152" s="2092"/>
      <c r="AY152" s="1191"/>
      <c r="AZ152" s="1191"/>
      <c r="BA152" s="1191"/>
      <c r="BB152" s="1191"/>
      <c r="BC152" s="1191"/>
      <c r="BD152" s="1191"/>
      <c r="BE152" s="1195"/>
    </row>
    <row r="153" spans="1:57" ht="15.75" customHeight="1" thickBot="1">
      <c r="A153" s="1191"/>
      <c r="B153" s="1191"/>
      <c r="C153" s="1191"/>
      <c r="D153" s="1191"/>
      <c r="E153" s="1191"/>
      <c r="F153" s="1191"/>
      <c r="G153" s="1191"/>
      <c r="H153" s="1191"/>
      <c r="I153" s="1191"/>
      <c r="J153" s="1191"/>
      <c r="K153" s="1191"/>
      <c r="L153" s="1191"/>
      <c r="M153" s="1191"/>
      <c r="N153" s="1191"/>
      <c r="O153" s="1191"/>
      <c r="P153" s="1191"/>
      <c r="Q153" s="1191"/>
      <c r="R153" s="1191"/>
      <c r="S153" s="1191"/>
      <c r="T153" s="1191"/>
      <c r="U153" s="1191"/>
      <c r="V153" s="1191"/>
      <c r="W153" s="1191"/>
      <c r="X153" s="1191"/>
      <c r="Y153" s="1191"/>
      <c r="Z153" s="1191"/>
      <c r="AA153" s="1191"/>
      <c r="AB153" s="1191"/>
      <c r="AC153" s="1191"/>
      <c r="AD153" s="1191"/>
      <c r="AE153" s="1191"/>
      <c r="AF153" s="1191"/>
      <c r="AG153" s="1191"/>
      <c r="AH153" s="1191"/>
      <c r="AI153" s="1191"/>
      <c r="AJ153" s="1191"/>
      <c r="AK153" s="1191"/>
      <c r="AL153" s="1191"/>
      <c r="AM153" s="1191"/>
      <c r="AN153" s="1191"/>
      <c r="AO153" s="1191"/>
      <c r="AP153" s="1191"/>
      <c r="AQ153" s="1191"/>
      <c r="AR153" s="1191"/>
      <c r="AS153" s="1191"/>
      <c r="AT153" s="1191"/>
      <c r="AU153" s="1191"/>
      <c r="AV153" s="1191"/>
      <c r="AW153" s="1191"/>
      <c r="AX153" s="1191"/>
      <c r="AY153" s="1191"/>
      <c r="AZ153" s="1191"/>
      <c r="BA153" s="1191"/>
      <c r="BB153" s="1191"/>
      <c r="BC153" s="1191"/>
      <c r="BD153" s="1191"/>
      <c r="BE153" s="1195"/>
    </row>
    <row r="154" spans="1:57" ht="15.75" customHeight="1" thickBot="1">
      <c r="A154" s="1191"/>
      <c r="B154" s="1210" t="s">
        <v>2354</v>
      </c>
      <c r="C154" s="1211"/>
      <c r="D154" s="1211"/>
      <c r="E154" s="1211"/>
      <c r="F154" s="1211"/>
      <c r="G154" s="1211"/>
      <c r="H154" s="1211"/>
      <c r="I154" s="1211"/>
      <c r="J154" s="1211"/>
      <c r="K154" s="1211"/>
      <c r="L154" s="1211"/>
      <c r="M154" s="1212"/>
      <c r="N154" s="1196"/>
      <c r="O154" s="1196"/>
      <c r="P154" s="1191"/>
      <c r="Q154" s="1191"/>
      <c r="R154" s="1191"/>
      <c r="S154" s="1191"/>
      <c r="T154" s="1191"/>
      <c r="U154" s="1191" t="s">
        <v>249</v>
      </c>
      <c r="V154" s="1191"/>
      <c r="W154" s="1191"/>
      <c r="X154" s="1210" t="s">
        <v>2353</v>
      </c>
      <c r="Y154" s="1211"/>
      <c r="Z154" s="1211"/>
      <c r="AA154" s="1211"/>
      <c r="AB154" s="1211"/>
      <c r="AC154" s="1211"/>
      <c r="AD154" s="1211"/>
      <c r="AE154" s="1211"/>
      <c r="AF154" s="1211"/>
      <c r="AG154" s="1211"/>
      <c r="AH154" s="1211"/>
      <c r="AI154" s="1211"/>
      <c r="AJ154" s="1211"/>
      <c r="AK154" s="1205"/>
      <c r="AL154" s="1205"/>
      <c r="AM154" s="1206"/>
      <c r="AN154" s="1191"/>
      <c r="AO154" s="1191"/>
      <c r="AP154" s="1191"/>
      <c r="AQ154" s="1191"/>
      <c r="AR154" s="1191"/>
      <c r="AS154" s="1191"/>
      <c r="AT154" s="1191"/>
      <c r="AU154" s="1191"/>
      <c r="AV154" s="1191"/>
      <c r="AW154" s="1191"/>
      <c r="AX154" s="1191"/>
      <c r="AY154" s="1191"/>
      <c r="AZ154" s="1191"/>
      <c r="BA154" s="1191"/>
      <c r="BB154" s="1191"/>
      <c r="BC154" s="1191"/>
      <c r="BD154" s="1191"/>
      <c r="BE154" s="1195"/>
    </row>
    <row r="155" spans="1:57" ht="15.75" customHeight="1" thickBot="1">
      <c r="A155" s="1191"/>
      <c r="B155" s="1191"/>
      <c r="C155" s="1191"/>
      <c r="D155" s="1191"/>
      <c r="E155" s="1191"/>
      <c r="F155" s="1191"/>
      <c r="G155" s="1191"/>
      <c r="H155" s="1191"/>
      <c r="I155" s="1191"/>
      <c r="J155" s="1191"/>
      <c r="K155" s="1191"/>
      <c r="L155" s="1191"/>
      <c r="M155" s="1191"/>
      <c r="N155" s="1191"/>
      <c r="O155" s="1191"/>
      <c r="P155" s="1196"/>
      <c r="Q155" s="1191"/>
      <c r="R155" s="1191"/>
      <c r="S155" s="1191"/>
      <c r="T155" s="1191"/>
      <c r="U155" s="1191"/>
      <c r="V155" s="1191"/>
      <c r="W155" s="1191"/>
      <c r="X155" s="1191"/>
      <c r="Y155" s="1191"/>
      <c r="Z155" s="1191"/>
      <c r="AA155" s="1191"/>
      <c r="AB155" s="1191"/>
      <c r="AC155" s="1191"/>
      <c r="AD155" s="1191"/>
      <c r="AE155" s="1191"/>
      <c r="AF155" s="1191"/>
      <c r="AG155" s="1191"/>
      <c r="AH155" s="1191"/>
      <c r="AI155" s="1191"/>
      <c r="AJ155" s="1191"/>
      <c r="AK155" s="1191"/>
      <c r="AL155" s="1191"/>
      <c r="AM155" s="1191"/>
      <c r="AN155" s="1191"/>
      <c r="AO155" s="1191"/>
      <c r="AP155" s="1191"/>
      <c r="AQ155" s="1191"/>
      <c r="AR155" s="1191"/>
      <c r="AS155" s="1191"/>
      <c r="AT155" s="1191"/>
      <c r="AU155" s="1191"/>
      <c r="AV155" s="1191"/>
      <c r="AW155" s="1191"/>
      <c r="AX155" s="1191"/>
      <c r="AY155" s="1191"/>
      <c r="AZ155" s="1191"/>
      <c r="BA155" s="1191"/>
      <c r="BB155" s="1191"/>
      <c r="BC155" s="1191"/>
      <c r="BD155" s="1191"/>
      <c r="BE155" s="1195"/>
    </row>
    <row r="156" spans="1:57" ht="15.75" customHeight="1">
      <c r="A156" s="1191"/>
      <c r="B156" s="2070" t="s">
        <v>2352</v>
      </c>
      <c r="C156" s="2026"/>
      <c r="D156" s="2026"/>
      <c r="E156" s="2026"/>
      <c r="F156" s="2026"/>
      <c r="G156" s="2026"/>
      <c r="H156" s="2026"/>
      <c r="I156" s="2026"/>
      <c r="J156" s="2026"/>
      <c r="K156" s="2026"/>
      <c r="L156" s="2026"/>
      <c r="M156" s="2026"/>
      <c r="N156" s="2026"/>
      <c r="O156" s="2026"/>
      <c r="P156" s="2026"/>
      <c r="Q156" s="2026"/>
      <c r="R156" s="2026"/>
      <c r="S156" s="2026"/>
      <c r="T156" s="2026"/>
      <c r="U156" s="2027"/>
      <c r="V156" s="1191"/>
      <c r="W156" s="1193"/>
      <c r="X156" s="2070" t="s">
        <v>2351</v>
      </c>
      <c r="Y156" s="2026"/>
      <c r="Z156" s="2026"/>
      <c r="AA156" s="2026"/>
      <c r="AB156" s="2026"/>
      <c r="AC156" s="2026"/>
      <c r="AD156" s="2026"/>
      <c r="AE156" s="2026"/>
      <c r="AF156" s="2026"/>
      <c r="AG156" s="2026"/>
      <c r="AH156" s="2026"/>
      <c r="AI156" s="2026"/>
      <c r="AJ156" s="2026"/>
      <c r="AK156" s="2026"/>
      <c r="AL156" s="2026"/>
      <c r="AM156" s="2026"/>
      <c r="AN156" s="2026"/>
      <c r="AO156" s="2026"/>
      <c r="AP156" s="2026"/>
      <c r="AQ156" s="2027"/>
      <c r="AR156" s="1191"/>
      <c r="AS156" s="1191"/>
      <c r="AT156" s="1191"/>
      <c r="AU156" s="1191"/>
      <c r="AV156" s="1191"/>
      <c r="AW156" s="1191"/>
      <c r="AX156" s="1191"/>
      <c r="AY156" s="1191"/>
      <c r="AZ156" s="1191"/>
      <c r="BA156" s="1191"/>
      <c r="BB156" s="1191"/>
      <c r="BC156" s="1191"/>
      <c r="BD156" s="1191"/>
      <c r="BE156" s="1195"/>
    </row>
    <row r="157" spans="1:57" ht="15.75" customHeight="1">
      <c r="A157" s="1191"/>
      <c r="B157" s="2038"/>
      <c r="C157" s="2039"/>
      <c r="D157" s="2039"/>
      <c r="E157" s="2039"/>
      <c r="F157" s="2039"/>
      <c r="G157" s="2039"/>
      <c r="H157" s="2039"/>
      <c r="I157" s="2076" t="s">
        <v>2349</v>
      </c>
      <c r="J157" s="2076"/>
      <c r="K157" s="2076"/>
      <c r="L157" s="2076"/>
      <c r="M157" s="2076"/>
      <c r="N157" s="2076"/>
      <c r="O157" s="2076"/>
      <c r="P157" s="2076" t="s">
        <v>2350</v>
      </c>
      <c r="Q157" s="2076"/>
      <c r="R157" s="2076"/>
      <c r="S157" s="2076"/>
      <c r="T157" s="2076"/>
      <c r="U157" s="2077"/>
      <c r="V157" s="1191"/>
      <c r="W157" s="1191"/>
      <c r="X157" s="2038"/>
      <c r="Y157" s="2039"/>
      <c r="Z157" s="2039"/>
      <c r="AA157" s="2039"/>
      <c r="AB157" s="2039"/>
      <c r="AC157" s="2039"/>
      <c r="AD157" s="2039"/>
      <c r="AE157" s="2076" t="s">
        <v>2349</v>
      </c>
      <c r="AF157" s="2076"/>
      <c r="AG157" s="2076"/>
      <c r="AH157" s="2076"/>
      <c r="AI157" s="2076"/>
      <c r="AJ157" s="2076"/>
      <c r="AK157" s="2076"/>
      <c r="AL157" s="2076" t="s">
        <v>2348</v>
      </c>
      <c r="AM157" s="2076"/>
      <c r="AN157" s="2076"/>
      <c r="AO157" s="2076"/>
      <c r="AP157" s="2076"/>
      <c r="AQ157" s="2077"/>
      <c r="AR157" s="1191"/>
      <c r="AS157" s="1191"/>
      <c r="AT157" s="1191"/>
      <c r="AU157" s="1191"/>
      <c r="AV157" s="1191"/>
      <c r="AW157" s="1191"/>
      <c r="AX157" s="1191"/>
      <c r="AY157" s="1191"/>
      <c r="AZ157" s="1191"/>
      <c r="BA157" s="1191"/>
      <c r="BB157" s="1191"/>
      <c r="BC157" s="1191"/>
      <c r="BD157" s="1191"/>
      <c r="BE157" s="1195"/>
    </row>
    <row r="158" spans="1:57" ht="15.75" customHeight="1">
      <c r="A158" s="1191"/>
      <c r="B158" s="2038"/>
      <c r="C158" s="2039"/>
      <c r="D158" s="2039"/>
      <c r="E158" s="2039"/>
      <c r="F158" s="2039"/>
      <c r="G158" s="2039"/>
      <c r="H158" s="2039"/>
      <c r="I158" s="2076"/>
      <c r="J158" s="2076"/>
      <c r="K158" s="2076"/>
      <c r="L158" s="2076"/>
      <c r="M158" s="2076"/>
      <c r="N158" s="2076"/>
      <c r="O158" s="2076"/>
      <c r="P158" s="2076"/>
      <c r="Q158" s="2076"/>
      <c r="R158" s="2076"/>
      <c r="S158" s="2076"/>
      <c r="T158" s="2076"/>
      <c r="U158" s="2077"/>
      <c r="V158" s="1191"/>
      <c r="W158" s="1191"/>
      <c r="X158" s="2038"/>
      <c r="Y158" s="2039"/>
      <c r="Z158" s="2039"/>
      <c r="AA158" s="2039"/>
      <c r="AB158" s="2039"/>
      <c r="AC158" s="2039"/>
      <c r="AD158" s="2039"/>
      <c r="AE158" s="2076"/>
      <c r="AF158" s="2076"/>
      <c r="AG158" s="2076"/>
      <c r="AH158" s="2076"/>
      <c r="AI158" s="2076"/>
      <c r="AJ158" s="2076"/>
      <c r="AK158" s="2076"/>
      <c r="AL158" s="2076"/>
      <c r="AM158" s="2076"/>
      <c r="AN158" s="2076"/>
      <c r="AO158" s="2076"/>
      <c r="AP158" s="2076"/>
      <c r="AQ158" s="2077"/>
      <c r="AR158" s="1191"/>
      <c r="AS158" s="1191"/>
      <c r="AT158" s="1191"/>
      <c r="AU158" s="1191"/>
      <c r="AV158" s="1191"/>
      <c r="AW158" s="1191"/>
      <c r="AX158" s="1191"/>
      <c r="AY158" s="1191"/>
      <c r="AZ158" s="1191"/>
      <c r="BA158" s="1191"/>
      <c r="BB158" s="1191"/>
      <c r="BC158" s="1191"/>
      <c r="BD158" s="1191"/>
      <c r="BE158" s="1195"/>
    </row>
    <row r="159" spans="1:57" ht="15.75" customHeight="1" thickBot="1">
      <c r="A159" s="1191"/>
      <c r="B159" s="2072" t="s">
        <v>2347</v>
      </c>
      <c r="C159" s="2073"/>
      <c r="D159" s="2073"/>
      <c r="E159" s="2073"/>
      <c r="F159" s="2073"/>
      <c r="G159" s="2073"/>
      <c r="H159" s="2073"/>
      <c r="I159" s="2074">
        <v>0</v>
      </c>
      <c r="J159" s="2074"/>
      <c r="K159" s="2074"/>
      <c r="L159" s="2074"/>
      <c r="M159" s="2074"/>
      <c r="N159" s="2074"/>
      <c r="O159" s="2074"/>
      <c r="P159" s="2074">
        <v>0</v>
      </c>
      <c r="Q159" s="2074"/>
      <c r="R159" s="2074"/>
      <c r="S159" s="2074"/>
      <c r="T159" s="2074"/>
      <c r="U159" s="2075"/>
      <c r="V159" s="1191"/>
      <c r="W159" s="1191"/>
      <c r="X159" s="2066" t="s">
        <v>2347</v>
      </c>
      <c r="Y159" s="2067"/>
      <c r="Z159" s="2067"/>
      <c r="AA159" s="2067"/>
      <c r="AB159" s="2067"/>
      <c r="AC159" s="2067"/>
      <c r="AD159" s="2067"/>
      <c r="AE159" s="2068">
        <v>0</v>
      </c>
      <c r="AF159" s="2068"/>
      <c r="AG159" s="2068"/>
      <c r="AH159" s="2068"/>
      <c r="AI159" s="2068"/>
      <c r="AJ159" s="2068"/>
      <c r="AK159" s="2068"/>
      <c r="AL159" s="2068">
        <v>0</v>
      </c>
      <c r="AM159" s="2068"/>
      <c r="AN159" s="2068"/>
      <c r="AO159" s="2068"/>
      <c r="AP159" s="2068"/>
      <c r="AQ159" s="2069"/>
      <c r="AR159" s="1191"/>
      <c r="AS159" s="1191"/>
      <c r="AT159" s="1191"/>
      <c r="AU159" s="1191"/>
      <c r="AV159" s="1191"/>
      <c r="AW159" s="1191"/>
      <c r="AX159" s="1191"/>
      <c r="AY159" s="1191"/>
      <c r="AZ159" s="1191"/>
      <c r="BA159" s="1191"/>
      <c r="BB159" s="1191"/>
      <c r="BC159" s="1191"/>
      <c r="BD159" s="1191"/>
      <c r="BE159" s="1195"/>
    </row>
    <row r="160" spans="1:57" ht="15.75" customHeight="1" thickBot="1">
      <c r="A160" s="1191"/>
      <c r="B160" s="2066" t="s">
        <v>2346</v>
      </c>
      <c r="C160" s="2067"/>
      <c r="D160" s="2067"/>
      <c r="E160" s="2067"/>
      <c r="F160" s="2067"/>
      <c r="G160" s="2067"/>
      <c r="H160" s="2067"/>
      <c r="I160" s="2068">
        <v>0</v>
      </c>
      <c r="J160" s="2068"/>
      <c r="K160" s="2068"/>
      <c r="L160" s="2068"/>
      <c r="M160" s="2068"/>
      <c r="N160" s="2068"/>
      <c r="O160" s="2068"/>
      <c r="P160" s="2068">
        <v>0</v>
      </c>
      <c r="Q160" s="2068"/>
      <c r="R160" s="2068"/>
      <c r="S160" s="2068"/>
      <c r="T160" s="2068"/>
      <c r="U160" s="2069"/>
      <c r="V160" s="1191"/>
      <c r="W160" s="1191"/>
      <c r="X160" s="1191"/>
      <c r="Y160" s="1191"/>
      <c r="Z160" s="1191"/>
      <c r="AA160" s="1191"/>
      <c r="AB160" s="1191"/>
      <c r="AC160" s="1191"/>
      <c r="AD160" s="1191"/>
      <c r="AE160" s="1191"/>
      <c r="AF160" s="1191"/>
      <c r="AG160" s="1191"/>
      <c r="AH160" s="1191"/>
      <c r="AI160" s="1191"/>
      <c r="AJ160" s="1191"/>
      <c r="AK160" s="1191"/>
      <c r="AL160" s="1191"/>
      <c r="AM160" s="1191"/>
      <c r="AN160" s="1191"/>
      <c r="AO160" s="1191"/>
      <c r="AP160" s="1191"/>
      <c r="AQ160" s="1191"/>
      <c r="AR160" s="1191"/>
      <c r="AS160" s="1191"/>
      <c r="AT160" s="1191"/>
      <c r="AU160" s="1191"/>
      <c r="AV160" s="1191"/>
      <c r="AW160" s="1191"/>
      <c r="AX160" s="1191"/>
      <c r="AY160" s="1191"/>
      <c r="AZ160" s="1191"/>
      <c r="BA160" s="1191"/>
      <c r="BB160" s="1191"/>
      <c r="BC160" s="1191"/>
      <c r="BD160" s="1191"/>
      <c r="BE160" s="1195"/>
    </row>
    <row r="161" spans="1:57" ht="15.75" customHeight="1" thickBot="1">
      <c r="A161" s="1191"/>
      <c r="B161" s="1191"/>
      <c r="C161" s="1191"/>
      <c r="D161" s="1191"/>
      <c r="E161" s="1191"/>
      <c r="F161" s="1191"/>
      <c r="G161" s="1191"/>
      <c r="H161" s="1191"/>
      <c r="I161" s="1191"/>
      <c r="J161" s="1191"/>
      <c r="K161" s="1191"/>
      <c r="L161" s="1191"/>
      <c r="M161" s="1191"/>
      <c r="N161" s="1191"/>
      <c r="O161" s="1191"/>
      <c r="P161" s="1191"/>
      <c r="Q161" s="1191"/>
      <c r="R161" s="1191"/>
      <c r="S161" s="1191"/>
      <c r="T161" s="1191"/>
      <c r="U161" s="1191"/>
      <c r="V161" s="1191"/>
      <c r="W161" s="1191"/>
      <c r="X161" s="1191"/>
      <c r="Y161" s="1191"/>
      <c r="Z161" s="1191"/>
      <c r="AA161" s="1191"/>
      <c r="AB161" s="1191"/>
      <c r="AC161" s="1191"/>
      <c r="AD161" s="1191"/>
      <c r="AE161" s="1191"/>
      <c r="AF161" s="1191"/>
      <c r="AG161" s="1191"/>
      <c r="AH161" s="1191"/>
      <c r="AI161" s="1191"/>
      <c r="AJ161" s="1191"/>
      <c r="AK161" s="1191"/>
      <c r="AL161" s="1191"/>
      <c r="AM161" s="1191"/>
      <c r="AN161" s="1191"/>
      <c r="AO161" s="1191"/>
      <c r="AP161" s="1191"/>
      <c r="AQ161" s="1191"/>
      <c r="AR161" s="1191"/>
      <c r="AS161" s="1191"/>
      <c r="AT161" s="1191"/>
      <c r="AU161" s="1191"/>
      <c r="AV161" s="1191"/>
      <c r="AW161" s="1191"/>
      <c r="AX161" s="1191"/>
      <c r="AY161" s="1191"/>
      <c r="AZ161" s="1191"/>
      <c r="BA161" s="1191"/>
      <c r="BB161" s="1191"/>
      <c r="BC161" s="1191"/>
      <c r="BD161" s="1191"/>
      <c r="BE161" s="1195"/>
    </row>
    <row r="162" spans="1:57" ht="15.75" customHeight="1">
      <c r="A162" s="1191"/>
      <c r="B162" s="1191"/>
      <c r="C162" s="2070" t="s">
        <v>2345</v>
      </c>
      <c r="D162" s="2026"/>
      <c r="E162" s="2026"/>
      <c r="F162" s="2026"/>
      <c r="G162" s="2026"/>
      <c r="H162" s="2026"/>
      <c r="I162" s="2026"/>
      <c r="J162" s="2026"/>
      <c r="K162" s="2026"/>
      <c r="L162" s="2026"/>
      <c r="M162" s="2026"/>
      <c r="N162" s="2026"/>
      <c r="O162" s="2026"/>
      <c r="P162" s="2026"/>
      <c r="Q162" s="2026"/>
      <c r="R162" s="2026"/>
      <c r="S162" s="2026"/>
      <c r="T162" s="2026"/>
      <c r="U162" s="2026"/>
      <c r="V162" s="2026"/>
      <c r="W162" s="2026"/>
      <c r="X162" s="2026"/>
      <c r="Y162" s="2026"/>
      <c r="Z162" s="2026"/>
      <c r="AA162" s="2026"/>
      <c r="AB162" s="2026"/>
      <c r="AC162" s="2026"/>
      <c r="AD162" s="2026"/>
      <c r="AE162" s="2026"/>
      <c r="AF162" s="2026"/>
      <c r="AG162" s="2027"/>
      <c r="AH162" s="1191"/>
      <c r="AI162" s="1191"/>
      <c r="AJ162" s="1191"/>
      <c r="AK162" s="1191"/>
      <c r="AL162" s="1191"/>
      <c r="AM162" s="1191"/>
      <c r="AN162" s="1191"/>
      <c r="AO162" s="1191"/>
      <c r="AP162" s="1191"/>
      <c r="AQ162" s="1191"/>
      <c r="AR162" s="1191"/>
      <c r="AS162" s="1191"/>
      <c r="AT162" s="1191"/>
      <c r="AU162" s="1191"/>
      <c r="AV162" s="1191"/>
      <c r="AW162" s="1191"/>
      <c r="AX162" s="1191"/>
      <c r="AY162" s="1191"/>
      <c r="AZ162" s="1191"/>
      <c r="BA162" s="1191"/>
      <c r="BB162" s="1191"/>
      <c r="BC162" s="1191"/>
      <c r="BD162" s="1191"/>
      <c r="BE162" s="1195"/>
    </row>
    <row r="163" spans="1:57" ht="15.75" customHeight="1">
      <c r="A163" s="1191"/>
      <c r="B163" s="1191"/>
      <c r="C163" s="2038" t="s">
        <v>2330</v>
      </c>
      <c r="D163" s="2039"/>
      <c r="E163" s="2039"/>
      <c r="F163" s="2039"/>
      <c r="G163" s="2039"/>
      <c r="H163" s="2039"/>
      <c r="I163" s="2039"/>
      <c r="J163" s="2039"/>
      <c r="K163" s="2039"/>
      <c r="L163" s="2039"/>
      <c r="M163" s="2039"/>
      <c r="N163" s="2039"/>
      <c r="O163" s="2039"/>
      <c r="P163" s="2039"/>
      <c r="Q163" s="2039" t="s">
        <v>2344</v>
      </c>
      <c r="R163" s="2039"/>
      <c r="S163" s="2039"/>
      <c r="T163" s="2071" t="s">
        <v>2343</v>
      </c>
      <c r="U163" s="2071"/>
      <c r="V163" s="2071"/>
      <c r="W163" s="2071"/>
      <c r="X163" s="2071"/>
      <c r="Y163" s="2071"/>
      <c r="Z163" s="2071"/>
      <c r="AA163" s="2071"/>
      <c r="AB163" s="2039" t="s">
        <v>2342</v>
      </c>
      <c r="AC163" s="2039"/>
      <c r="AD163" s="2039"/>
      <c r="AE163" s="2039"/>
      <c r="AF163" s="2039"/>
      <c r="AG163" s="2040"/>
      <c r="AH163" s="1191"/>
      <c r="AI163" s="1191"/>
      <c r="AJ163" s="1191"/>
      <c r="AK163" s="1191"/>
      <c r="AL163" s="1191"/>
      <c r="AM163" s="1191"/>
      <c r="AN163" s="1191"/>
      <c r="AO163" s="1191"/>
      <c r="AP163" s="1191"/>
      <c r="AQ163" s="1191"/>
      <c r="AR163" s="1191"/>
      <c r="AS163" s="1191"/>
      <c r="AT163" s="1191"/>
      <c r="AU163" s="1191"/>
      <c r="AV163" s="1191"/>
      <c r="AW163" s="1191"/>
      <c r="AX163" s="1191"/>
      <c r="AY163" s="1191"/>
      <c r="AZ163" s="1191"/>
      <c r="BA163" s="1191"/>
      <c r="BB163" s="1191"/>
      <c r="BC163" s="1191"/>
      <c r="BD163" s="1191"/>
      <c r="BE163" s="1195"/>
    </row>
    <row r="164" spans="1:57" ht="15.75" customHeight="1">
      <c r="A164" s="1191"/>
      <c r="B164" s="1191"/>
      <c r="C164" s="2053" t="s">
        <v>2341</v>
      </c>
      <c r="D164" s="2054"/>
      <c r="E164" s="2054"/>
      <c r="F164" s="2054"/>
      <c r="G164" s="2054"/>
      <c r="H164" s="2054"/>
      <c r="I164" s="2054"/>
      <c r="J164" s="2054"/>
      <c r="K164" s="2054"/>
      <c r="L164" s="2054"/>
      <c r="M164" s="2054"/>
      <c r="N164" s="2054"/>
      <c r="O164" s="2054"/>
      <c r="P164" s="2054"/>
      <c r="Q164" s="1996">
        <v>55</v>
      </c>
      <c r="R164" s="1996"/>
      <c r="S164" s="1996"/>
      <c r="T164" s="2047"/>
      <c r="U164" s="2047"/>
      <c r="V164" s="2047"/>
      <c r="W164" s="2047"/>
      <c r="X164" s="2047"/>
      <c r="Y164" s="2047"/>
      <c r="Z164" s="2047"/>
      <c r="AA164" s="2047"/>
      <c r="AB164" s="1229"/>
      <c r="AC164" s="1229"/>
      <c r="AD164" s="1229"/>
      <c r="AE164" s="1229"/>
      <c r="AF164" s="1229"/>
      <c r="AG164" s="1230"/>
      <c r="AH164" s="1191"/>
      <c r="AI164" s="1191"/>
      <c r="AJ164" s="1191"/>
      <c r="AK164" s="1191"/>
      <c r="AL164" s="1191"/>
      <c r="AM164" s="1191"/>
      <c r="AN164" s="1191"/>
      <c r="AO164" s="1191"/>
      <c r="AP164" s="1191" t="s">
        <v>249</v>
      </c>
      <c r="AQ164" s="1191"/>
      <c r="AR164" s="1191"/>
      <c r="AS164" s="1191"/>
      <c r="AT164" s="1191"/>
      <c r="AU164" s="1191"/>
      <c r="AV164" s="1191"/>
      <c r="AW164" s="1191"/>
      <c r="AX164" s="1191"/>
      <c r="AY164" s="1191"/>
      <c r="AZ164" s="1191"/>
      <c r="BA164" s="1191"/>
      <c r="BB164" s="1191"/>
      <c r="BC164" s="1191"/>
      <c r="BD164" s="1191"/>
      <c r="BE164" s="1195"/>
    </row>
    <row r="165" spans="1:57" ht="15.75" customHeight="1">
      <c r="A165" s="1191"/>
      <c r="B165" s="1191"/>
      <c r="C165" s="2053" t="s">
        <v>2340</v>
      </c>
      <c r="D165" s="2054"/>
      <c r="E165" s="2054"/>
      <c r="F165" s="2054"/>
      <c r="G165" s="2054"/>
      <c r="H165" s="2054"/>
      <c r="I165" s="2054"/>
      <c r="J165" s="2054"/>
      <c r="K165" s="2054"/>
      <c r="L165" s="2054"/>
      <c r="M165" s="2054"/>
      <c r="N165" s="2054"/>
      <c r="O165" s="2054"/>
      <c r="P165" s="2054"/>
      <c r="Q165" s="1996">
        <v>55</v>
      </c>
      <c r="R165" s="1996"/>
      <c r="S165" s="1996"/>
      <c r="T165" s="2056"/>
      <c r="U165" s="2056"/>
      <c r="V165" s="2056"/>
      <c r="W165" s="2056"/>
      <c r="X165" s="2056"/>
      <c r="Y165" s="2056"/>
      <c r="Z165" s="2056"/>
      <c r="AA165" s="2056"/>
      <c r="AB165" s="1229"/>
      <c r="AC165" s="1229"/>
      <c r="AD165" s="1229"/>
      <c r="AE165" s="1229"/>
      <c r="AF165" s="1229"/>
      <c r="AG165" s="1230"/>
      <c r="AH165" s="1191"/>
      <c r="AI165" s="1191"/>
      <c r="AJ165" s="1191"/>
      <c r="AK165" s="1191"/>
      <c r="AL165" s="1191"/>
      <c r="AM165" s="1191"/>
      <c r="AN165" s="1191"/>
      <c r="AO165" s="1191"/>
      <c r="AP165" s="1191"/>
      <c r="AQ165" s="1191"/>
      <c r="AR165" s="1191"/>
      <c r="AS165" s="1191"/>
      <c r="AT165" s="1191"/>
      <c r="AU165" s="1191"/>
      <c r="AV165" s="1191"/>
      <c r="AW165" s="1191"/>
      <c r="AX165" s="1191"/>
      <c r="AY165" s="1191"/>
      <c r="AZ165" s="1191"/>
      <c r="BA165" s="1191"/>
      <c r="BB165" s="1191"/>
      <c r="BC165" s="1191"/>
      <c r="BD165" s="1191"/>
      <c r="BE165" s="1195"/>
    </row>
    <row r="166" spans="1:57" ht="15.75" customHeight="1">
      <c r="A166" s="1191"/>
      <c r="B166" s="1191"/>
      <c r="C166" s="2053" t="s">
        <v>2339</v>
      </c>
      <c r="D166" s="2054"/>
      <c r="E166" s="2054"/>
      <c r="F166" s="2054"/>
      <c r="G166" s="2054"/>
      <c r="H166" s="2054"/>
      <c r="I166" s="2054"/>
      <c r="J166" s="2054"/>
      <c r="K166" s="2054"/>
      <c r="L166" s="2054"/>
      <c r="M166" s="2054"/>
      <c r="N166" s="2054"/>
      <c r="O166" s="2054"/>
      <c r="P166" s="2054"/>
      <c r="Q166" s="1996">
        <v>55</v>
      </c>
      <c r="R166" s="1996"/>
      <c r="S166" s="1996"/>
      <c r="T166" s="2047"/>
      <c r="U166" s="2047"/>
      <c r="V166" s="2047"/>
      <c r="W166" s="2047"/>
      <c r="X166" s="2047"/>
      <c r="Y166" s="2047"/>
      <c r="Z166" s="2047"/>
      <c r="AA166" s="2047"/>
      <c r="AB166" s="1229"/>
      <c r="AC166" s="1229"/>
      <c r="AD166" s="1229"/>
      <c r="AE166" s="1229"/>
      <c r="AF166" s="1229"/>
      <c r="AG166" s="1230"/>
      <c r="AH166" s="1191"/>
      <c r="AI166" s="1191"/>
      <c r="AJ166" s="1191"/>
      <c r="AK166" s="1191"/>
      <c r="AL166" s="1191"/>
      <c r="AM166" s="1191"/>
      <c r="AN166" s="1191"/>
      <c r="AO166" s="1191"/>
      <c r="AP166" s="1191"/>
      <c r="AQ166" s="1191"/>
      <c r="AR166" s="1191"/>
      <c r="AS166" s="1191"/>
      <c r="AT166" s="1191"/>
      <c r="AU166" s="1191"/>
      <c r="AV166" s="1191"/>
      <c r="AW166" s="1191"/>
      <c r="AX166" s="1191"/>
      <c r="AY166" s="1191"/>
      <c r="AZ166" s="1191"/>
      <c r="BA166" s="1191"/>
      <c r="BB166" s="1191"/>
      <c r="BC166" s="1191"/>
      <c r="BD166" s="1191"/>
      <c r="BE166" s="1195"/>
    </row>
    <row r="167" spans="1:57" ht="15.75" customHeight="1">
      <c r="A167" s="1191"/>
      <c r="B167" s="1191"/>
      <c r="C167" s="2053" t="s">
        <v>2338</v>
      </c>
      <c r="D167" s="2054"/>
      <c r="E167" s="2054"/>
      <c r="F167" s="2054"/>
      <c r="G167" s="2054"/>
      <c r="H167" s="2054"/>
      <c r="I167" s="2054"/>
      <c r="J167" s="2054"/>
      <c r="K167" s="2054"/>
      <c r="L167" s="2054"/>
      <c r="M167" s="2054"/>
      <c r="N167" s="2054"/>
      <c r="O167" s="2054"/>
      <c r="P167" s="2054"/>
      <c r="Q167" s="1996">
        <v>55</v>
      </c>
      <c r="R167" s="1996"/>
      <c r="S167" s="1996"/>
      <c r="T167" s="2047"/>
      <c r="U167" s="2047"/>
      <c r="V167" s="2047"/>
      <c r="W167" s="2047"/>
      <c r="X167" s="2047"/>
      <c r="Y167" s="2047"/>
      <c r="Z167" s="2047"/>
      <c r="AA167" s="2047"/>
      <c r="AB167" s="2057">
        <v>0</v>
      </c>
      <c r="AC167" s="2057"/>
      <c r="AD167" s="2057"/>
      <c r="AE167" s="2057"/>
      <c r="AF167" s="2057"/>
      <c r="AG167" s="2058"/>
      <c r="AH167" s="1191"/>
      <c r="AI167" s="1191"/>
      <c r="AJ167" s="1191"/>
      <c r="AK167" s="1191"/>
      <c r="AL167" s="1191"/>
      <c r="AM167" s="1191"/>
      <c r="AN167" s="1191"/>
      <c r="AO167" s="1191"/>
      <c r="AP167" s="1191"/>
      <c r="AQ167" s="1191"/>
      <c r="AR167" s="1191"/>
      <c r="AS167" s="1191"/>
      <c r="AT167" s="1191"/>
      <c r="AU167" s="1191"/>
      <c r="AV167" s="1191"/>
      <c r="AW167" s="1191"/>
      <c r="AX167" s="1191"/>
      <c r="AY167" s="1191"/>
      <c r="AZ167" s="1191"/>
      <c r="BA167" s="1191"/>
      <c r="BB167" s="1191"/>
      <c r="BC167" s="1191"/>
      <c r="BD167" s="1191"/>
      <c r="BE167" s="1195"/>
    </row>
    <row r="168" spans="1:57" ht="15.75" customHeight="1">
      <c r="A168" s="1191"/>
      <c r="B168" s="1191"/>
      <c r="C168" s="2053" t="s">
        <v>169</v>
      </c>
      <c r="D168" s="2054"/>
      <c r="E168" s="2054"/>
      <c r="F168" s="2055" t="s">
        <v>2319</v>
      </c>
      <c r="G168" s="2055"/>
      <c r="H168" s="2055"/>
      <c r="I168" s="2055"/>
      <c r="J168" s="2055"/>
      <c r="K168" s="2055"/>
      <c r="L168" s="2055"/>
      <c r="M168" s="2055"/>
      <c r="N168" s="2055"/>
      <c r="O168" s="2055"/>
      <c r="P168" s="2055"/>
      <c r="Q168" s="1996">
        <v>55</v>
      </c>
      <c r="R168" s="1996"/>
      <c r="S168" s="1996"/>
      <c r="T168" s="2056"/>
      <c r="U168" s="2056"/>
      <c r="V168" s="2056"/>
      <c r="W168" s="2056"/>
      <c r="X168" s="2056"/>
      <c r="Y168" s="2056"/>
      <c r="Z168" s="2056"/>
      <c r="AA168" s="2056"/>
      <c r="AB168" s="2057">
        <v>0</v>
      </c>
      <c r="AC168" s="2057"/>
      <c r="AD168" s="2057"/>
      <c r="AE168" s="2057"/>
      <c r="AF168" s="2057"/>
      <c r="AG168" s="2058"/>
      <c r="AH168" s="1191"/>
      <c r="AI168" s="1191"/>
      <c r="AJ168" s="1191"/>
      <c r="AK168" s="1191"/>
      <c r="AL168" s="1191"/>
      <c r="AM168" s="1191"/>
      <c r="AN168" s="1191"/>
      <c r="AO168" s="1191"/>
      <c r="AP168" s="1191"/>
      <c r="AQ168" s="1191"/>
      <c r="AR168" s="1191"/>
      <c r="AS168" s="1191"/>
      <c r="AT168" s="1191"/>
      <c r="AU168" s="1191"/>
      <c r="AV168" s="1191"/>
      <c r="AW168" s="1191"/>
      <c r="AX168" s="1191"/>
      <c r="AY168" s="1191"/>
      <c r="AZ168" s="1191"/>
      <c r="BA168" s="1191"/>
      <c r="BB168" s="1191"/>
      <c r="BC168" s="1191"/>
      <c r="BD168" s="1191"/>
      <c r="BE168" s="1195"/>
    </row>
    <row r="169" spans="1:57" ht="15.75" customHeight="1">
      <c r="A169" s="1191"/>
      <c r="B169" s="1191"/>
      <c r="C169" s="2053" t="s">
        <v>169</v>
      </c>
      <c r="D169" s="2054"/>
      <c r="E169" s="2054"/>
      <c r="F169" s="2055" t="s">
        <v>2319</v>
      </c>
      <c r="G169" s="2055"/>
      <c r="H169" s="2055"/>
      <c r="I169" s="2055"/>
      <c r="J169" s="2055"/>
      <c r="K169" s="2055"/>
      <c r="L169" s="2055"/>
      <c r="M169" s="2055"/>
      <c r="N169" s="2055"/>
      <c r="O169" s="2055"/>
      <c r="P169" s="2055"/>
      <c r="Q169" s="1996">
        <v>55</v>
      </c>
      <c r="R169" s="1996"/>
      <c r="S169" s="1996"/>
      <c r="T169" s="2056"/>
      <c r="U169" s="2056"/>
      <c r="V169" s="2056"/>
      <c r="W169" s="2056"/>
      <c r="X169" s="2056"/>
      <c r="Y169" s="2056"/>
      <c r="Z169" s="2056"/>
      <c r="AA169" s="2056"/>
      <c r="AB169" s="2057">
        <v>0</v>
      </c>
      <c r="AC169" s="2057"/>
      <c r="AD169" s="2057"/>
      <c r="AE169" s="2057"/>
      <c r="AF169" s="2057"/>
      <c r="AG169" s="2058"/>
      <c r="AH169" s="1191"/>
      <c r="AI169" s="1191"/>
      <c r="AJ169" s="1191"/>
      <c r="AK169" s="1191" t="s">
        <v>249</v>
      </c>
      <c r="AL169" s="1191"/>
      <c r="AM169" s="1191"/>
      <c r="AN169" s="1191"/>
      <c r="AO169" s="1191"/>
      <c r="AP169" s="1191"/>
      <c r="AQ169" s="1191"/>
      <c r="AR169" s="1191"/>
      <c r="AS169" s="1191"/>
      <c r="AT169" s="1191"/>
      <c r="AU169" s="1191"/>
      <c r="AV169" s="1191"/>
      <c r="AW169" s="1191"/>
      <c r="AX169" s="1191"/>
      <c r="AY169" s="1191"/>
      <c r="AZ169" s="1191"/>
      <c r="BA169" s="1191"/>
      <c r="BB169" s="1191"/>
      <c r="BC169" s="1191"/>
      <c r="BD169" s="1191"/>
      <c r="BE169" s="1195"/>
    </row>
    <row r="170" spans="1:57" ht="15.75" customHeight="1" thickBot="1">
      <c r="A170" s="1191"/>
      <c r="B170" s="1191"/>
      <c r="C170" s="2059" t="s">
        <v>169</v>
      </c>
      <c r="D170" s="2060"/>
      <c r="E170" s="2060"/>
      <c r="F170" s="2061" t="s">
        <v>2319</v>
      </c>
      <c r="G170" s="2061"/>
      <c r="H170" s="2061"/>
      <c r="I170" s="2061"/>
      <c r="J170" s="2061"/>
      <c r="K170" s="2061"/>
      <c r="L170" s="2061"/>
      <c r="M170" s="2061"/>
      <c r="N170" s="2061"/>
      <c r="O170" s="2061"/>
      <c r="P170" s="2061"/>
      <c r="Q170" s="2062">
        <v>55</v>
      </c>
      <c r="R170" s="2062"/>
      <c r="S170" s="2062"/>
      <c r="T170" s="2063"/>
      <c r="U170" s="2063"/>
      <c r="V170" s="2063"/>
      <c r="W170" s="2063"/>
      <c r="X170" s="2063"/>
      <c r="Y170" s="2063"/>
      <c r="Z170" s="2063"/>
      <c r="AA170" s="2063"/>
      <c r="AB170" s="2064">
        <v>0</v>
      </c>
      <c r="AC170" s="2064"/>
      <c r="AD170" s="2064"/>
      <c r="AE170" s="2064"/>
      <c r="AF170" s="2064"/>
      <c r="AG170" s="2065"/>
      <c r="AH170" s="1191"/>
      <c r="AI170" s="1191"/>
      <c r="AJ170" s="1191"/>
      <c r="AK170" s="1191"/>
      <c r="AL170" s="1191"/>
      <c r="AM170" s="1191"/>
      <c r="AN170" s="1191"/>
      <c r="AO170" s="1191"/>
      <c r="AP170" s="1191"/>
      <c r="AQ170" s="1191"/>
      <c r="AR170" s="1191"/>
      <c r="AS170" s="1191"/>
      <c r="AT170" s="1191"/>
      <c r="AU170" s="1191"/>
      <c r="AV170" s="1191"/>
      <c r="AW170" s="1191"/>
      <c r="AX170" s="1191"/>
      <c r="AY170" s="1191"/>
      <c r="AZ170" s="1191"/>
      <c r="BA170" s="1191"/>
      <c r="BB170" s="1191"/>
      <c r="BC170" s="1191"/>
      <c r="BD170" s="1191"/>
      <c r="BE170" s="1195"/>
    </row>
    <row r="171" spans="1:57" ht="15.75" customHeight="1" thickBot="1">
      <c r="A171" s="1191"/>
      <c r="B171" s="1191"/>
      <c r="C171" s="1191"/>
      <c r="D171" s="1191"/>
      <c r="E171" s="1191"/>
      <c r="F171" s="1191"/>
      <c r="G171" s="1191"/>
      <c r="H171" s="1191"/>
      <c r="I171" s="1191"/>
      <c r="J171" s="1191"/>
      <c r="K171" s="1191"/>
      <c r="L171" s="1191"/>
      <c r="M171" s="1191"/>
      <c r="N171" s="1191"/>
      <c r="O171" s="1191"/>
      <c r="P171" s="1191"/>
      <c r="Q171" s="1191"/>
      <c r="R171" s="1191"/>
      <c r="S171" s="1191"/>
      <c r="T171" s="1191"/>
      <c r="U171" s="1191"/>
      <c r="V171" s="1191"/>
      <c r="W171" s="1191"/>
      <c r="X171" s="1191"/>
      <c r="Y171" s="1191"/>
      <c r="Z171" s="1191"/>
      <c r="AA171" s="1191"/>
      <c r="AB171" s="1191"/>
      <c r="AC171" s="1191"/>
      <c r="AD171" s="1191"/>
      <c r="AE171" s="1191"/>
      <c r="AF171" s="1191"/>
      <c r="AG171" s="1191"/>
      <c r="AH171" s="1191"/>
      <c r="AI171" s="1191"/>
      <c r="AJ171" s="1191"/>
      <c r="AK171" s="1191"/>
      <c r="AL171" s="1191"/>
      <c r="AM171" s="1191"/>
      <c r="AN171" s="1191"/>
      <c r="AO171" s="1191"/>
      <c r="AP171" s="1191"/>
      <c r="AQ171" s="1191"/>
      <c r="AR171" s="1191"/>
      <c r="AS171" s="1191"/>
      <c r="AT171" s="1191"/>
      <c r="AU171" s="1191"/>
      <c r="AV171" s="1191"/>
      <c r="AW171" s="1191"/>
      <c r="AX171" s="1191"/>
      <c r="AY171" s="1191"/>
      <c r="AZ171" s="1191"/>
      <c r="BA171" s="1191"/>
      <c r="BB171" s="1191"/>
      <c r="BC171" s="1191"/>
      <c r="BD171" s="1191"/>
      <c r="BE171" s="1195"/>
    </row>
    <row r="172" spans="1:57" ht="15.75" customHeight="1">
      <c r="A172" s="1191"/>
      <c r="B172" s="1191"/>
      <c r="C172" s="2024" t="s">
        <v>2337</v>
      </c>
      <c r="D172" s="2025"/>
      <c r="E172" s="2025"/>
      <c r="F172" s="2025"/>
      <c r="G172" s="2025"/>
      <c r="H172" s="2025"/>
      <c r="I172" s="2025"/>
      <c r="J172" s="2025"/>
      <c r="K172" s="2025"/>
      <c r="L172" s="2025"/>
      <c r="M172" s="2025"/>
      <c r="N172" s="2034"/>
      <c r="O172" s="1191"/>
      <c r="P172" s="2035" t="s">
        <v>2336</v>
      </c>
      <c r="Q172" s="2036"/>
      <c r="R172" s="2036"/>
      <c r="S172" s="2036"/>
      <c r="T172" s="2036"/>
      <c r="U172" s="2036"/>
      <c r="V172" s="2036"/>
      <c r="W172" s="2036"/>
      <c r="X172" s="2036"/>
      <c r="Y172" s="2036"/>
      <c r="Z172" s="2036"/>
      <c r="AA172" s="2036"/>
      <c r="AB172" s="2036"/>
      <c r="AC172" s="2036"/>
      <c r="AD172" s="2036"/>
      <c r="AE172" s="2036"/>
      <c r="AF172" s="2036"/>
      <c r="AG172" s="2036"/>
      <c r="AH172" s="2036"/>
      <c r="AI172" s="2036"/>
      <c r="AJ172" s="2036"/>
      <c r="AK172" s="2036"/>
      <c r="AL172" s="2036"/>
      <c r="AM172" s="2036"/>
      <c r="AN172" s="2036"/>
      <c r="AO172" s="2037"/>
      <c r="AP172" s="1191"/>
      <c r="AQ172" s="1191"/>
      <c r="AR172" s="1191"/>
      <c r="AS172" s="1191"/>
      <c r="AT172" s="1191"/>
      <c r="AU172" s="1191"/>
      <c r="AV172" s="1191"/>
      <c r="AW172" s="1191"/>
      <c r="AX172" s="1191"/>
      <c r="AY172" s="1191"/>
      <c r="AZ172" s="1191"/>
      <c r="BA172" s="1191"/>
      <c r="BB172" s="1191"/>
      <c r="BC172" s="1191"/>
      <c r="BD172" s="1191"/>
      <c r="BE172" s="1195"/>
    </row>
    <row r="173" spans="1:57" ht="15.75" customHeight="1">
      <c r="A173" s="1191"/>
      <c r="B173" s="1191"/>
      <c r="C173" s="2038" t="s">
        <v>2335</v>
      </c>
      <c r="D173" s="2039"/>
      <c r="E173" s="2039"/>
      <c r="F173" s="2039"/>
      <c r="G173" s="2039"/>
      <c r="H173" s="2039"/>
      <c r="I173" s="2039" t="s">
        <v>2334</v>
      </c>
      <c r="J173" s="2039"/>
      <c r="K173" s="2039"/>
      <c r="L173" s="2039"/>
      <c r="M173" s="2039"/>
      <c r="N173" s="2040"/>
      <c r="O173" s="1191"/>
      <c r="P173" s="2041" t="s">
        <v>2333</v>
      </c>
      <c r="Q173" s="2042"/>
      <c r="R173" s="2042"/>
      <c r="S173" s="2042"/>
      <c r="T173" s="2042"/>
      <c r="U173" s="2042"/>
      <c r="V173" s="2042"/>
      <c r="W173" s="2042"/>
      <c r="X173" s="2042"/>
      <c r="Y173" s="2042"/>
      <c r="Z173" s="2042"/>
      <c r="AA173" s="2042"/>
      <c r="AB173" s="2042"/>
      <c r="AC173" s="2042"/>
      <c r="AD173" s="2042"/>
      <c r="AE173" s="2042"/>
      <c r="AF173" s="2042"/>
      <c r="AG173" s="2042"/>
      <c r="AH173" s="2042"/>
      <c r="AI173" s="2042"/>
      <c r="AJ173" s="2042"/>
      <c r="AK173" s="2042"/>
      <c r="AL173" s="2042"/>
      <c r="AM173" s="2042"/>
      <c r="AN173" s="2042"/>
      <c r="AO173" s="2043"/>
      <c r="AP173" s="1191"/>
      <c r="AQ173" s="1191"/>
      <c r="AR173" s="1191"/>
      <c r="AS173" s="1191"/>
      <c r="AT173" s="1191"/>
      <c r="AU173" s="1191"/>
      <c r="AV173" s="1191"/>
      <c r="AW173" s="1191"/>
      <c r="AX173" s="1191"/>
      <c r="AY173" s="1191"/>
      <c r="AZ173" s="1191"/>
      <c r="BA173" s="1191"/>
      <c r="BB173" s="1191"/>
      <c r="BC173" s="1191"/>
      <c r="BD173" s="1191"/>
      <c r="BE173" s="1195"/>
    </row>
    <row r="174" spans="1:57" ht="15.75" customHeight="1">
      <c r="A174" s="1191"/>
      <c r="B174" s="1191"/>
      <c r="C174" s="1986"/>
      <c r="D174" s="1987"/>
      <c r="E174" s="1987"/>
      <c r="F174" s="1987"/>
      <c r="G174" s="1987"/>
      <c r="H174" s="1987"/>
      <c r="I174" s="2047"/>
      <c r="J174" s="2047"/>
      <c r="K174" s="2047"/>
      <c r="L174" s="2047"/>
      <c r="M174" s="2047"/>
      <c r="N174" s="2048"/>
      <c r="O174" s="1191"/>
      <c r="P174" s="2041"/>
      <c r="Q174" s="2042"/>
      <c r="R174" s="2042"/>
      <c r="S174" s="2042"/>
      <c r="T174" s="2042"/>
      <c r="U174" s="2042"/>
      <c r="V174" s="2042"/>
      <c r="W174" s="2042"/>
      <c r="X174" s="2042"/>
      <c r="Y174" s="2042"/>
      <c r="Z174" s="2042"/>
      <c r="AA174" s="2042"/>
      <c r="AB174" s="2042"/>
      <c r="AC174" s="2042"/>
      <c r="AD174" s="2042"/>
      <c r="AE174" s="2042"/>
      <c r="AF174" s="2042"/>
      <c r="AG174" s="2042"/>
      <c r="AH174" s="2042"/>
      <c r="AI174" s="2042"/>
      <c r="AJ174" s="2042"/>
      <c r="AK174" s="2042"/>
      <c r="AL174" s="2042"/>
      <c r="AM174" s="2042"/>
      <c r="AN174" s="2042"/>
      <c r="AO174" s="2043"/>
      <c r="AP174" s="1191"/>
      <c r="AQ174" s="1191"/>
      <c r="AR174" s="1191"/>
      <c r="AS174" s="1191"/>
      <c r="AT174" s="1191"/>
      <c r="AU174" s="1191"/>
      <c r="AV174" s="1191"/>
      <c r="AW174" s="1191"/>
      <c r="AX174" s="1191"/>
      <c r="AY174" s="1191"/>
      <c r="AZ174" s="1191"/>
      <c r="BA174" s="1191"/>
      <c r="BB174" s="1191"/>
      <c r="BC174" s="1191"/>
      <c r="BD174" s="1191"/>
      <c r="BE174" s="1195"/>
    </row>
    <row r="175" spans="1:57" ht="15.75" customHeight="1">
      <c r="A175" s="1191"/>
      <c r="B175" s="1191"/>
      <c r="C175" s="1986"/>
      <c r="D175" s="1987"/>
      <c r="E175" s="1987"/>
      <c r="F175" s="1987"/>
      <c r="G175" s="1987"/>
      <c r="H175" s="1987"/>
      <c r="I175" s="2047"/>
      <c r="J175" s="2047"/>
      <c r="K175" s="2047"/>
      <c r="L175" s="2047"/>
      <c r="M175" s="2047"/>
      <c r="N175" s="2048"/>
      <c r="O175" s="1191"/>
      <c r="P175" s="2041"/>
      <c r="Q175" s="2042"/>
      <c r="R175" s="2042"/>
      <c r="S175" s="2042"/>
      <c r="T175" s="2042"/>
      <c r="U175" s="2042"/>
      <c r="V175" s="2042"/>
      <c r="W175" s="2042"/>
      <c r="X175" s="2042"/>
      <c r="Y175" s="2042"/>
      <c r="Z175" s="2042"/>
      <c r="AA175" s="2042"/>
      <c r="AB175" s="2042"/>
      <c r="AC175" s="2042"/>
      <c r="AD175" s="2042"/>
      <c r="AE175" s="2042"/>
      <c r="AF175" s="2042"/>
      <c r="AG175" s="2042"/>
      <c r="AH175" s="2042"/>
      <c r="AI175" s="2042"/>
      <c r="AJ175" s="2042"/>
      <c r="AK175" s="2042"/>
      <c r="AL175" s="2042"/>
      <c r="AM175" s="2042"/>
      <c r="AN175" s="2042"/>
      <c r="AO175" s="2043"/>
      <c r="AP175" s="1191"/>
      <c r="AQ175" s="1191"/>
      <c r="AR175" s="1191"/>
      <c r="AS175" s="1191"/>
      <c r="AT175" s="1191"/>
      <c r="AU175" s="1191"/>
      <c r="AV175" s="1191"/>
      <c r="AW175" s="1191"/>
      <c r="AX175" s="1191"/>
      <c r="AY175" s="1191"/>
      <c r="AZ175" s="1191"/>
      <c r="BA175" s="1191"/>
      <c r="BB175" s="1191"/>
      <c r="BC175" s="1191"/>
      <c r="BD175" s="1191"/>
      <c r="BE175" s="1195"/>
    </row>
    <row r="176" spans="1:57" ht="15.75" customHeight="1">
      <c r="A176" s="1191"/>
      <c r="B176" s="1191"/>
      <c r="C176" s="1986"/>
      <c r="D176" s="1987"/>
      <c r="E176" s="1987"/>
      <c r="F176" s="1987"/>
      <c r="G176" s="1987"/>
      <c r="H176" s="1987"/>
      <c r="I176" s="2047"/>
      <c r="J176" s="2047"/>
      <c r="K176" s="2047"/>
      <c r="L176" s="2047"/>
      <c r="M176" s="2047"/>
      <c r="N176" s="2048"/>
      <c r="O176" s="1191"/>
      <c r="P176" s="2041"/>
      <c r="Q176" s="2042"/>
      <c r="R176" s="2042"/>
      <c r="S176" s="2042"/>
      <c r="T176" s="2042"/>
      <c r="U176" s="2042"/>
      <c r="V176" s="2042"/>
      <c r="W176" s="2042"/>
      <c r="X176" s="2042"/>
      <c r="Y176" s="2042"/>
      <c r="Z176" s="2042"/>
      <c r="AA176" s="2042"/>
      <c r="AB176" s="2042"/>
      <c r="AC176" s="2042"/>
      <c r="AD176" s="2042"/>
      <c r="AE176" s="2042"/>
      <c r="AF176" s="2042"/>
      <c r="AG176" s="2042"/>
      <c r="AH176" s="2042"/>
      <c r="AI176" s="2042"/>
      <c r="AJ176" s="2042"/>
      <c r="AK176" s="2042"/>
      <c r="AL176" s="2042"/>
      <c r="AM176" s="2042"/>
      <c r="AN176" s="2042"/>
      <c r="AO176" s="2043"/>
      <c r="AP176" s="1191"/>
      <c r="AQ176" s="1191"/>
      <c r="AR176" s="1191"/>
      <c r="AS176" s="1191"/>
      <c r="AT176" s="1191"/>
      <c r="AU176" s="1191"/>
      <c r="AV176" s="1191"/>
      <c r="AW176" s="1191"/>
      <c r="AX176" s="1191"/>
      <c r="AY176" s="1191"/>
      <c r="AZ176" s="1191"/>
      <c r="BA176" s="1191"/>
      <c r="BB176" s="1191"/>
      <c r="BC176" s="1191"/>
      <c r="BD176" s="1191"/>
      <c r="BE176" s="1195"/>
    </row>
    <row r="177" spans="1:57" ht="15.75" customHeight="1">
      <c r="A177" s="1191"/>
      <c r="B177" s="1191"/>
      <c r="C177" s="1986"/>
      <c r="D177" s="1987"/>
      <c r="E177" s="1987"/>
      <c r="F177" s="1987"/>
      <c r="G177" s="1987"/>
      <c r="H177" s="1987"/>
      <c r="I177" s="2047"/>
      <c r="J177" s="2047"/>
      <c r="K177" s="2047"/>
      <c r="L177" s="2047"/>
      <c r="M177" s="2047"/>
      <c r="N177" s="2048"/>
      <c r="O177" s="1191"/>
      <c r="P177" s="2041"/>
      <c r="Q177" s="2042"/>
      <c r="R177" s="2042"/>
      <c r="S177" s="2042"/>
      <c r="T177" s="2042"/>
      <c r="U177" s="2042"/>
      <c r="V177" s="2042"/>
      <c r="W177" s="2042"/>
      <c r="X177" s="2042"/>
      <c r="Y177" s="2042"/>
      <c r="Z177" s="2042"/>
      <c r="AA177" s="2042"/>
      <c r="AB177" s="2042"/>
      <c r="AC177" s="2042"/>
      <c r="AD177" s="2042"/>
      <c r="AE177" s="2042"/>
      <c r="AF177" s="2042"/>
      <c r="AG177" s="2042"/>
      <c r="AH177" s="2042"/>
      <c r="AI177" s="2042"/>
      <c r="AJ177" s="2042"/>
      <c r="AK177" s="2042"/>
      <c r="AL177" s="2042"/>
      <c r="AM177" s="2042"/>
      <c r="AN177" s="2042"/>
      <c r="AO177" s="2043"/>
      <c r="AP177" s="1191"/>
      <c r="AQ177" s="1191"/>
      <c r="AR177" s="1191"/>
      <c r="AS177" s="1191"/>
      <c r="AT177" s="1191"/>
      <c r="AU177" s="1191"/>
      <c r="AV177" s="1191"/>
      <c r="AW177" s="1191"/>
      <c r="AX177" s="1191"/>
      <c r="AY177" s="1191"/>
      <c r="AZ177" s="1191"/>
      <c r="BA177" s="1191"/>
      <c r="BB177" s="1191"/>
      <c r="BC177" s="1191"/>
      <c r="BD177" s="1191"/>
      <c r="BE177" s="1195"/>
    </row>
    <row r="178" spans="1:57" ht="15.75" customHeight="1">
      <c r="A178" s="1191"/>
      <c r="B178" s="1191"/>
      <c r="C178" s="1986"/>
      <c r="D178" s="1987"/>
      <c r="E178" s="1987"/>
      <c r="F178" s="1987"/>
      <c r="G178" s="1987"/>
      <c r="H178" s="1987"/>
      <c r="I178" s="2047"/>
      <c r="J178" s="2047"/>
      <c r="K178" s="2047"/>
      <c r="L178" s="2047"/>
      <c r="M178" s="2047"/>
      <c r="N178" s="2048"/>
      <c r="O178" s="1191"/>
      <c r="P178" s="2041"/>
      <c r="Q178" s="2042"/>
      <c r="R178" s="2042"/>
      <c r="S178" s="2042"/>
      <c r="T178" s="2042"/>
      <c r="U178" s="2042"/>
      <c r="V178" s="2042"/>
      <c r="W178" s="2042"/>
      <c r="X178" s="2042"/>
      <c r="Y178" s="2042"/>
      <c r="Z178" s="2042"/>
      <c r="AA178" s="2042"/>
      <c r="AB178" s="2042"/>
      <c r="AC178" s="2042"/>
      <c r="AD178" s="2042"/>
      <c r="AE178" s="2042"/>
      <c r="AF178" s="2042"/>
      <c r="AG178" s="2042"/>
      <c r="AH178" s="2042"/>
      <c r="AI178" s="2042"/>
      <c r="AJ178" s="2042"/>
      <c r="AK178" s="2042"/>
      <c r="AL178" s="2042"/>
      <c r="AM178" s="2042"/>
      <c r="AN178" s="2042"/>
      <c r="AO178" s="2043"/>
      <c r="AP178" s="1191"/>
      <c r="AQ178" s="1191"/>
      <c r="AR178" s="1191"/>
      <c r="AS178" s="1191"/>
      <c r="AT178" s="1191"/>
      <c r="AU178" s="1191"/>
      <c r="AV178" s="1191"/>
      <c r="AW178" s="1191"/>
      <c r="AX178" s="1191"/>
      <c r="AY178" s="1191"/>
      <c r="AZ178" s="1191"/>
      <c r="BA178" s="1191"/>
      <c r="BB178" s="1191"/>
      <c r="BC178" s="1191"/>
      <c r="BD178" s="1191"/>
      <c r="BE178" s="1195"/>
    </row>
    <row r="179" spans="1:57" ht="15.75" customHeight="1">
      <c r="A179" s="1191"/>
      <c r="B179" s="1191"/>
      <c r="C179" s="1986"/>
      <c r="D179" s="1987"/>
      <c r="E179" s="1987"/>
      <c r="F179" s="1987"/>
      <c r="G179" s="1987"/>
      <c r="H179" s="1987"/>
      <c r="I179" s="2047"/>
      <c r="J179" s="2047"/>
      <c r="K179" s="2047"/>
      <c r="L179" s="2047"/>
      <c r="M179" s="2047"/>
      <c r="N179" s="2048"/>
      <c r="O179" s="1191"/>
      <c r="P179" s="2041"/>
      <c r="Q179" s="2042"/>
      <c r="R179" s="2042"/>
      <c r="S179" s="2042"/>
      <c r="T179" s="2042"/>
      <c r="U179" s="2042"/>
      <c r="V179" s="2042"/>
      <c r="W179" s="2042"/>
      <c r="X179" s="2042"/>
      <c r="Y179" s="2042"/>
      <c r="Z179" s="2042"/>
      <c r="AA179" s="2042"/>
      <c r="AB179" s="2042"/>
      <c r="AC179" s="2042"/>
      <c r="AD179" s="2042"/>
      <c r="AE179" s="2042"/>
      <c r="AF179" s="2042"/>
      <c r="AG179" s="2042"/>
      <c r="AH179" s="2042"/>
      <c r="AI179" s="2042"/>
      <c r="AJ179" s="2042"/>
      <c r="AK179" s="2042"/>
      <c r="AL179" s="2042"/>
      <c r="AM179" s="2042"/>
      <c r="AN179" s="2042"/>
      <c r="AO179" s="2043"/>
      <c r="AP179" s="1191"/>
      <c r="AQ179" s="1191"/>
      <c r="AR179" s="1191"/>
      <c r="AS179" s="1191"/>
      <c r="AT179" s="1191"/>
      <c r="AU179" s="1191"/>
      <c r="AV179" s="1191"/>
      <c r="AW179" s="1191"/>
      <c r="AX179" s="1191"/>
      <c r="AY179" s="1191"/>
      <c r="AZ179" s="1191"/>
      <c r="BA179" s="1191"/>
      <c r="BB179" s="1191"/>
      <c r="BC179" s="1191"/>
      <c r="BD179" s="1191"/>
      <c r="BE179" s="1195"/>
    </row>
    <row r="180" spans="1:57" ht="15.75" customHeight="1" thickBot="1">
      <c r="A180" s="1191"/>
      <c r="B180" s="1191"/>
      <c r="C180" s="2049"/>
      <c r="D180" s="2050"/>
      <c r="E180" s="2050"/>
      <c r="F180" s="2050"/>
      <c r="G180" s="2050"/>
      <c r="H180" s="2050"/>
      <c r="I180" s="2051"/>
      <c r="J180" s="2051"/>
      <c r="K180" s="2051"/>
      <c r="L180" s="2051"/>
      <c r="M180" s="2051"/>
      <c r="N180" s="2052"/>
      <c r="O180" s="1191"/>
      <c r="P180" s="2044"/>
      <c r="Q180" s="2045"/>
      <c r="R180" s="2045"/>
      <c r="S180" s="2045"/>
      <c r="T180" s="2045"/>
      <c r="U180" s="2045"/>
      <c r="V180" s="2045"/>
      <c r="W180" s="2045"/>
      <c r="X180" s="2045"/>
      <c r="Y180" s="2045"/>
      <c r="Z180" s="2045"/>
      <c r="AA180" s="2045"/>
      <c r="AB180" s="2045"/>
      <c r="AC180" s="2045"/>
      <c r="AD180" s="2045"/>
      <c r="AE180" s="2045"/>
      <c r="AF180" s="2045"/>
      <c r="AG180" s="2045"/>
      <c r="AH180" s="2045"/>
      <c r="AI180" s="2045"/>
      <c r="AJ180" s="2045"/>
      <c r="AK180" s="2045"/>
      <c r="AL180" s="2045"/>
      <c r="AM180" s="2045"/>
      <c r="AN180" s="2045"/>
      <c r="AO180" s="2046"/>
      <c r="AP180" s="1191"/>
      <c r="AQ180" s="1191"/>
      <c r="AR180" s="1191"/>
      <c r="AS180" s="1191"/>
      <c r="AT180" s="1191"/>
      <c r="AU180" s="1191"/>
      <c r="AV180" s="1191"/>
      <c r="AW180" s="1191"/>
      <c r="AX180" s="1191"/>
      <c r="AY180" s="1191"/>
      <c r="AZ180" s="1191"/>
      <c r="BA180" s="1191"/>
      <c r="BB180" s="1191"/>
      <c r="BC180" s="1191"/>
      <c r="BD180" s="1191"/>
      <c r="BE180" s="1195"/>
    </row>
    <row r="181" spans="1:57" ht="15.75" customHeight="1" thickBot="1">
      <c r="A181" s="1191"/>
      <c r="B181" s="1191"/>
      <c r="C181" s="1191"/>
      <c r="D181" s="1191"/>
      <c r="E181" s="1191"/>
      <c r="F181" s="1191"/>
      <c r="G181" s="1191"/>
      <c r="H181" s="1191"/>
      <c r="I181" s="1191"/>
      <c r="J181" s="1191"/>
      <c r="K181" s="1191"/>
      <c r="L181" s="1191"/>
      <c r="M181" s="1191"/>
      <c r="N181" s="1191"/>
      <c r="O181" s="1191"/>
      <c r="P181" s="1191"/>
      <c r="Q181" s="1191"/>
      <c r="R181" s="1191"/>
      <c r="S181" s="1191"/>
      <c r="T181" s="1191"/>
      <c r="U181" s="1191"/>
      <c r="V181" s="1191"/>
      <c r="W181" s="1191"/>
      <c r="X181" s="1191"/>
      <c r="Y181" s="1191"/>
      <c r="Z181" s="1191"/>
      <c r="AA181" s="1191"/>
      <c r="AB181" s="1191"/>
      <c r="AC181" s="1191"/>
      <c r="AD181" s="1191"/>
      <c r="AE181" s="1191"/>
      <c r="AF181" s="1191"/>
      <c r="AG181" s="1191"/>
      <c r="AH181" s="1191"/>
      <c r="AI181" s="1191"/>
      <c r="AJ181" s="1191"/>
      <c r="AK181" s="1191"/>
      <c r="AL181" s="1191"/>
      <c r="AM181" s="1191"/>
      <c r="AN181" s="1191"/>
      <c r="AO181" s="1191"/>
      <c r="AP181" s="1191"/>
      <c r="AQ181" s="1191"/>
      <c r="AR181" s="1191"/>
      <c r="AS181" s="1191"/>
      <c r="AT181" s="1191"/>
      <c r="AU181" s="1191"/>
      <c r="AV181" s="1191"/>
      <c r="AW181" s="1191"/>
      <c r="AX181" s="1191"/>
      <c r="AY181" s="1191"/>
      <c r="AZ181" s="1191"/>
      <c r="BA181" s="1191"/>
      <c r="BB181" s="1191"/>
      <c r="BC181" s="1191"/>
      <c r="BD181" s="1191"/>
      <c r="BE181" s="1195"/>
    </row>
    <row r="182" spans="1:57" ht="15.75" customHeight="1">
      <c r="A182" s="1191"/>
      <c r="B182" s="1191"/>
      <c r="C182" s="2015" t="s">
        <v>2332</v>
      </c>
      <c r="D182" s="2016"/>
      <c r="E182" s="2016"/>
      <c r="F182" s="2016"/>
      <c r="G182" s="2016"/>
      <c r="H182" s="2016"/>
      <c r="I182" s="2016"/>
      <c r="J182" s="2016"/>
      <c r="K182" s="2016"/>
      <c r="L182" s="2016"/>
      <c r="M182" s="2016"/>
      <c r="N182" s="2016"/>
      <c r="O182" s="2016"/>
      <c r="P182" s="2016"/>
      <c r="Q182" s="2016"/>
      <c r="R182" s="2016"/>
      <c r="S182" s="2016"/>
      <c r="T182" s="2016"/>
      <c r="U182" s="2016"/>
      <c r="V182" s="2016"/>
      <c r="W182" s="2016"/>
      <c r="X182" s="2016"/>
      <c r="Y182" s="2016"/>
      <c r="Z182" s="2016"/>
      <c r="AA182" s="2016"/>
      <c r="AB182" s="2016"/>
      <c r="AC182" s="2016"/>
      <c r="AD182" s="2016"/>
      <c r="AE182" s="2017"/>
      <c r="AF182" s="1191"/>
      <c r="AG182" s="1191"/>
      <c r="AH182" s="1900"/>
      <c r="AI182" s="1900"/>
      <c r="AJ182" s="1900"/>
      <c r="AK182" s="1900"/>
      <c r="AL182" s="1900"/>
      <c r="AM182" s="1900"/>
      <c r="AN182" s="1900"/>
      <c r="AO182" s="1900"/>
      <c r="AP182" s="1900"/>
      <c r="AQ182" s="1900"/>
      <c r="AR182" s="1900"/>
      <c r="AS182" s="1900"/>
      <c r="AT182" s="1900"/>
      <c r="AU182" s="1900"/>
      <c r="AV182" s="1900"/>
      <c r="AW182" s="1900"/>
      <c r="AX182" s="1900"/>
      <c r="AY182" s="1900"/>
      <c r="AZ182" s="1900"/>
      <c r="BA182" s="1900"/>
      <c r="BB182" s="1900"/>
      <c r="BC182" s="1900"/>
      <c r="BD182" s="1900"/>
      <c r="BE182" s="1900"/>
    </row>
    <row r="183" spans="1:57" ht="15.75" customHeight="1" thickBot="1">
      <c r="A183" s="1191"/>
      <c r="B183" s="1191"/>
      <c r="C183" s="2018"/>
      <c r="D183" s="2019"/>
      <c r="E183" s="2019"/>
      <c r="F183" s="2019"/>
      <c r="G183" s="2019"/>
      <c r="H183" s="2019"/>
      <c r="I183" s="2019"/>
      <c r="J183" s="2019"/>
      <c r="K183" s="2019"/>
      <c r="L183" s="2019"/>
      <c r="M183" s="2019"/>
      <c r="N183" s="2019"/>
      <c r="O183" s="2019"/>
      <c r="P183" s="2019"/>
      <c r="Q183" s="2019"/>
      <c r="R183" s="2019"/>
      <c r="S183" s="2019"/>
      <c r="T183" s="2019"/>
      <c r="U183" s="2019"/>
      <c r="V183" s="2019"/>
      <c r="W183" s="2019"/>
      <c r="X183" s="2019"/>
      <c r="Y183" s="2019"/>
      <c r="Z183" s="2019"/>
      <c r="AA183" s="2019"/>
      <c r="AB183" s="2019"/>
      <c r="AC183" s="2019"/>
      <c r="AD183" s="2019"/>
      <c r="AE183" s="2020"/>
      <c r="AF183" s="1191"/>
      <c r="AG183" s="1191"/>
      <c r="AH183" s="1900"/>
      <c r="AI183" s="1900"/>
      <c r="AJ183" s="1900"/>
      <c r="AK183" s="1900"/>
      <c r="AL183" s="1900"/>
      <c r="AM183" s="1900"/>
      <c r="AN183" s="1900"/>
      <c r="AO183" s="1900"/>
      <c r="AP183" s="1900"/>
      <c r="AQ183" s="1900"/>
      <c r="AR183" s="1900"/>
      <c r="AS183" s="1900"/>
      <c r="AT183" s="1900"/>
      <c r="AU183" s="1900"/>
      <c r="AV183" s="1900"/>
      <c r="AW183" s="1900"/>
      <c r="AX183" s="1900"/>
      <c r="AY183" s="1900"/>
      <c r="AZ183" s="1900"/>
      <c r="BA183" s="1900"/>
      <c r="BB183" s="1900"/>
      <c r="BC183" s="1900"/>
      <c r="BD183" s="1900"/>
      <c r="BE183" s="1900"/>
    </row>
    <row r="184" spans="1:57" ht="15.75" customHeight="1">
      <c r="A184" s="1191"/>
      <c r="B184" s="1191"/>
      <c r="C184" s="2024" t="s">
        <v>2330</v>
      </c>
      <c r="D184" s="2025"/>
      <c r="E184" s="2025"/>
      <c r="F184" s="2025"/>
      <c r="G184" s="2025"/>
      <c r="H184" s="2025"/>
      <c r="I184" s="2025"/>
      <c r="J184" s="2025"/>
      <c r="K184" s="2025"/>
      <c r="L184" s="2025"/>
      <c r="M184" s="2025"/>
      <c r="N184" s="2025" t="s">
        <v>2331</v>
      </c>
      <c r="O184" s="2025"/>
      <c r="P184" s="2025"/>
      <c r="Q184" s="2025"/>
      <c r="R184" s="2025"/>
      <c r="S184" s="2025"/>
      <c r="T184" s="2025"/>
      <c r="U184" s="2026" t="s">
        <v>2330</v>
      </c>
      <c r="V184" s="2026"/>
      <c r="W184" s="2026"/>
      <c r="X184" s="2026"/>
      <c r="Y184" s="2026"/>
      <c r="Z184" s="2026"/>
      <c r="AA184" s="2026"/>
      <c r="AB184" s="2026"/>
      <c r="AC184" s="2026"/>
      <c r="AD184" s="2026"/>
      <c r="AE184" s="2027"/>
      <c r="AF184" s="1191"/>
      <c r="AG184" s="1191"/>
      <c r="AH184" s="1900"/>
      <c r="AI184" s="1900"/>
      <c r="AJ184" s="1900"/>
      <c r="AK184" s="1900"/>
      <c r="AL184" s="1900"/>
      <c r="AM184" s="1900"/>
      <c r="AN184" s="1900"/>
      <c r="AO184" s="1900"/>
      <c r="AP184" s="1900"/>
      <c r="AQ184" s="1900"/>
      <c r="AR184" s="1900"/>
      <c r="AS184" s="1900"/>
      <c r="AT184" s="1900"/>
      <c r="AU184" s="1900"/>
      <c r="AV184" s="1900"/>
      <c r="AW184" s="1900"/>
      <c r="AX184" s="1900"/>
      <c r="AY184" s="1900"/>
      <c r="AZ184" s="1900"/>
      <c r="BA184" s="1900"/>
      <c r="BB184" s="1900"/>
      <c r="BC184" s="1900"/>
      <c r="BD184" s="1900"/>
      <c r="BE184" s="1900"/>
    </row>
    <row r="185" spans="1:57" ht="15.75" customHeight="1">
      <c r="A185" s="1191"/>
      <c r="B185" s="1191"/>
      <c r="C185" s="2003" t="s">
        <v>2329</v>
      </c>
      <c r="D185" s="2004"/>
      <c r="E185" s="2004"/>
      <c r="F185" s="2004"/>
      <c r="G185" s="2004"/>
      <c r="H185" s="2004"/>
      <c r="I185" s="2004"/>
      <c r="J185" s="2004"/>
      <c r="K185" s="2004"/>
      <c r="L185" s="2004"/>
      <c r="M185" s="2004"/>
      <c r="N185" s="2014">
        <f>'Sources and Uses Budget'!B105</f>
        <v>86190738</v>
      </c>
      <c r="O185" s="2014"/>
      <c r="P185" s="2014"/>
      <c r="Q185" s="2014"/>
      <c r="R185" s="2014"/>
      <c r="S185" s="2014"/>
      <c r="T185" s="2014"/>
      <c r="U185" s="2028"/>
      <c r="V185" s="2028"/>
      <c r="W185" s="2028"/>
      <c r="X185" s="2028"/>
      <c r="Y185" s="2028"/>
      <c r="Z185" s="2028"/>
      <c r="AA185" s="2028"/>
      <c r="AB185" s="2028"/>
      <c r="AC185" s="2028"/>
      <c r="AD185" s="2028"/>
      <c r="AE185" s="2029"/>
      <c r="AF185" s="1191"/>
      <c r="AG185" s="1191"/>
      <c r="AH185" s="1900"/>
      <c r="AI185" s="1900"/>
      <c r="AJ185" s="1900"/>
      <c r="AK185" s="1900"/>
      <c r="AL185" s="1900"/>
      <c r="AM185" s="1900"/>
      <c r="AN185" s="1900"/>
      <c r="AO185" s="1900"/>
      <c r="AP185" s="1900"/>
      <c r="AQ185" s="1900"/>
      <c r="AR185" s="1900"/>
      <c r="AS185" s="1900"/>
      <c r="AT185" s="1900"/>
      <c r="AU185" s="1900"/>
      <c r="AV185" s="1900"/>
      <c r="AW185" s="1900"/>
      <c r="AX185" s="1900"/>
      <c r="AY185" s="1900"/>
      <c r="AZ185" s="1900"/>
      <c r="BA185" s="1900"/>
      <c r="BB185" s="1900"/>
      <c r="BC185" s="1900"/>
      <c r="BD185" s="1900"/>
      <c r="BE185" s="1900"/>
    </row>
    <row r="186" spans="1:57" ht="15.75" customHeight="1">
      <c r="A186" s="1191"/>
      <c r="B186" s="1191"/>
      <c r="C186" s="2003" t="s">
        <v>2328</v>
      </c>
      <c r="D186" s="2004"/>
      <c r="E186" s="2004"/>
      <c r="F186" s="2004"/>
      <c r="G186" s="2004"/>
      <c r="H186" s="2004"/>
      <c r="I186" s="2004"/>
      <c r="J186" s="2004"/>
      <c r="K186" s="2004"/>
      <c r="L186" s="2004"/>
      <c r="M186" s="2004"/>
      <c r="N186" s="2014">
        <f>N185/J29</f>
        <v>371511.80172413791</v>
      </c>
      <c r="O186" s="2014"/>
      <c r="P186" s="2014"/>
      <c r="Q186" s="2014"/>
      <c r="R186" s="2014"/>
      <c r="S186" s="2014"/>
      <c r="T186" s="2014"/>
      <c r="U186" s="1231"/>
      <c r="V186" s="1231"/>
      <c r="W186" s="1231"/>
      <c r="X186" s="1231"/>
      <c r="Y186" s="1231"/>
      <c r="Z186" s="1231"/>
      <c r="AA186" s="1231"/>
      <c r="AB186" s="1231"/>
      <c r="AC186" s="1231"/>
      <c r="AD186" s="1231"/>
      <c r="AE186" s="1232"/>
      <c r="AF186" s="1191"/>
      <c r="AG186" s="1191"/>
      <c r="AH186" s="1900"/>
      <c r="AI186" s="1900"/>
      <c r="AJ186" s="1900"/>
      <c r="AK186" s="1900"/>
      <c r="AL186" s="1900"/>
      <c r="AM186" s="1900"/>
      <c r="AN186" s="1900"/>
      <c r="AO186" s="1900"/>
      <c r="AP186" s="1900"/>
      <c r="AQ186" s="1900"/>
      <c r="AR186" s="1900"/>
      <c r="AS186" s="1900"/>
      <c r="AT186" s="1900"/>
      <c r="AU186" s="1900"/>
      <c r="AV186" s="1900"/>
      <c r="AW186" s="1900"/>
      <c r="AX186" s="1900"/>
      <c r="AY186" s="1900"/>
      <c r="AZ186" s="1900"/>
      <c r="BA186" s="1900"/>
      <c r="BB186" s="1900"/>
      <c r="BC186" s="1900"/>
      <c r="BD186" s="1900"/>
      <c r="BE186" s="1900"/>
    </row>
    <row r="187" spans="1:57" ht="15.75" customHeight="1">
      <c r="A187" s="1191"/>
      <c r="B187" s="1191"/>
      <c r="C187" s="2030" t="s">
        <v>2327</v>
      </c>
      <c r="D187" s="2031"/>
      <c r="E187" s="2031"/>
      <c r="F187" s="2031"/>
      <c r="G187" s="2031"/>
      <c r="H187" s="2031"/>
      <c r="I187" s="2031"/>
      <c r="J187" s="2031"/>
      <c r="K187" s="2031"/>
      <c r="L187" s="2031"/>
      <c r="M187" s="2031"/>
      <c r="N187" s="2032">
        <v>0</v>
      </c>
      <c r="O187" s="2032"/>
      <c r="P187" s="2032"/>
      <c r="Q187" s="2032"/>
      <c r="R187" s="2032"/>
      <c r="S187" s="2032"/>
      <c r="T187" s="2032"/>
      <c r="U187" s="1990"/>
      <c r="V187" s="1990"/>
      <c r="W187" s="1990"/>
      <c r="X187" s="1990"/>
      <c r="Y187" s="1990"/>
      <c r="Z187" s="1990"/>
      <c r="AA187" s="1990"/>
      <c r="AB187" s="1990"/>
      <c r="AC187" s="1990"/>
      <c r="AD187" s="1990"/>
      <c r="AE187" s="1991"/>
      <c r="AF187" s="1191"/>
      <c r="AG187" s="1191"/>
      <c r="AH187" s="1900"/>
      <c r="AI187" s="1900"/>
      <c r="AJ187" s="1900"/>
      <c r="AK187" s="1900"/>
      <c r="AL187" s="1900"/>
      <c r="AM187" s="1900"/>
      <c r="AN187" s="1900"/>
      <c r="AO187" s="1900"/>
      <c r="AP187" s="1900"/>
      <c r="AQ187" s="1900"/>
      <c r="AR187" s="1900"/>
      <c r="AS187" s="1900"/>
      <c r="AT187" s="1900"/>
      <c r="AU187" s="1900"/>
      <c r="AV187" s="1900"/>
      <c r="AW187" s="1900"/>
      <c r="AX187" s="1900"/>
      <c r="AY187" s="1900"/>
      <c r="AZ187" s="1900"/>
      <c r="BA187" s="1900"/>
      <c r="BB187" s="1900"/>
      <c r="BC187" s="1900"/>
      <c r="BD187" s="1900"/>
      <c r="BE187" s="1900"/>
    </row>
    <row r="188" spans="1:57" ht="15.75" customHeight="1" thickBot="1">
      <c r="A188" s="1191"/>
      <c r="B188" s="1191"/>
      <c r="C188" s="2003" t="s">
        <v>2326</v>
      </c>
      <c r="D188" s="2004"/>
      <c r="E188" s="2004"/>
      <c r="F188" s="2004"/>
      <c r="G188" s="2004"/>
      <c r="H188" s="2004"/>
      <c r="I188" s="2004"/>
      <c r="J188" s="2004"/>
      <c r="K188" s="2004"/>
      <c r="L188" s="2004"/>
      <c r="M188" s="2004"/>
      <c r="N188" s="2033">
        <f>SUM('Sources and Uses Budget'!B85:B86)</f>
        <v>974400</v>
      </c>
      <c r="O188" s="2033"/>
      <c r="P188" s="2033"/>
      <c r="Q188" s="2033"/>
      <c r="R188" s="2033"/>
      <c r="S188" s="2033"/>
      <c r="T188" s="2033"/>
      <c r="U188" s="1990"/>
      <c r="V188" s="1990"/>
      <c r="W188" s="1990"/>
      <c r="X188" s="1990"/>
      <c r="Y188" s="1990"/>
      <c r="Z188" s="1990"/>
      <c r="AA188" s="1990"/>
      <c r="AB188" s="1990"/>
      <c r="AC188" s="1990"/>
      <c r="AD188" s="1990"/>
      <c r="AE188" s="1991"/>
      <c r="AF188" s="1191"/>
      <c r="AG188" s="1191"/>
      <c r="AH188" s="1900"/>
      <c r="AI188" s="1900"/>
      <c r="AJ188" s="1900"/>
      <c r="AK188" s="1900"/>
      <c r="AL188" s="1900"/>
      <c r="AM188" s="1900"/>
      <c r="AN188" s="1900"/>
      <c r="AO188" s="1900"/>
      <c r="AP188" s="1900"/>
      <c r="AQ188" s="1900"/>
      <c r="AR188" s="1900"/>
      <c r="AS188" s="1900"/>
      <c r="AT188" s="1900"/>
      <c r="AU188" s="1900"/>
      <c r="AV188" s="1900"/>
      <c r="AW188" s="1900"/>
      <c r="AX188" s="1900"/>
      <c r="AY188" s="1900"/>
      <c r="AZ188" s="1900"/>
      <c r="BA188" s="1900"/>
      <c r="BB188" s="1900"/>
      <c r="BC188" s="1900"/>
      <c r="BD188" s="1900"/>
      <c r="BE188" s="1900"/>
    </row>
    <row r="189" spans="1:57" ht="15.75" customHeight="1" thickBot="1">
      <c r="A189" s="1191"/>
      <c r="B189" s="1191"/>
      <c r="C189" s="2003" t="s">
        <v>2325</v>
      </c>
      <c r="D189" s="2004"/>
      <c r="E189" s="2004"/>
      <c r="F189" s="2004"/>
      <c r="G189" s="2004"/>
      <c r="H189" s="2004"/>
      <c r="I189" s="2004"/>
      <c r="J189" s="2004"/>
      <c r="K189" s="2004"/>
      <c r="L189" s="2004"/>
      <c r="M189" s="2004"/>
      <c r="N189" s="2033">
        <f>'Sources and Uses Budget'!B8</f>
        <v>7850000</v>
      </c>
      <c r="O189" s="2033"/>
      <c r="P189" s="2033"/>
      <c r="Q189" s="2033"/>
      <c r="R189" s="2033"/>
      <c r="S189" s="2033"/>
      <c r="T189" s="2033"/>
      <c r="U189" s="1990"/>
      <c r="V189" s="1990"/>
      <c r="W189" s="1990"/>
      <c r="X189" s="1990"/>
      <c r="Y189" s="1990"/>
      <c r="Z189" s="1990"/>
      <c r="AA189" s="1990"/>
      <c r="AB189" s="1990"/>
      <c r="AC189" s="1990"/>
      <c r="AD189" s="1990"/>
      <c r="AE189" s="1991"/>
      <c r="AF189" s="1191"/>
      <c r="AG189" s="1191"/>
      <c r="AH189" s="2000" t="s">
        <v>2323</v>
      </c>
      <c r="AI189" s="2001"/>
      <c r="AJ189" s="2001"/>
      <c r="AK189" s="2001"/>
      <c r="AL189" s="2001"/>
      <c r="AM189" s="2001"/>
      <c r="AN189" s="2001"/>
      <c r="AO189" s="2001"/>
      <c r="AP189" s="2001"/>
      <c r="AQ189" s="2001"/>
      <c r="AR189" s="2001"/>
      <c r="AS189" s="2001"/>
      <c r="AT189" s="2001"/>
      <c r="AU189" s="2001"/>
      <c r="AV189" s="2001"/>
      <c r="AW189" s="2001"/>
      <c r="AX189" s="2001"/>
      <c r="AY189" s="2001"/>
      <c r="AZ189" s="2001"/>
      <c r="BA189" s="2001"/>
      <c r="BB189" s="2001"/>
      <c r="BC189" s="2001"/>
      <c r="BD189" s="2001"/>
      <c r="BE189" s="2002"/>
    </row>
    <row r="190" spans="1:57" ht="15.75" customHeight="1">
      <c r="A190" s="1191"/>
      <c r="B190" s="1191"/>
      <c r="C190" s="2003" t="s">
        <v>2324</v>
      </c>
      <c r="D190" s="2004"/>
      <c r="E190" s="2004"/>
      <c r="F190" s="2004"/>
      <c r="G190" s="2004"/>
      <c r="H190" s="2004"/>
      <c r="I190" s="2004"/>
      <c r="J190" s="2004"/>
      <c r="K190" s="2004"/>
      <c r="L190" s="2004"/>
      <c r="M190" s="2004"/>
      <c r="N190" s="1989">
        <v>0</v>
      </c>
      <c r="O190" s="1989"/>
      <c r="P190" s="1989"/>
      <c r="Q190" s="1989"/>
      <c r="R190" s="1989"/>
      <c r="S190" s="1989"/>
      <c r="T190" s="1989"/>
      <c r="U190" s="1990"/>
      <c r="V190" s="1990"/>
      <c r="W190" s="1990"/>
      <c r="X190" s="1990"/>
      <c r="Y190" s="1990"/>
      <c r="Z190" s="1990"/>
      <c r="AA190" s="1990"/>
      <c r="AB190" s="1990"/>
      <c r="AC190" s="1990"/>
      <c r="AD190" s="1990"/>
      <c r="AE190" s="1991"/>
      <c r="AF190" s="1191"/>
      <c r="AG190" s="1191"/>
      <c r="AH190" s="2005" t="s">
        <v>2323</v>
      </c>
      <c r="AI190" s="2006"/>
      <c r="AJ190" s="2006"/>
      <c r="AK190" s="2006"/>
      <c r="AL190" s="2006"/>
      <c r="AM190" s="2006"/>
      <c r="AN190" s="2006"/>
      <c r="AO190" s="2006"/>
      <c r="AP190" s="2006"/>
      <c r="AQ190" s="2006"/>
      <c r="AR190" s="2006"/>
      <c r="AS190" s="2006"/>
      <c r="AT190" s="2006"/>
      <c r="AU190" s="2007">
        <v>0</v>
      </c>
      <c r="AV190" s="2007"/>
      <c r="AW190" s="2007"/>
      <c r="AX190" s="2007"/>
      <c r="AY190" s="2007"/>
      <c r="AZ190" s="2007"/>
      <c r="BA190" s="2007"/>
      <c r="BB190" s="2007"/>
      <c r="BC190" s="2008"/>
      <c r="BD190" s="2009"/>
      <c r="BE190" s="2010"/>
    </row>
    <row r="191" spans="1:57" ht="15.75" customHeight="1">
      <c r="A191" s="1191"/>
      <c r="B191" s="1191"/>
      <c r="C191" s="2003" t="s">
        <v>2322</v>
      </c>
      <c r="D191" s="2004"/>
      <c r="E191" s="2004"/>
      <c r="F191" s="2004"/>
      <c r="G191" s="2004"/>
      <c r="H191" s="2004"/>
      <c r="I191" s="2004"/>
      <c r="J191" s="2004"/>
      <c r="K191" s="2004"/>
      <c r="L191" s="2004"/>
      <c r="M191" s="2004"/>
      <c r="N191" s="1989">
        <v>0</v>
      </c>
      <c r="O191" s="1989"/>
      <c r="P191" s="1989"/>
      <c r="Q191" s="1989"/>
      <c r="R191" s="1989"/>
      <c r="S191" s="1989"/>
      <c r="T191" s="1989"/>
      <c r="U191" s="1990"/>
      <c r="V191" s="1990"/>
      <c r="W191" s="1990"/>
      <c r="X191" s="1990"/>
      <c r="Y191" s="1990"/>
      <c r="Z191" s="1990"/>
      <c r="AA191" s="1990"/>
      <c r="AB191" s="1990"/>
      <c r="AC191" s="1990"/>
      <c r="AD191" s="1990"/>
      <c r="AE191" s="1991"/>
      <c r="AF191" s="1191"/>
      <c r="AG191" s="1191"/>
      <c r="AH191" s="2021" t="s">
        <v>2321</v>
      </c>
      <c r="AI191" s="2022"/>
      <c r="AJ191" s="2022"/>
      <c r="AK191" s="2022"/>
      <c r="AL191" s="2022"/>
      <c r="AM191" s="2022"/>
      <c r="AN191" s="2022"/>
      <c r="AO191" s="2022"/>
      <c r="AP191" s="2022"/>
      <c r="AQ191" s="2022"/>
      <c r="AR191" s="2022"/>
      <c r="AS191" s="2022"/>
      <c r="AT191" s="2022"/>
      <c r="AU191" s="2023"/>
      <c r="AV191" s="2023"/>
      <c r="AW191" s="2023"/>
      <c r="AX191" s="2023"/>
      <c r="AY191" s="2023"/>
      <c r="AZ191" s="2023"/>
      <c r="BA191" s="2023"/>
      <c r="BB191" s="2023"/>
      <c r="BC191" s="2011"/>
      <c r="BD191" s="2012"/>
      <c r="BE191" s="2013"/>
    </row>
    <row r="192" spans="1:57" ht="15.75" customHeight="1">
      <c r="A192" s="1191"/>
      <c r="B192" s="1191"/>
      <c r="C192" s="1995" t="s">
        <v>299</v>
      </c>
      <c r="D192" s="1996"/>
      <c r="E192" s="1988" t="s">
        <v>2319</v>
      </c>
      <c r="F192" s="1988"/>
      <c r="G192" s="1988"/>
      <c r="H192" s="1988"/>
      <c r="I192" s="1988"/>
      <c r="J192" s="1988"/>
      <c r="K192" s="1988"/>
      <c r="L192" s="1988"/>
      <c r="M192" s="1988"/>
      <c r="N192" s="1989">
        <v>0</v>
      </c>
      <c r="O192" s="1989"/>
      <c r="P192" s="1989"/>
      <c r="Q192" s="1989"/>
      <c r="R192" s="1989"/>
      <c r="S192" s="1989"/>
      <c r="T192" s="1989"/>
      <c r="U192" s="1990"/>
      <c r="V192" s="1990"/>
      <c r="W192" s="1990"/>
      <c r="X192" s="1990"/>
      <c r="Y192" s="1990"/>
      <c r="Z192" s="1990"/>
      <c r="AA192" s="1990"/>
      <c r="AB192" s="1990"/>
      <c r="AC192" s="1990"/>
      <c r="AD192" s="1990"/>
      <c r="AE192" s="1991"/>
      <c r="AF192" s="1191"/>
      <c r="AG192" s="1191"/>
      <c r="AH192" s="1997" t="s">
        <v>2320</v>
      </c>
      <c r="AI192" s="1998"/>
      <c r="AJ192" s="1998"/>
      <c r="AK192" s="1998"/>
      <c r="AL192" s="1998"/>
      <c r="AM192" s="1998"/>
      <c r="AN192" s="1998"/>
      <c r="AO192" s="1998"/>
      <c r="AP192" s="1998"/>
      <c r="AQ192" s="1998"/>
      <c r="AR192" s="1998"/>
      <c r="AS192" s="1998"/>
      <c r="AT192" s="1998"/>
      <c r="AU192" s="1999">
        <f>SUM(AU190:BB191)</f>
        <v>0</v>
      </c>
      <c r="AV192" s="1999"/>
      <c r="AW192" s="1999"/>
      <c r="AX192" s="1999"/>
      <c r="AY192" s="1999"/>
      <c r="AZ192" s="1999"/>
      <c r="BA192" s="1999"/>
      <c r="BB192" s="1999"/>
      <c r="BC192" s="2011"/>
      <c r="BD192" s="2012"/>
      <c r="BE192" s="2013"/>
    </row>
    <row r="193" spans="1:57" ht="15.75" customHeight="1" thickBot="1">
      <c r="A193" s="1191"/>
      <c r="B193" s="1191"/>
      <c r="C193" s="1986" t="s">
        <v>299</v>
      </c>
      <c r="D193" s="1987"/>
      <c r="E193" s="1988" t="s">
        <v>2319</v>
      </c>
      <c r="F193" s="1988"/>
      <c r="G193" s="1988"/>
      <c r="H193" s="1988"/>
      <c r="I193" s="1988"/>
      <c r="J193" s="1988"/>
      <c r="K193" s="1988"/>
      <c r="L193" s="1988"/>
      <c r="M193" s="1988"/>
      <c r="N193" s="1989">
        <v>0</v>
      </c>
      <c r="O193" s="1989"/>
      <c r="P193" s="1989"/>
      <c r="Q193" s="1989"/>
      <c r="R193" s="1989"/>
      <c r="S193" s="1989"/>
      <c r="T193" s="1989"/>
      <c r="U193" s="1990"/>
      <c r="V193" s="1990"/>
      <c r="W193" s="1990"/>
      <c r="X193" s="1990"/>
      <c r="Y193" s="1990"/>
      <c r="Z193" s="1990"/>
      <c r="AA193" s="1990"/>
      <c r="AB193" s="1990"/>
      <c r="AC193" s="1990"/>
      <c r="AD193" s="1990"/>
      <c r="AE193" s="1991"/>
      <c r="AF193" s="1191"/>
      <c r="AG193" s="1191"/>
      <c r="AH193" s="1233"/>
      <c r="AI193" s="1234"/>
      <c r="AJ193" s="1234"/>
      <c r="AK193" s="1234"/>
      <c r="AL193" s="1234"/>
      <c r="AM193" s="1234"/>
      <c r="AN193" s="1234"/>
      <c r="AO193" s="1234"/>
      <c r="AP193" s="1234"/>
      <c r="AQ193" s="1234"/>
      <c r="AR193" s="1234"/>
      <c r="AS193" s="1234"/>
      <c r="AT193" s="1234"/>
      <c r="AU193" s="1234"/>
      <c r="AV193" s="1234"/>
      <c r="AW193" s="1234"/>
      <c r="AX193" s="1234"/>
      <c r="AY193" s="1234"/>
      <c r="AZ193" s="1234"/>
      <c r="BA193" s="1234"/>
      <c r="BB193" s="1234"/>
      <c r="BC193" s="1992"/>
      <c r="BD193" s="1993"/>
      <c r="BE193" s="1994"/>
    </row>
    <row r="194" spans="1:57" ht="15.75" customHeight="1" thickBot="1">
      <c r="A194" s="1191"/>
      <c r="B194" s="1191"/>
      <c r="C194" s="1974" t="s">
        <v>299</v>
      </c>
      <c r="D194" s="1975"/>
      <c r="E194" s="1976" t="s">
        <v>2319</v>
      </c>
      <c r="F194" s="1976"/>
      <c r="G194" s="1976"/>
      <c r="H194" s="1976"/>
      <c r="I194" s="1976"/>
      <c r="J194" s="1976"/>
      <c r="K194" s="1976"/>
      <c r="L194" s="1976"/>
      <c r="M194" s="1977"/>
      <c r="N194" s="1978">
        <v>0</v>
      </c>
      <c r="O194" s="1978"/>
      <c r="P194" s="1978"/>
      <c r="Q194" s="1978"/>
      <c r="R194" s="1978"/>
      <c r="S194" s="1978"/>
      <c r="T194" s="1979"/>
      <c r="U194" s="1980"/>
      <c r="V194" s="1981"/>
      <c r="W194" s="1981"/>
      <c r="X194" s="1981"/>
      <c r="Y194" s="1981"/>
      <c r="Z194" s="1981"/>
      <c r="AA194" s="1981"/>
      <c r="AB194" s="1981"/>
      <c r="AC194" s="1981"/>
      <c r="AD194" s="1981"/>
      <c r="AE194" s="1982"/>
      <c r="AF194" s="1191"/>
      <c r="AG194" s="1191"/>
      <c r="AH194" s="1983" t="s">
        <v>2318</v>
      </c>
      <c r="AI194" s="1984"/>
      <c r="AJ194" s="1984"/>
      <c r="AK194" s="1984"/>
      <c r="AL194" s="1984"/>
      <c r="AM194" s="1984"/>
      <c r="AN194" s="1984"/>
      <c r="AO194" s="1984"/>
      <c r="AP194" s="1984"/>
      <c r="AQ194" s="1984"/>
      <c r="AR194" s="1984"/>
      <c r="AS194" s="1984"/>
      <c r="AT194" s="1984"/>
      <c r="AU194" s="1985"/>
      <c r="AV194" s="1985"/>
      <c r="AW194" s="1985"/>
      <c r="AX194" s="1985"/>
      <c r="AY194" s="1985"/>
      <c r="AZ194" s="1985"/>
      <c r="BA194" s="1985"/>
      <c r="BB194" s="1985"/>
      <c r="BC194" s="1172"/>
      <c r="BD194" s="1172"/>
      <c r="BE194" s="1235"/>
    </row>
    <row r="195" spans="1:57" ht="15.75" customHeight="1">
      <c r="A195" s="1191"/>
      <c r="B195" s="1191"/>
      <c r="C195" s="1957" t="s">
        <v>2317</v>
      </c>
      <c r="D195" s="1958"/>
      <c r="E195" s="1958"/>
      <c r="F195" s="1958"/>
      <c r="G195" s="1958"/>
      <c r="H195" s="1958"/>
      <c r="I195" s="1958"/>
      <c r="J195" s="1958"/>
      <c r="K195" s="1958"/>
      <c r="L195" s="1958"/>
      <c r="M195" s="1958"/>
      <c r="N195" s="1959">
        <f>SUM(N187:T194)</f>
        <v>8824400</v>
      </c>
      <c r="O195" s="1959"/>
      <c r="P195" s="1959"/>
      <c r="Q195" s="1959"/>
      <c r="R195" s="1959"/>
      <c r="S195" s="1959"/>
      <c r="T195" s="1960"/>
      <c r="U195" s="1191"/>
      <c r="V195" s="1191"/>
      <c r="W195" s="1191"/>
      <c r="X195" s="1191"/>
      <c r="Y195" s="1191"/>
      <c r="Z195" s="1191"/>
      <c r="AA195" s="1191"/>
      <c r="AB195" s="1191"/>
      <c r="AC195" s="1191"/>
      <c r="AD195" s="1191"/>
      <c r="AE195" s="1191"/>
      <c r="AF195" s="1191"/>
      <c r="AG195" s="1191"/>
      <c r="AH195" s="1961" t="s">
        <v>2316</v>
      </c>
      <c r="AI195" s="1962"/>
      <c r="AJ195" s="1962"/>
      <c r="AK195" s="1962"/>
      <c r="AL195" s="1962"/>
      <c r="AM195" s="1962"/>
      <c r="AN195" s="1962"/>
      <c r="AO195" s="1962"/>
      <c r="AP195" s="1962"/>
      <c r="AQ195" s="1962"/>
      <c r="AR195" s="1962"/>
      <c r="AS195" s="1962"/>
      <c r="AT195" s="1962"/>
      <c r="AU195" s="1962"/>
      <c r="AV195" s="1962"/>
      <c r="AW195" s="1962"/>
      <c r="AX195" s="1962"/>
      <c r="AY195" s="1962"/>
      <c r="AZ195" s="1962"/>
      <c r="BA195" s="1962"/>
      <c r="BB195" s="1962"/>
      <c r="BC195" s="1962"/>
      <c r="BD195" s="1962"/>
      <c r="BE195" s="1963"/>
    </row>
    <row r="196" spans="1:57" ht="15.75" customHeight="1" thickBot="1">
      <c r="A196" s="1191"/>
      <c r="B196" s="1191"/>
      <c r="C196" s="1967" t="s">
        <v>2315</v>
      </c>
      <c r="D196" s="1968"/>
      <c r="E196" s="1968"/>
      <c r="F196" s="1968"/>
      <c r="G196" s="1968"/>
      <c r="H196" s="1968"/>
      <c r="I196" s="1968"/>
      <c r="J196" s="1968"/>
      <c r="K196" s="1968"/>
      <c r="L196" s="1968"/>
      <c r="M196" s="1968"/>
      <c r="N196" s="1969">
        <f>(N185-N195)/J29</f>
        <v>333475.5948275862</v>
      </c>
      <c r="O196" s="1970"/>
      <c r="P196" s="1970"/>
      <c r="Q196" s="1970"/>
      <c r="R196" s="1970"/>
      <c r="S196" s="1970"/>
      <c r="T196" s="1971"/>
      <c r="U196" s="1196"/>
      <c r="V196" s="1191"/>
      <c r="W196" s="1191"/>
      <c r="X196" s="1191"/>
      <c r="Y196" s="1191"/>
      <c r="Z196" s="1191"/>
      <c r="AA196" s="1191"/>
      <c r="AB196" s="1191"/>
      <c r="AC196" s="1191"/>
      <c r="AD196" s="1191"/>
      <c r="AE196" s="1191"/>
      <c r="AF196" s="1191"/>
      <c r="AG196" s="1191"/>
      <c r="AH196" s="1964"/>
      <c r="AI196" s="1965"/>
      <c r="AJ196" s="1965"/>
      <c r="AK196" s="1965"/>
      <c r="AL196" s="1965"/>
      <c r="AM196" s="1965"/>
      <c r="AN196" s="1965"/>
      <c r="AO196" s="1965"/>
      <c r="AP196" s="1965"/>
      <c r="AQ196" s="1965"/>
      <c r="AR196" s="1965"/>
      <c r="AS196" s="1965"/>
      <c r="AT196" s="1965"/>
      <c r="AU196" s="1965"/>
      <c r="AV196" s="1965"/>
      <c r="AW196" s="1965"/>
      <c r="AX196" s="1965"/>
      <c r="AY196" s="1965"/>
      <c r="AZ196" s="1965"/>
      <c r="BA196" s="1965"/>
      <c r="BB196" s="1965"/>
      <c r="BC196" s="1965"/>
      <c r="BD196" s="1965"/>
      <c r="BE196" s="1966"/>
    </row>
    <row r="197" spans="1:57" ht="15.75" customHeight="1">
      <c r="A197" s="1191"/>
      <c r="B197" s="1191"/>
      <c r="C197" s="1191"/>
      <c r="D197" s="1191"/>
      <c r="E197" s="1191"/>
      <c r="F197" s="1191"/>
      <c r="G197" s="1191"/>
      <c r="H197" s="1191"/>
      <c r="I197" s="1191"/>
      <c r="J197" s="1191"/>
      <c r="K197" s="1191"/>
      <c r="L197" s="1191"/>
      <c r="M197" s="1191"/>
      <c r="N197" s="1191"/>
      <c r="O197" s="1191"/>
      <c r="P197" s="1191"/>
      <c r="Q197" s="1191"/>
      <c r="R197" s="1191"/>
      <c r="S197" s="1191"/>
      <c r="T197" s="1191"/>
      <c r="U197" s="1191"/>
      <c r="V197" s="1191"/>
      <c r="W197" s="1191"/>
      <c r="X197" s="1191"/>
      <c r="Y197" s="1191"/>
      <c r="Z197" s="1191"/>
      <c r="AA197" s="1191"/>
      <c r="AB197" s="1191"/>
      <c r="AC197" s="1191"/>
      <c r="AD197" s="1191"/>
      <c r="AE197" s="1191"/>
      <c r="AF197" s="1191"/>
      <c r="AG197" s="1191"/>
      <c r="AH197" s="1972"/>
      <c r="AI197" s="1972"/>
      <c r="AJ197" s="1972"/>
      <c r="AK197" s="1972"/>
      <c r="AL197" s="1972"/>
      <c r="AM197" s="1972"/>
      <c r="AN197" s="1972"/>
      <c r="AO197" s="1972"/>
      <c r="AP197" s="1972"/>
      <c r="AQ197" s="1972"/>
      <c r="AR197" s="1972"/>
      <c r="AS197" s="1973"/>
      <c r="AT197" s="1973"/>
      <c r="AU197" s="1973"/>
      <c r="AV197" s="1973"/>
      <c r="AW197" s="1973"/>
      <c r="AX197" s="1973"/>
      <c r="AY197" s="1973"/>
      <c r="AZ197" s="1973"/>
      <c r="BA197" s="1973"/>
      <c r="BB197" s="1973"/>
      <c r="BC197" s="1973"/>
      <c r="BD197" s="1973"/>
      <c r="BE197" s="1195"/>
    </row>
    <row r="198" spans="1:57" ht="15.75" customHeight="1" thickBot="1">
      <c r="A198" s="1191"/>
      <c r="B198" s="1191"/>
      <c r="C198" s="1191"/>
      <c r="D198" s="1191"/>
      <c r="E198" s="1191"/>
      <c r="F198" s="1191"/>
      <c r="G198" s="1191"/>
      <c r="H198" s="1191"/>
      <c r="I198" s="1191"/>
      <c r="J198" s="1191"/>
      <c r="K198" s="1191"/>
      <c r="L198" s="1191"/>
      <c r="M198" s="1191"/>
      <c r="N198" s="1191"/>
      <c r="O198" s="1191"/>
      <c r="P198" s="1191"/>
      <c r="Q198" s="1191"/>
      <c r="R198" s="1191"/>
      <c r="S198" s="1191"/>
      <c r="T198" s="1191"/>
      <c r="U198" s="1191"/>
      <c r="V198" s="1191"/>
      <c r="W198" s="1191"/>
      <c r="X198" s="1191"/>
      <c r="Y198" s="1191"/>
      <c r="Z198" s="1191"/>
      <c r="AA198" s="1191"/>
      <c r="AB198" s="1191"/>
      <c r="AC198" s="1191"/>
      <c r="AD198" s="1191"/>
      <c r="AE198" s="1191"/>
      <c r="AF198" s="1191"/>
      <c r="AG198" s="1191"/>
      <c r="AH198" s="1191"/>
      <c r="AI198" s="1191"/>
      <c r="AJ198" s="1191"/>
      <c r="AK198" s="1191"/>
      <c r="AL198" s="1191"/>
      <c r="AM198" s="1191"/>
      <c r="AN198" s="1191"/>
      <c r="AO198" s="1191"/>
      <c r="AP198" s="1191"/>
      <c r="AQ198" s="1191"/>
      <c r="AR198" s="1191"/>
      <c r="AS198" s="1191"/>
      <c r="AT198" s="1191"/>
      <c r="AU198" s="1191"/>
      <c r="AV198" s="1191"/>
      <c r="AW198" s="1191"/>
      <c r="AX198" s="1191"/>
      <c r="AY198" s="1191"/>
      <c r="AZ198" s="1191"/>
      <c r="BA198" s="1191"/>
      <c r="BB198" s="1191"/>
      <c r="BC198" s="1191"/>
      <c r="BD198" s="1191"/>
      <c r="BE198" s="1195"/>
    </row>
    <row r="199" spans="1:57" ht="15.75" customHeight="1" thickBot="1">
      <c r="A199" s="1191"/>
      <c r="B199" s="1191"/>
      <c r="C199" s="1952" t="s">
        <v>2314</v>
      </c>
      <c r="D199" s="1953"/>
      <c r="E199" s="1953"/>
      <c r="F199" s="1953"/>
      <c r="G199" s="1953"/>
      <c r="H199" s="1953"/>
      <c r="I199" s="1953"/>
      <c r="J199" s="1953"/>
      <c r="K199" s="1953"/>
      <c r="L199" s="1953"/>
      <c r="M199" s="1953"/>
      <c r="N199" s="1953"/>
      <c r="O199" s="1953"/>
      <c r="P199" s="1953"/>
      <c r="Q199" s="1953"/>
      <c r="R199" s="1953"/>
      <c r="S199" s="1953"/>
      <c r="T199" s="1953"/>
      <c r="U199" s="1953"/>
      <c r="V199" s="1953"/>
      <c r="W199" s="1953"/>
      <c r="X199" s="1953"/>
      <c r="Y199" s="1953"/>
      <c r="Z199" s="1953"/>
      <c r="AA199" s="1953"/>
      <c r="AB199" s="1953"/>
      <c r="AC199" s="1953"/>
      <c r="AD199" s="1953"/>
      <c r="AE199" s="1954"/>
      <c r="AF199" s="1191"/>
      <c r="AG199" s="1191"/>
      <c r="AH199" s="1191"/>
      <c r="AI199" s="1191"/>
      <c r="AJ199" s="1191"/>
      <c r="AK199" s="1191"/>
      <c r="AL199" s="1191"/>
      <c r="AM199" s="1191"/>
      <c r="AN199" s="1191"/>
      <c r="AO199" s="1191"/>
      <c r="AP199" s="1191"/>
      <c r="AQ199" s="1191"/>
      <c r="AR199" s="1191"/>
      <c r="AS199" s="1191"/>
      <c r="AT199" s="1191"/>
      <c r="AU199" s="1191"/>
      <c r="AV199" s="1191"/>
      <c r="AW199" s="1191"/>
      <c r="AX199" s="1191"/>
      <c r="AY199" s="1191"/>
      <c r="AZ199" s="1191"/>
      <c r="BA199" s="1191"/>
      <c r="BB199" s="1191"/>
      <c r="BC199" s="1191"/>
      <c r="BD199" s="1191"/>
      <c r="BE199" s="1195"/>
    </row>
    <row r="200" spans="1:57" ht="15.75" customHeight="1">
      <c r="A200" s="1191"/>
      <c r="B200" s="1191"/>
      <c r="C200" s="1955" t="s">
        <v>2313</v>
      </c>
      <c r="D200" s="1955"/>
      <c r="E200" s="1955"/>
      <c r="F200" s="1955"/>
      <c r="G200" s="1955"/>
      <c r="H200" s="1955"/>
      <c r="I200" s="1955"/>
      <c r="J200" s="1955"/>
      <c r="K200" s="1955"/>
      <c r="L200" s="1955"/>
      <c r="M200" s="1955"/>
      <c r="N200" s="1955"/>
      <c r="O200" s="1956" t="s">
        <v>2312</v>
      </c>
      <c r="P200" s="1956"/>
      <c r="Q200" s="1956"/>
      <c r="R200" s="1956"/>
      <c r="S200" s="1956"/>
      <c r="T200" s="1956"/>
      <c r="U200" s="1956"/>
      <c r="V200" s="1956"/>
      <c r="W200" s="1956"/>
      <c r="X200" s="1956" t="s">
        <v>2311</v>
      </c>
      <c r="Y200" s="1956"/>
      <c r="Z200" s="1956"/>
      <c r="AA200" s="1956"/>
      <c r="AB200" s="1956"/>
      <c r="AC200" s="1956"/>
      <c r="AD200" s="1956"/>
      <c r="AE200" s="1956"/>
      <c r="AF200" s="1191"/>
      <c r="AG200" s="1191"/>
      <c r="AH200" s="1191"/>
      <c r="AI200" s="1191"/>
      <c r="AJ200" s="1191"/>
      <c r="AK200" s="1191"/>
      <c r="AL200" s="1191"/>
      <c r="AM200" s="1191"/>
      <c r="AN200" s="1191"/>
      <c r="AO200" s="1191"/>
      <c r="AP200" s="1191"/>
      <c r="AQ200" s="1191"/>
      <c r="AR200" s="1191"/>
      <c r="AS200" s="1191"/>
      <c r="AT200" s="1191"/>
      <c r="AU200" s="1191"/>
      <c r="AV200" s="1191"/>
      <c r="AW200" s="1191"/>
      <c r="AX200" s="1191"/>
      <c r="AY200" s="1191"/>
      <c r="AZ200" s="1191"/>
      <c r="BA200" s="1191"/>
      <c r="BB200" s="1191"/>
      <c r="BC200" s="1191"/>
      <c r="BD200" s="1191"/>
      <c r="BE200" s="1195"/>
    </row>
    <row r="201" spans="1:57" ht="15.75" customHeight="1">
      <c r="A201" s="1191"/>
      <c r="B201" s="1191"/>
      <c r="C201" s="1947" t="s">
        <v>2310</v>
      </c>
      <c r="D201" s="1947"/>
      <c r="E201" s="1947"/>
      <c r="F201" s="1947"/>
      <c r="G201" s="1947"/>
      <c r="H201" s="1947"/>
      <c r="I201" s="1947"/>
      <c r="J201" s="1947"/>
      <c r="K201" s="1947"/>
      <c r="L201" s="1947"/>
      <c r="M201" s="1947"/>
      <c r="N201" s="1947"/>
      <c r="O201" s="1948" t="s">
        <v>2309</v>
      </c>
      <c r="P201" s="1948"/>
      <c r="Q201" s="1948"/>
      <c r="R201" s="1948"/>
      <c r="S201" s="1948"/>
      <c r="T201" s="1948"/>
      <c r="U201" s="1948"/>
      <c r="V201" s="1948"/>
      <c r="W201" s="1948"/>
      <c r="X201" s="1949">
        <v>0.03</v>
      </c>
      <c r="Y201" s="1949"/>
      <c r="Z201" s="1949"/>
      <c r="AA201" s="1949"/>
      <c r="AB201" s="1949"/>
      <c r="AC201" s="1949"/>
      <c r="AD201" s="1949"/>
      <c r="AE201" s="1949"/>
      <c r="AF201" s="1191"/>
      <c r="AG201" s="1191"/>
      <c r="AH201" s="1191"/>
      <c r="AI201" s="1191"/>
      <c r="AJ201" s="1191"/>
      <c r="AK201" s="1191"/>
      <c r="AL201" s="1191"/>
      <c r="AM201" s="1191"/>
      <c r="AN201" s="1191"/>
      <c r="AO201" s="1191"/>
      <c r="AP201" s="1191"/>
      <c r="AQ201" s="1191"/>
      <c r="AR201" s="1191"/>
      <c r="AS201" s="1191"/>
      <c r="AT201" s="1191"/>
      <c r="AU201" s="1191"/>
      <c r="AV201" s="1191"/>
      <c r="AW201" s="1191"/>
      <c r="AX201" s="1191"/>
      <c r="AY201" s="1191"/>
      <c r="AZ201" s="1191"/>
      <c r="BA201" s="1191"/>
      <c r="BB201" s="1191"/>
      <c r="BC201" s="1191"/>
      <c r="BD201" s="1191"/>
      <c r="BE201" s="1195"/>
    </row>
    <row r="202" spans="1:57" ht="15.75" customHeight="1">
      <c r="A202" s="1191"/>
      <c r="B202" s="1191"/>
      <c r="C202" s="1947" t="s">
        <v>854</v>
      </c>
      <c r="D202" s="1947"/>
      <c r="E202" s="1947"/>
      <c r="F202" s="1947"/>
      <c r="G202" s="1947"/>
      <c r="H202" s="1947"/>
      <c r="I202" s="1947"/>
      <c r="J202" s="1947"/>
      <c r="K202" s="1947"/>
      <c r="L202" s="1947"/>
      <c r="M202" s="1947"/>
      <c r="N202" s="1947"/>
      <c r="O202" s="1948" t="s">
        <v>2309</v>
      </c>
      <c r="P202" s="1948"/>
      <c r="Q202" s="1948"/>
      <c r="R202" s="1948"/>
      <c r="S202" s="1948"/>
      <c r="T202" s="1948"/>
      <c r="U202" s="1948"/>
      <c r="V202" s="1948"/>
      <c r="W202" s="1948"/>
      <c r="X202" s="1949">
        <v>0.03</v>
      </c>
      <c r="Y202" s="1949"/>
      <c r="Z202" s="1949"/>
      <c r="AA202" s="1949"/>
      <c r="AB202" s="1949"/>
      <c r="AC202" s="1949"/>
      <c r="AD202" s="1949"/>
      <c r="AE202" s="1949"/>
      <c r="AF202" s="1191"/>
      <c r="AG202" s="1191"/>
      <c r="AH202" s="1191"/>
      <c r="AI202" s="1191"/>
      <c r="AJ202" s="1191"/>
      <c r="AK202" s="1191"/>
      <c r="AL202" s="1191"/>
      <c r="AM202" s="1191"/>
      <c r="AN202" s="1191"/>
      <c r="AO202" s="1191"/>
      <c r="AP202" s="1191"/>
      <c r="AQ202" s="1191"/>
      <c r="AR202" s="1191"/>
      <c r="AS202" s="1191"/>
      <c r="AT202" s="1191"/>
      <c r="AU202" s="1191"/>
      <c r="AV202" s="1191"/>
      <c r="AW202" s="1191"/>
      <c r="AX202" s="1191"/>
      <c r="AY202" s="1191"/>
      <c r="AZ202" s="1191"/>
      <c r="BA202" s="1191"/>
      <c r="BB202" s="1191"/>
      <c r="BC202" s="1191"/>
      <c r="BD202" s="1191"/>
      <c r="BE202" s="1195"/>
    </row>
    <row r="203" spans="1:57" ht="15.75" customHeight="1">
      <c r="A203" s="1191"/>
      <c r="B203" s="1191"/>
      <c r="C203" s="1947" t="s">
        <v>2308</v>
      </c>
      <c r="D203" s="1947"/>
      <c r="E203" s="1947"/>
      <c r="F203" s="1947"/>
      <c r="G203" s="1947"/>
      <c r="H203" s="1947"/>
      <c r="I203" s="1947"/>
      <c r="J203" s="1947"/>
      <c r="K203" s="1947"/>
      <c r="L203" s="1947"/>
      <c r="M203" s="1947"/>
      <c r="N203" s="1947"/>
      <c r="O203" s="1950">
        <f>SUM(O201:W202)</f>
        <v>0</v>
      </c>
      <c r="P203" s="1951"/>
      <c r="Q203" s="1951"/>
      <c r="R203" s="1951"/>
      <c r="S203" s="1951"/>
      <c r="T203" s="1951"/>
      <c r="U203" s="1951"/>
      <c r="V203" s="1951"/>
      <c r="W203" s="1951"/>
      <c r="X203" s="1951" t="s">
        <v>2307</v>
      </c>
      <c r="Y203" s="1951"/>
      <c r="Z203" s="1951"/>
      <c r="AA203" s="1951"/>
      <c r="AB203" s="1951"/>
      <c r="AC203" s="1951"/>
      <c r="AD203" s="1951"/>
      <c r="AE203" s="1951"/>
      <c r="AF203" s="1191"/>
      <c r="AG203" s="1191"/>
      <c r="AH203" s="1191"/>
      <c r="AI203" s="1191"/>
      <c r="AJ203" s="1191"/>
      <c r="AK203" s="1191"/>
      <c r="AL203" s="1191"/>
      <c r="AM203" s="1191"/>
      <c r="AN203" s="1191"/>
      <c r="AO203" s="1191"/>
      <c r="AP203" s="1191"/>
      <c r="AQ203" s="1191"/>
      <c r="AR203" s="1191"/>
      <c r="AS203" s="1191"/>
      <c r="AT203" s="1191"/>
      <c r="AU203" s="1191"/>
      <c r="AV203" s="1191"/>
      <c r="AW203" s="1191"/>
      <c r="AX203" s="1191"/>
      <c r="AY203" s="1191"/>
      <c r="AZ203" s="1191"/>
      <c r="BA203" s="1191"/>
      <c r="BB203" s="1191"/>
      <c r="BC203" s="1191"/>
      <c r="BD203" s="1191"/>
      <c r="BE203" s="1195"/>
    </row>
    <row r="204" spans="1:57" ht="15.75" customHeight="1">
      <c r="A204" s="1191"/>
      <c r="B204" s="1191"/>
      <c r="C204" s="1921" t="s">
        <v>2306</v>
      </c>
      <c r="D204" s="1921"/>
      <c r="E204" s="1921"/>
      <c r="F204" s="1921"/>
      <c r="G204" s="1921"/>
      <c r="H204" s="1921"/>
      <c r="I204" s="1921"/>
      <c r="J204" s="1921"/>
      <c r="K204" s="1921"/>
      <c r="L204" s="1921"/>
      <c r="M204" s="1921"/>
      <c r="N204" s="1921"/>
      <c r="O204" s="1921"/>
      <c r="P204" s="1921"/>
      <c r="Q204" s="1921"/>
      <c r="R204" s="1921"/>
      <c r="S204" s="1921"/>
      <c r="T204" s="1921"/>
      <c r="U204" s="1921"/>
      <c r="V204" s="1921"/>
      <c r="W204" s="1921"/>
      <c r="X204" s="1921"/>
      <c r="Y204" s="1921"/>
      <c r="Z204" s="1921"/>
      <c r="AA204" s="1921"/>
      <c r="AB204" s="1921"/>
      <c r="AC204" s="1921"/>
      <c r="AD204" s="1921"/>
      <c r="AE204" s="1921"/>
      <c r="AF204" s="1191"/>
      <c r="AG204" s="1191"/>
      <c r="AH204" s="1191"/>
      <c r="AI204" s="1191"/>
      <c r="AJ204" s="1191"/>
      <c r="AK204" s="1191"/>
      <c r="AL204" s="1191"/>
      <c r="AM204" s="1191"/>
      <c r="AN204" s="1191"/>
      <c r="AO204" s="1191"/>
      <c r="AP204" s="1191"/>
      <c r="AQ204" s="1191"/>
      <c r="AR204" s="1191"/>
      <c r="AS204" s="1191"/>
      <c r="AT204" s="1191"/>
      <c r="AU204" s="1191"/>
      <c r="AV204" s="1191"/>
      <c r="AW204" s="1191"/>
      <c r="AX204" s="1191"/>
      <c r="AY204" s="1191"/>
      <c r="AZ204" s="1191"/>
      <c r="BA204" s="1191"/>
      <c r="BB204" s="1191"/>
      <c r="BC204" s="1191"/>
      <c r="BD204" s="1191"/>
      <c r="BE204" s="1195"/>
    </row>
    <row r="205" spans="1:57" ht="15.75" customHeight="1" thickBot="1">
      <c r="A205" s="1191"/>
      <c r="B205" s="1191"/>
      <c r="C205" s="1191"/>
      <c r="D205" s="1191"/>
      <c r="E205" s="1191"/>
      <c r="F205" s="1191"/>
      <c r="G205" s="1191"/>
      <c r="H205" s="1191"/>
      <c r="I205" s="1191"/>
      <c r="J205" s="1191"/>
      <c r="K205" s="1191"/>
      <c r="L205" s="1191"/>
      <c r="M205" s="1191"/>
      <c r="N205" s="1191"/>
      <c r="O205" s="1191"/>
      <c r="P205" s="1191"/>
      <c r="Q205" s="1191"/>
      <c r="R205" s="1191"/>
      <c r="S205" s="1191"/>
      <c r="T205" s="1191"/>
      <c r="U205" s="1191"/>
      <c r="V205" s="1191"/>
      <c r="W205" s="1191"/>
      <c r="X205" s="1191"/>
      <c r="Y205" s="1191"/>
      <c r="Z205" s="1191"/>
      <c r="AA205" s="1191"/>
      <c r="AB205" s="1191"/>
      <c r="AC205" s="1191"/>
      <c r="AD205" s="1191"/>
      <c r="AE205" s="1191"/>
      <c r="AF205" s="1191"/>
      <c r="AG205" s="1191"/>
      <c r="AH205" s="1191"/>
      <c r="AI205" s="1191"/>
      <c r="AJ205" s="1191"/>
      <c r="AK205" s="1191"/>
      <c r="AL205" s="1191"/>
      <c r="AM205" s="1191"/>
      <c r="AN205" s="1191"/>
      <c r="AO205" s="1191"/>
      <c r="AP205" s="1191"/>
      <c r="AQ205" s="1191"/>
      <c r="AR205" s="1191"/>
      <c r="AS205" s="1191"/>
      <c r="AT205" s="1191"/>
      <c r="AU205" s="1191"/>
      <c r="AV205" s="1191"/>
      <c r="AW205" s="1191"/>
      <c r="AX205" s="1191"/>
      <c r="AY205" s="1191"/>
      <c r="AZ205" s="1191"/>
      <c r="BA205" s="1191"/>
      <c r="BB205" s="1191"/>
      <c r="BC205" s="1191"/>
      <c r="BD205" s="1191"/>
      <c r="BE205" s="1195"/>
    </row>
    <row r="206" spans="1:57" ht="15.75" customHeight="1" thickBot="1">
      <c r="A206" s="1191"/>
      <c r="B206" s="1191"/>
      <c r="C206" s="1922" t="s">
        <v>2305</v>
      </c>
      <c r="D206" s="1923"/>
      <c r="E206" s="1923"/>
      <c r="F206" s="1923"/>
      <c r="G206" s="1923"/>
      <c r="H206" s="1923"/>
      <c r="I206" s="1923"/>
      <c r="J206" s="1923"/>
      <c r="K206" s="1923"/>
      <c r="L206" s="1923"/>
      <c r="M206" s="1923"/>
      <c r="N206" s="1923"/>
      <c r="O206" s="1923"/>
      <c r="P206" s="1923"/>
      <c r="Q206" s="1923"/>
      <c r="R206" s="1923"/>
      <c r="S206" s="1923"/>
      <c r="T206" s="1923"/>
      <c r="U206" s="1923"/>
      <c r="V206" s="1923"/>
      <c r="W206" s="1923"/>
      <c r="X206" s="1923"/>
      <c r="Y206" s="1923"/>
      <c r="Z206" s="1923"/>
      <c r="AA206" s="1923"/>
      <c r="AB206" s="1923"/>
      <c r="AC206" s="1923"/>
      <c r="AD206" s="1923"/>
      <c r="AE206" s="1923"/>
      <c r="AF206" s="1923"/>
      <c r="AG206" s="1923"/>
      <c r="AH206" s="1923"/>
      <c r="AI206" s="1923"/>
      <c r="AJ206" s="1923"/>
      <c r="AK206" s="1924"/>
      <c r="AL206" s="1191"/>
      <c r="AM206" s="1191"/>
      <c r="AN206" s="1191"/>
      <c r="AO206" s="1191"/>
      <c r="AP206" s="1191"/>
      <c r="AQ206" s="1191"/>
      <c r="AR206" s="1191"/>
      <c r="AS206" s="1191"/>
      <c r="AT206" s="1191"/>
      <c r="AU206" s="1191"/>
      <c r="AV206" s="1191"/>
      <c r="AW206" s="1191"/>
      <c r="AX206" s="1191"/>
      <c r="AY206" s="1191"/>
      <c r="AZ206" s="1191"/>
      <c r="BA206" s="1191"/>
      <c r="BB206" s="1191"/>
      <c r="BC206" s="1191"/>
      <c r="BD206" s="1191"/>
      <c r="BE206" s="1195"/>
    </row>
    <row r="207" spans="1:57" ht="15.75" customHeight="1">
      <c r="A207" s="1191"/>
      <c r="B207" s="1191"/>
      <c r="C207" s="1925" t="s">
        <v>2304</v>
      </c>
      <c r="D207" s="1926"/>
      <c r="E207" s="1926"/>
      <c r="F207" s="1927"/>
      <c r="G207" s="1931" t="s">
        <v>2303</v>
      </c>
      <c r="H207" s="1926"/>
      <c r="I207" s="1926"/>
      <c r="J207" s="1926"/>
      <c r="K207" s="1926"/>
      <c r="L207" s="1926"/>
      <c r="M207" s="1926"/>
      <c r="N207" s="1926"/>
      <c r="O207" s="1927"/>
      <c r="P207" s="1933" t="s">
        <v>2302</v>
      </c>
      <c r="Q207" s="1934"/>
      <c r="R207" s="1934"/>
      <c r="S207" s="1934"/>
      <c r="T207" s="1935"/>
      <c r="U207" s="1939" t="s">
        <v>2301</v>
      </c>
      <c r="V207" s="1940"/>
      <c r="W207" s="1940"/>
      <c r="X207" s="1941"/>
      <c r="Y207" s="1939" t="s">
        <v>2300</v>
      </c>
      <c r="Z207" s="1940"/>
      <c r="AA207" s="1940"/>
      <c r="AB207" s="1941"/>
      <c r="AC207" s="1939" t="s">
        <v>2299</v>
      </c>
      <c r="AD207" s="1940"/>
      <c r="AE207" s="1940"/>
      <c r="AF207" s="1941"/>
      <c r="AG207" s="1931" t="s">
        <v>2298</v>
      </c>
      <c r="AH207" s="1926"/>
      <c r="AI207" s="1926"/>
      <c r="AJ207" s="1926"/>
      <c r="AK207" s="1945"/>
      <c r="AL207" s="1191"/>
      <c r="AM207" s="1191"/>
      <c r="AN207" s="1191"/>
      <c r="AO207" s="1191"/>
      <c r="AP207" s="1191"/>
      <c r="AQ207" s="1191"/>
      <c r="AR207" s="1191"/>
      <c r="AS207" s="1191"/>
      <c r="AT207" s="1191"/>
      <c r="AU207" s="1191"/>
      <c r="AV207" s="1191"/>
      <c r="AW207" s="1191"/>
      <c r="AX207" s="1191"/>
      <c r="AY207" s="1191"/>
      <c r="AZ207" s="1191"/>
      <c r="BA207" s="1191"/>
      <c r="BB207" s="1191"/>
      <c r="BC207" s="1191"/>
      <c r="BD207" s="1191"/>
      <c r="BE207" s="1195"/>
    </row>
    <row r="208" spans="1:57" ht="15.75" customHeight="1">
      <c r="A208" s="1191"/>
      <c r="B208" s="1191"/>
      <c r="C208" s="1928"/>
      <c r="D208" s="1929"/>
      <c r="E208" s="1929"/>
      <c r="F208" s="1930"/>
      <c r="G208" s="1932"/>
      <c r="H208" s="1929"/>
      <c r="I208" s="1929"/>
      <c r="J208" s="1929"/>
      <c r="K208" s="1929"/>
      <c r="L208" s="1929"/>
      <c r="M208" s="1929"/>
      <c r="N208" s="1929"/>
      <c r="O208" s="1930"/>
      <c r="P208" s="1936"/>
      <c r="Q208" s="1937"/>
      <c r="R208" s="1937"/>
      <c r="S208" s="1937"/>
      <c r="T208" s="1938"/>
      <c r="U208" s="1942"/>
      <c r="V208" s="1943"/>
      <c r="W208" s="1943"/>
      <c r="X208" s="1944"/>
      <c r="Y208" s="1942"/>
      <c r="Z208" s="1943"/>
      <c r="AA208" s="1943"/>
      <c r="AB208" s="1944"/>
      <c r="AC208" s="1942"/>
      <c r="AD208" s="1943"/>
      <c r="AE208" s="1943"/>
      <c r="AF208" s="1944"/>
      <c r="AG208" s="1932"/>
      <c r="AH208" s="1929"/>
      <c r="AI208" s="1929"/>
      <c r="AJ208" s="1929"/>
      <c r="AK208" s="1946"/>
      <c r="AL208" s="1191"/>
      <c r="AM208" s="1191"/>
      <c r="AN208" s="1191"/>
      <c r="AO208" s="1191"/>
      <c r="AP208" s="1191"/>
      <c r="AQ208" s="1191"/>
      <c r="AR208" s="1191"/>
      <c r="AS208" s="1191"/>
      <c r="AT208" s="1191"/>
      <c r="AU208" s="1191"/>
      <c r="AV208" s="1191"/>
      <c r="AW208" s="1191"/>
      <c r="AX208" s="1191"/>
      <c r="AY208" s="1191"/>
      <c r="AZ208" s="1191"/>
      <c r="BA208" s="1191"/>
      <c r="BB208" s="1191"/>
      <c r="BC208" s="1191"/>
      <c r="BD208" s="1191"/>
      <c r="BE208" s="1195"/>
    </row>
    <row r="209" spans="1:57" ht="15.75" customHeight="1">
      <c r="A209" s="1191"/>
      <c r="B209" s="1191"/>
      <c r="C209" s="1914">
        <v>1</v>
      </c>
      <c r="D209" s="1915"/>
      <c r="E209" s="1915"/>
      <c r="F209" s="1915"/>
      <c r="G209" s="1916" t="s">
        <v>1884</v>
      </c>
      <c r="H209" s="1916"/>
      <c r="I209" s="1916"/>
      <c r="J209" s="1916"/>
      <c r="K209" s="1916"/>
      <c r="L209" s="1916"/>
      <c r="M209" s="1916"/>
      <c r="N209" s="1916"/>
      <c r="O209" s="1916"/>
      <c r="P209" s="1917"/>
      <c r="Q209" s="1920"/>
      <c r="R209" s="1920"/>
      <c r="S209" s="1920"/>
      <c r="T209" s="1920"/>
      <c r="U209" s="1918" t="s">
        <v>1884</v>
      </c>
      <c r="V209" s="1918"/>
      <c r="W209" s="1918"/>
      <c r="X209" s="1918"/>
      <c r="Y209" s="1918" t="s">
        <v>1884</v>
      </c>
      <c r="Z209" s="1918"/>
      <c r="AA209" s="1918"/>
      <c r="AB209" s="1918"/>
      <c r="AC209" s="1919" t="s">
        <v>1884</v>
      </c>
      <c r="AD209" s="1919"/>
      <c r="AE209" s="1919"/>
      <c r="AF209" s="1919"/>
      <c r="AG209" s="1903"/>
      <c r="AH209" s="1904"/>
      <c r="AI209" s="1904"/>
      <c r="AJ209" s="1904"/>
      <c r="AK209" s="1905"/>
      <c r="AL209" s="1191"/>
      <c r="AM209" s="1191"/>
      <c r="AN209" s="1191"/>
      <c r="AO209" s="1191"/>
      <c r="AP209" s="1191"/>
      <c r="AQ209" s="1191"/>
      <c r="AR209" s="1191"/>
      <c r="AS209" s="1191"/>
      <c r="AT209" s="1191"/>
      <c r="AU209" s="1191"/>
      <c r="AV209" s="1191"/>
      <c r="AW209" s="1191"/>
      <c r="AX209" s="1191"/>
      <c r="AY209" s="1191"/>
      <c r="AZ209" s="1191"/>
      <c r="BA209" s="1191"/>
      <c r="BB209" s="1191"/>
      <c r="BC209" s="1191"/>
      <c r="BD209" s="1191"/>
      <c r="BE209" s="1195"/>
    </row>
    <row r="210" spans="1:57" ht="15.75" customHeight="1">
      <c r="A210" s="1191"/>
      <c r="B210" s="1191"/>
      <c r="C210" s="1914">
        <v>2</v>
      </c>
      <c r="D210" s="1915"/>
      <c r="E210" s="1915"/>
      <c r="F210" s="1915"/>
      <c r="G210" s="1916" t="s">
        <v>1884</v>
      </c>
      <c r="H210" s="1916"/>
      <c r="I210" s="1916"/>
      <c r="J210" s="1916"/>
      <c r="K210" s="1916"/>
      <c r="L210" s="1916"/>
      <c r="M210" s="1916"/>
      <c r="N210" s="1916"/>
      <c r="O210" s="1916"/>
      <c r="P210" s="1917"/>
      <c r="Q210" s="1917"/>
      <c r="R210" s="1917"/>
      <c r="S210" s="1917"/>
      <c r="T210" s="1917"/>
      <c r="U210" s="1918" t="s">
        <v>1884</v>
      </c>
      <c r="V210" s="1918"/>
      <c r="W210" s="1918"/>
      <c r="X210" s="1918"/>
      <c r="Y210" s="1918" t="s">
        <v>1884</v>
      </c>
      <c r="Z210" s="1918"/>
      <c r="AA210" s="1918"/>
      <c r="AB210" s="1918"/>
      <c r="AC210" s="1919" t="s">
        <v>1884</v>
      </c>
      <c r="AD210" s="1919"/>
      <c r="AE210" s="1919"/>
      <c r="AF210" s="1919"/>
      <c r="AG210" s="1903"/>
      <c r="AH210" s="1904"/>
      <c r="AI210" s="1904"/>
      <c r="AJ210" s="1904"/>
      <c r="AK210" s="1905"/>
      <c r="AL210" s="1191"/>
      <c r="AM210" s="1191"/>
      <c r="AN210" s="1191"/>
      <c r="AO210" s="1191"/>
      <c r="AP210" s="1191"/>
      <c r="AQ210" s="1191"/>
      <c r="AR210" s="1191"/>
      <c r="AS210" s="1191"/>
      <c r="AT210" s="1191"/>
      <c r="AU210" s="1191"/>
      <c r="AV210" s="1191"/>
      <c r="AW210" s="1191"/>
      <c r="AX210" s="1191"/>
      <c r="AY210" s="1191"/>
      <c r="AZ210" s="1191"/>
      <c r="BA210" s="1191"/>
      <c r="BB210" s="1191"/>
      <c r="BC210" s="1191"/>
      <c r="BD210" s="1191"/>
      <c r="BE210" s="1195"/>
    </row>
    <row r="211" spans="1:57" ht="15.75" customHeight="1">
      <c r="A211" s="1191"/>
      <c r="B211" s="1191"/>
      <c r="C211" s="1914">
        <v>3</v>
      </c>
      <c r="D211" s="1915"/>
      <c r="E211" s="1915"/>
      <c r="F211" s="1915"/>
      <c r="G211" s="1916" t="s">
        <v>1884</v>
      </c>
      <c r="H211" s="1916"/>
      <c r="I211" s="1916"/>
      <c r="J211" s="1916"/>
      <c r="K211" s="1916"/>
      <c r="L211" s="1916"/>
      <c r="M211" s="1916"/>
      <c r="N211" s="1916"/>
      <c r="O211" s="1916"/>
      <c r="P211" s="1917"/>
      <c r="Q211" s="1917"/>
      <c r="R211" s="1917"/>
      <c r="S211" s="1917"/>
      <c r="T211" s="1917"/>
      <c r="U211" s="1918" t="s">
        <v>1884</v>
      </c>
      <c r="V211" s="1918"/>
      <c r="W211" s="1918"/>
      <c r="X211" s="1918"/>
      <c r="Y211" s="1918" t="s">
        <v>1884</v>
      </c>
      <c r="Z211" s="1918"/>
      <c r="AA211" s="1918"/>
      <c r="AB211" s="1918"/>
      <c r="AC211" s="1919" t="s">
        <v>1884</v>
      </c>
      <c r="AD211" s="1919"/>
      <c r="AE211" s="1919"/>
      <c r="AF211" s="1919"/>
      <c r="AG211" s="1903"/>
      <c r="AH211" s="1904"/>
      <c r="AI211" s="1904"/>
      <c r="AJ211" s="1904"/>
      <c r="AK211" s="1905"/>
      <c r="AL211" s="1191"/>
      <c r="AM211" s="1191"/>
      <c r="AN211" s="1191"/>
      <c r="AO211" s="1191"/>
      <c r="AP211" s="1191"/>
      <c r="AQ211" s="1191"/>
      <c r="AR211" s="1191"/>
      <c r="AS211" s="1191"/>
      <c r="AT211" s="1191"/>
      <c r="AU211" s="1191"/>
      <c r="AV211" s="1191"/>
      <c r="AW211" s="1191"/>
      <c r="AX211" s="1191"/>
      <c r="AY211" s="1191"/>
      <c r="AZ211" s="1191"/>
      <c r="BA211" s="1191"/>
      <c r="BB211" s="1191"/>
      <c r="BC211" s="1191"/>
      <c r="BD211" s="1191"/>
      <c r="BE211" s="1195"/>
    </row>
    <row r="212" spans="1:57" ht="15.75" customHeight="1">
      <c r="A212" s="1191"/>
      <c r="B212" s="1191"/>
      <c r="C212" s="1914">
        <v>4</v>
      </c>
      <c r="D212" s="1915"/>
      <c r="E212" s="1915"/>
      <c r="F212" s="1915"/>
      <c r="G212" s="1916" t="s">
        <v>1884</v>
      </c>
      <c r="H212" s="1916"/>
      <c r="I212" s="1916"/>
      <c r="J212" s="1916"/>
      <c r="K212" s="1916"/>
      <c r="L212" s="1916"/>
      <c r="M212" s="1916"/>
      <c r="N212" s="1916"/>
      <c r="O212" s="1916"/>
      <c r="P212" s="1917"/>
      <c r="Q212" s="1917"/>
      <c r="R212" s="1917"/>
      <c r="S212" s="1917"/>
      <c r="T212" s="1917"/>
      <c r="U212" s="1918" t="s">
        <v>1884</v>
      </c>
      <c r="V212" s="1918"/>
      <c r="W212" s="1918"/>
      <c r="X212" s="1918"/>
      <c r="Y212" s="1918" t="s">
        <v>1884</v>
      </c>
      <c r="Z212" s="1918"/>
      <c r="AA212" s="1918"/>
      <c r="AB212" s="1918"/>
      <c r="AC212" s="1919" t="s">
        <v>1884</v>
      </c>
      <c r="AD212" s="1919"/>
      <c r="AE212" s="1919"/>
      <c r="AF212" s="1919"/>
      <c r="AG212" s="1903"/>
      <c r="AH212" s="1904"/>
      <c r="AI212" s="1904"/>
      <c r="AJ212" s="1904"/>
      <c r="AK212" s="1905"/>
      <c r="AL212" s="1191"/>
      <c r="AM212" s="1191"/>
      <c r="AN212" s="1191"/>
      <c r="AO212" s="1191"/>
      <c r="AP212" s="1191"/>
      <c r="AQ212" s="1191"/>
      <c r="AR212" s="1191"/>
      <c r="AS212" s="1191"/>
      <c r="AT212" s="1191"/>
      <c r="AU212" s="1191"/>
      <c r="AV212" s="1191"/>
      <c r="AW212" s="1191"/>
      <c r="AX212" s="1191"/>
      <c r="AY212" s="1191"/>
      <c r="AZ212" s="1191"/>
      <c r="BA212" s="1191"/>
      <c r="BB212" s="1191"/>
      <c r="BC212" s="1191"/>
      <c r="BD212" s="1191"/>
      <c r="BE212" s="1195"/>
    </row>
    <row r="213" spans="1:57" ht="15.75" customHeight="1">
      <c r="A213" s="1191"/>
      <c r="B213" s="1191"/>
      <c r="C213" s="1914">
        <v>5</v>
      </c>
      <c r="D213" s="1915"/>
      <c r="E213" s="1915"/>
      <c r="F213" s="1915"/>
      <c r="G213" s="1916" t="s">
        <v>1884</v>
      </c>
      <c r="H213" s="1916"/>
      <c r="I213" s="1916"/>
      <c r="J213" s="1916"/>
      <c r="K213" s="1916"/>
      <c r="L213" s="1916"/>
      <c r="M213" s="1916"/>
      <c r="N213" s="1916"/>
      <c r="O213" s="1916"/>
      <c r="P213" s="1917"/>
      <c r="Q213" s="1917"/>
      <c r="R213" s="1917"/>
      <c r="S213" s="1917"/>
      <c r="T213" s="1917"/>
      <c r="U213" s="1918" t="s">
        <v>1884</v>
      </c>
      <c r="V213" s="1918"/>
      <c r="W213" s="1918"/>
      <c r="X213" s="1918"/>
      <c r="Y213" s="1918" t="s">
        <v>1884</v>
      </c>
      <c r="Z213" s="1918"/>
      <c r="AA213" s="1918"/>
      <c r="AB213" s="1918"/>
      <c r="AC213" s="1919" t="s">
        <v>1884</v>
      </c>
      <c r="AD213" s="1919"/>
      <c r="AE213" s="1919"/>
      <c r="AF213" s="1919"/>
      <c r="AG213" s="1903"/>
      <c r="AH213" s="1904"/>
      <c r="AI213" s="1904"/>
      <c r="AJ213" s="1904"/>
      <c r="AK213" s="1905"/>
      <c r="AL213" s="1191"/>
      <c r="AM213" s="1191"/>
      <c r="AN213" s="1191"/>
      <c r="AO213" s="1191"/>
      <c r="AP213" s="1191"/>
      <c r="AQ213" s="1191"/>
      <c r="AR213" s="1191"/>
      <c r="AS213" s="1191"/>
      <c r="AT213" s="1191"/>
      <c r="AU213" s="1191"/>
      <c r="AV213" s="1191"/>
      <c r="AW213" s="1191"/>
      <c r="AX213" s="1191"/>
      <c r="AY213" s="1191"/>
      <c r="AZ213" s="1191"/>
      <c r="BA213" s="1191"/>
      <c r="BB213" s="1191"/>
      <c r="BC213" s="1191"/>
      <c r="BD213" s="1191"/>
      <c r="BE213" s="1195"/>
    </row>
    <row r="214" spans="1:57" ht="15.75" customHeight="1">
      <c r="A214" s="1191"/>
      <c r="B214" s="1191"/>
      <c r="C214" s="1914">
        <v>6</v>
      </c>
      <c r="D214" s="1915"/>
      <c r="E214" s="1915"/>
      <c r="F214" s="1915"/>
      <c r="G214" s="1916" t="s">
        <v>1884</v>
      </c>
      <c r="H214" s="1916"/>
      <c r="I214" s="1916"/>
      <c r="J214" s="1916"/>
      <c r="K214" s="1916"/>
      <c r="L214" s="1916"/>
      <c r="M214" s="1916"/>
      <c r="N214" s="1916"/>
      <c r="O214" s="1916"/>
      <c r="P214" s="1917"/>
      <c r="Q214" s="1917"/>
      <c r="R214" s="1917"/>
      <c r="S214" s="1917"/>
      <c r="T214" s="1917"/>
      <c r="U214" s="1918"/>
      <c r="V214" s="1918"/>
      <c r="W214" s="1918"/>
      <c r="X214" s="1918"/>
      <c r="Y214" s="1918"/>
      <c r="Z214" s="1918"/>
      <c r="AA214" s="1918"/>
      <c r="AB214" s="1918"/>
      <c r="AC214" s="1919" t="s">
        <v>1884</v>
      </c>
      <c r="AD214" s="1919"/>
      <c r="AE214" s="1919"/>
      <c r="AF214" s="1919"/>
      <c r="AG214" s="1903"/>
      <c r="AH214" s="1904"/>
      <c r="AI214" s="1904"/>
      <c r="AJ214" s="1904"/>
      <c r="AK214" s="1905"/>
      <c r="AL214" s="1191"/>
      <c r="AM214" s="1191"/>
      <c r="AN214" s="1191"/>
      <c r="AO214" s="1191"/>
      <c r="AP214" s="1191"/>
      <c r="AQ214" s="1191"/>
      <c r="AR214" s="1191"/>
      <c r="AS214" s="1191"/>
      <c r="AT214" s="1191"/>
      <c r="AU214" s="1191"/>
      <c r="AV214" s="1191"/>
      <c r="AW214" s="1191"/>
      <c r="AX214" s="1191"/>
      <c r="AY214" s="1191"/>
      <c r="AZ214" s="1191"/>
      <c r="BA214" s="1191"/>
      <c r="BB214" s="1191"/>
      <c r="BC214" s="1191"/>
      <c r="BD214" s="1191"/>
      <c r="BE214" s="1195"/>
    </row>
    <row r="215" spans="1:57" ht="15.75" customHeight="1">
      <c r="A215" s="1191"/>
      <c r="B215" s="1191"/>
      <c r="C215" s="1914">
        <v>7</v>
      </c>
      <c r="D215" s="1915"/>
      <c r="E215" s="1915"/>
      <c r="F215" s="1915"/>
      <c r="G215" s="1916"/>
      <c r="H215" s="1916"/>
      <c r="I215" s="1916"/>
      <c r="J215" s="1916"/>
      <c r="K215" s="1916"/>
      <c r="L215" s="1916"/>
      <c r="M215" s="1916"/>
      <c r="N215" s="1916"/>
      <c r="O215" s="1916"/>
      <c r="P215" s="1917"/>
      <c r="Q215" s="1917"/>
      <c r="R215" s="1917"/>
      <c r="S215" s="1917"/>
      <c r="T215" s="1917"/>
      <c r="U215" s="1918"/>
      <c r="V215" s="1918"/>
      <c r="W215" s="1918"/>
      <c r="X215" s="1918"/>
      <c r="Y215" s="1918"/>
      <c r="Z215" s="1918"/>
      <c r="AA215" s="1918"/>
      <c r="AB215" s="1918"/>
      <c r="AC215" s="1919" t="s">
        <v>1884</v>
      </c>
      <c r="AD215" s="1919"/>
      <c r="AE215" s="1919"/>
      <c r="AF215" s="1919"/>
      <c r="AG215" s="1903"/>
      <c r="AH215" s="1904"/>
      <c r="AI215" s="1904"/>
      <c r="AJ215" s="1904"/>
      <c r="AK215" s="1905"/>
      <c r="AL215" s="1191"/>
      <c r="AM215" s="1191"/>
      <c r="AN215" s="1191"/>
      <c r="AO215" s="1191"/>
      <c r="AP215" s="1191"/>
      <c r="AQ215" s="1191"/>
      <c r="AR215" s="1191"/>
      <c r="AS215" s="1191"/>
      <c r="AT215" s="1191"/>
      <c r="AU215" s="1191"/>
      <c r="AV215" s="1191"/>
      <c r="AW215" s="1191"/>
      <c r="AX215" s="1191"/>
      <c r="AY215" s="1191"/>
      <c r="AZ215" s="1191"/>
      <c r="BA215" s="1191"/>
      <c r="BB215" s="1191"/>
      <c r="BC215" s="1191"/>
      <c r="BD215" s="1191"/>
      <c r="BE215" s="1195"/>
    </row>
    <row r="216" spans="1:57" ht="15.75" customHeight="1">
      <c r="A216" s="1191"/>
      <c r="B216" s="1191"/>
      <c r="C216" s="1906" t="s">
        <v>2297</v>
      </c>
      <c r="D216" s="1907"/>
      <c r="E216" s="1907"/>
      <c r="F216" s="1907"/>
      <c r="G216" s="1907"/>
      <c r="H216" s="1907"/>
      <c r="I216" s="1907"/>
      <c r="J216" s="1907"/>
      <c r="K216" s="1907"/>
      <c r="L216" s="1907"/>
      <c r="M216" s="1907"/>
      <c r="N216" s="1907"/>
      <c r="O216" s="1907"/>
      <c r="P216" s="1908"/>
      <c r="Q216" s="1908"/>
      <c r="R216" s="1908"/>
      <c r="S216" s="1908"/>
      <c r="T216" s="1908"/>
      <c r="U216" s="1909">
        <v>0</v>
      </c>
      <c r="V216" s="1909"/>
      <c r="W216" s="1909"/>
      <c r="X216" s="1909"/>
      <c r="Y216" s="1909">
        <v>0</v>
      </c>
      <c r="Z216" s="1909"/>
      <c r="AA216" s="1909"/>
      <c r="AB216" s="1909"/>
      <c r="AC216" s="1910">
        <v>0</v>
      </c>
      <c r="AD216" s="1910"/>
      <c r="AE216" s="1910"/>
      <c r="AF216" s="1910"/>
      <c r="AG216" s="1911"/>
      <c r="AH216" s="1912"/>
      <c r="AI216" s="1912"/>
      <c r="AJ216" s="1912"/>
      <c r="AK216" s="1913"/>
      <c r="AL216" s="1191"/>
      <c r="AM216" s="1191"/>
      <c r="AN216" s="1191"/>
      <c r="AO216" s="1191"/>
      <c r="AP216" s="1191"/>
      <c r="AQ216" s="1191"/>
      <c r="AR216" s="1191"/>
      <c r="AS216" s="1191"/>
      <c r="AT216" s="1191"/>
      <c r="AU216" s="1191"/>
      <c r="AV216" s="1191"/>
      <c r="AW216" s="1191"/>
      <c r="AX216" s="1191"/>
      <c r="AY216" s="1191"/>
      <c r="AZ216" s="1191"/>
      <c r="BA216" s="1191"/>
      <c r="BB216" s="1191"/>
      <c r="BC216" s="1191"/>
      <c r="BD216" s="1191"/>
      <c r="BE216" s="1195"/>
    </row>
    <row r="217" spans="1:57" ht="15.75" customHeight="1">
      <c r="A217" s="1191"/>
      <c r="B217" s="1191"/>
      <c r="C217" s="1191" t="s">
        <v>2296</v>
      </c>
      <c r="D217" s="1191"/>
      <c r="E217" s="1191"/>
      <c r="F217" s="1191"/>
      <c r="G217" s="1191"/>
      <c r="H217" s="1191"/>
      <c r="I217" s="1191"/>
      <c r="J217" s="1191"/>
      <c r="K217" s="1191"/>
      <c r="L217" s="1191"/>
      <c r="M217" s="1191"/>
      <c r="N217" s="1191"/>
      <c r="O217" s="1191"/>
      <c r="P217" s="1191"/>
      <c r="Q217" s="1191"/>
      <c r="R217" s="1191"/>
      <c r="S217" s="1191"/>
      <c r="T217" s="1191"/>
      <c r="U217" s="1191"/>
      <c r="V217" s="1191"/>
      <c r="W217" s="1191"/>
      <c r="X217" s="1191"/>
      <c r="Y217" s="1191"/>
      <c r="Z217" s="1191"/>
      <c r="AA217" s="1191"/>
      <c r="AB217" s="1191"/>
      <c r="AC217" s="1191"/>
      <c r="AD217" s="1191"/>
      <c r="AE217" s="1191"/>
      <c r="AF217" s="1191"/>
      <c r="AG217" s="1191"/>
      <c r="AH217" s="1191"/>
      <c r="AI217" s="1191"/>
      <c r="AJ217" s="1191"/>
      <c r="AK217" s="1191"/>
      <c r="AL217" s="1191"/>
      <c r="AM217" s="1191"/>
      <c r="AN217" s="1191"/>
      <c r="AO217" s="1191"/>
      <c r="AP217" s="1191"/>
      <c r="AQ217" s="1191"/>
      <c r="AR217" s="1191"/>
      <c r="AS217" s="1191"/>
      <c r="AT217" s="1191"/>
      <c r="AU217" s="1191"/>
      <c r="AV217" s="1191"/>
      <c r="AW217" s="1191"/>
      <c r="AX217" s="1191"/>
      <c r="AY217" s="1191"/>
      <c r="AZ217" s="1191"/>
      <c r="BA217" s="1191"/>
      <c r="BB217" s="1191"/>
      <c r="BC217" s="1191"/>
      <c r="BD217" s="1191"/>
      <c r="BE217" s="1195"/>
    </row>
    <row r="218" spans="1:57" ht="15.75" customHeight="1">
      <c r="A218" s="1191"/>
      <c r="B218" s="1191"/>
      <c r="C218" s="1191"/>
      <c r="D218" s="1191"/>
      <c r="E218" s="1191"/>
      <c r="F218" s="1191"/>
      <c r="G218" s="1191"/>
      <c r="H218" s="1191"/>
      <c r="I218" s="1191"/>
      <c r="J218" s="1191"/>
      <c r="K218" s="1191"/>
      <c r="L218" s="1191"/>
      <c r="M218" s="1191"/>
      <c r="N218" s="1191"/>
      <c r="O218" s="1191"/>
      <c r="P218" s="1191"/>
      <c r="Q218" s="1191"/>
      <c r="R218" s="1191"/>
      <c r="S218" s="1191"/>
      <c r="T218" s="1191"/>
      <c r="U218" s="1191"/>
      <c r="V218" s="1191"/>
      <c r="W218" s="1191"/>
      <c r="X218" s="1191"/>
      <c r="Y218" s="1191"/>
      <c r="Z218" s="1191"/>
      <c r="AA218" s="1191"/>
      <c r="AB218" s="1191"/>
      <c r="AC218" s="1191"/>
      <c r="AD218" s="1191"/>
      <c r="AE218" s="1191"/>
      <c r="AF218" s="1191"/>
      <c r="AG218" s="1191"/>
      <c r="AH218" s="1191"/>
      <c r="AI218" s="1191"/>
      <c r="AJ218" s="1191"/>
      <c r="AK218" s="1191"/>
      <c r="AL218" s="1191"/>
      <c r="AM218" s="1191"/>
      <c r="AN218" s="1191"/>
      <c r="AO218" s="1191"/>
      <c r="AP218" s="1191"/>
      <c r="AQ218" s="1191"/>
      <c r="AR218" s="1191"/>
      <c r="AS218" s="1191"/>
      <c r="AT218" s="1191"/>
      <c r="AU218" s="1191"/>
      <c r="AV218" s="1191"/>
      <c r="AW218" s="1191"/>
      <c r="AX218" s="1191"/>
      <c r="AY218" s="1191"/>
      <c r="AZ218" s="1191"/>
      <c r="BA218" s="1191"/>
      <c r="BB218" s="1191"/>
      <c r="BC218" s="1191"/>
      <c r="BD218" s="1191"/>
      <c r="BE218" s="1195"/>
    </row>
    <row r="219" spans="1:57" ht="15.75" customHeight="1">
      <c r="A219" s="1191"/>
      <c r="B219" s="1191"/>
      <c r="C219" s="1191"/>
      <c r="D219" s="1191"/>
      <c r="E219" s="1191"/>
      <c r="F219" s="1191"/>
      <c r="G219" s="1191"/>
      <c r="H219" s="1191"/>
      <c r="I219" s="1191"/>
      <c r="J219" s="1191"/>
      <c r="K219" s="1191"/>
      <c r="L219" s="1191"/>
      <c r="M219" s="1191"/>
      <c r="N219" s="1191"/>
      <c r="O219" s="1191"/>
      <c r="P219" s="1191"/>
      <c r="Q219" s="1191"/>
      <c r="R219" s="1191"/>
      <c r="S219" s="1191"/>
      <c r="T219" s="1191"/>
      <c r="U219" s="1191"/>
      <c r="V219" s="1191"/>
      <c r="W219" s="1191"/>
      <c r="X219" s="1191"/>
      <c r="Y219" s="1191"/>
      <c r="Z219" s="1191"/>
      <c r="AA219" s="1191"/>
      <c r="AB219" s="1191"/>
      <c r="AC219" s="1191"/>
      <c r="AD219" s="1191"/>
      <c r="AE219" s="1191"/>
      <c r="AF219" s="1191"/>
      <c r="AG219" s="1191"/>
      <c r="AH219" s="1191"/>
      <c r="AI219" s="1191"/>
      <c r="AJ219" s="1191"/>
      <c r="AK219" s="1191"/>
      <c r="AL219" s="1191"/>
      <c r="AM219" s="1191"/>
      <c r="AN219" s="1191"/>
      <c r="AO219" s="1191"/>
      <c r="AP219" s="1191"/>
      <c r="AQ219" s="1191"/>
      <c r="AR219" s="1191"/>
      <c r="AS219" s="1191"/>
      <c r="AT219" s="1191"/>
      <c r="AU219" s="1191"/>
      <c r="AV219" s="1191"/>
      <c r="AW219" s="1191"/>
      <c r="AX219" s="1191"/>
      <c r="AY219" s="1191"/>
      <c r="AZ219" s="1191"/>
      <c r="BA219" s="1191"/>
      <c r="BB219" s="1191"/>
      <c r="BC219" s="1191"/>
      <c r="BD219" s="1191"/>
      <c r="BE219" s="1195"/>
    </row>
    <row r="220" spans="1:57" ht="15.75" customHeight="1" thickBot="1">
      <c r="A220" s="1191"/>
      <c r="B220" s="1191"/>
      <c r="C220" s="1191"/>
      <c r="D220" s="1191"/>
      <c r="E220" s="1191"/>
      <c r="F220" s="1191"/>
      <c r="G220" s="1191"/>
      <c r="H220" s="1191"/>
      <c r="I220" s="1191"/>
      <c r="J220" s="1191"/>
      <c r="K220" s="1191"/>
      <c r="L220" s="1191"/>
      <c r="M220" s="1191"/>
      <c r="N220" s="1191"/>
      <c r="O220" s="1191"/>
      <c r="P220" s="1191"/>
      <c r="Q220" s="1191"/>
      <c r="R220" s="1191"/>
      <c r="S220" s="1191"/>
      <c r="T220" s="1191"/>
      <c r="U220" s="1191"/>
      <c r="V220" s="1191"/>
      <c r="W220" s="1191"/>
      <c r="X220" s="1191"/>
      <c r="Y220" s="1191"/>
      <c r="Z220" s="1191"/>
      <c r="AA220" s="1191"/>
      <c r="AB220" s="1191"/>
      <c r="AC220" s="1191"/>
      <c r="AD220" s="1191"/>
      <c r="AE220" s="1191"/>
      <c r="AF220" s="1191"/>
      <c r="AG220" s="1191"/>
      <c r="AH220" s="1191"/>
      <c r="AI220" s="1191"/>
      <c r="AJ220" s="1191"/>
      <c r="AK220" s="1191"/>
      <c r="AL220" s="1191"/>
      <c r="AM220" s="1191"/>
      <c r="AN220" s="1191"/>
      <c r="AO220" s="1191"/>
      <c r="AP220" s="1191"/>
      <c r="AQ220" s="1191"/>
      <c r="AR220" s="1191"/>
      <c r="AS220" s="1191"/>
      <c r="AT220" s="1191"/>
      <c r="AU220" s="1191"/>
      <c r="AV220" s="1191"/>
      <c r="AW220" s="1191"/>
      <c r="AX220" s="1191"/>
      <c r="AY220" s="1191"/>
      <c r="AZ220" s="1191"/>
      <c r="BA220" s="1191"/>
      <c r="BB220" s="1191"/>
      <c r="BC220" s="1191"/>
      <c r="BD220" s="1191"/>
      <c r="BE220" s="1195"/>
    </row>
    <row r="221" spans="1:57" ht="15.75" customHeight="1">
      <c r="A221" s="1191"/>
      <c r="B221" s="1890" t="s">
        <v>2295</v>
      </c>
      <c r="C221" s="1891"/>
      <c r="D221" s="1891"/>
      <c r="E221" s="1891"/>
      <c r="F221" s="1891"/>
      <c r="G221" s="1891"/>
      <c r="H221" s="1891"/>
      <c r="I221" s="1891"/>
      <c r="J221" s="1891"/>
      <c r="K221" s="1891"/>
      <c r="L221" s="1891"/>
      <c r="M221" s="1891"/>
      <c r="N221" s="1891"/>
      <c r="O221" s="1891"/>
      <c r="P221" s="1891"/>
      <c r="Q221" s="1891"/>
      <c r="R221" s="1891"/>
      <c r="S221" s="1891"/>
      <c r="T221" s="1891"/>
      <c r="U221" s="1891"/>
      <c r="V221" s="1891"/>
      <c r="W221" s="1891"/>
      <c r="X221" s="1891"/>
      <c r="Y221" s="1891"/>
      <c r="Z221" s="1891"/>
      <c r="AA221" s="1891"/>
      <c r="AB221" s="1891"/>
      <c r="AC221" s="1891"/>
      <c r="AD221" s="1891"/>
      <c r="AE221" s="1891"/>
      <c r="AF221" s="1891"/>
      <c r="AG221" s="1891"/>
      <c r="AH221" s="1891"/>
      <c r="AI221" s="1891"/>
      <c r="AJ221" s="1891"/>
      <c r="AK221" s="1891"/>
      <c r="AL221" s="1891"/>
      <c r="AM221" s="1891"/>
      <c r="AN221" s="1891"/>
      <c r="AO221" s="1891"/>
      <c r="AP221" s="1891"/>
      <c r="AQ221" s="1891"/>
      <c r="AR221" s="1891"/>
      <c r="AS221" s="1891"/>
      <c r="AT221" s="1891"/>
      <c r="AU221" s="1891"/>
      <c r="AV221" s="1891"/>
      <c r="AW221" s="1891"/>
      <c r="AX221" s="1891"/>
      <c r="AY221" s="1891"/>
      <c r="AZ221" s="1891"/>
      <c r="BA221" s="1891"/>
      <c r="BB221" s="1891"/>
      <c r="BC221" s="1891"/>
      <c r="BD221" s="1892"/>
      <c r="BE221" s="1195"/>
    </row>
    <row r="222" spans="1:57" ht="15.75" customHeight="1">
      <c r="A222" s="1191"/>
      <c r="B222" s="1893"/>
      <c r="C222" s="1894"/>
      <c r="D222" s="1894"/>
      <c r="E222" s="1894"/>
      <c r="F222" s="1894"/>
      <c r="G222" s="1894"/>
      <c r="H222" s="1894"/>
      <c r="I222" s="1894"/>
      <c r="J222" s="1894"/>
      <c r="K222" s="1894"/>
      <c r="L222" s="1894"/>
      <c r="M222" s="1894"/>
      <c r="N222" s="1894"/>
      <c r="O222" s="1894"/>
      <c r="P222" s="1894"/>
      <c r="Q222" s="1894"/>
      <c r="R222" s="1894"/>
      <c r="S222" s="1894"/>
      <c r="T222" s="1894"/>
      <c r="U222" s="1894"/>
      <c r="V222" s="1894"/>
      <c r="W222" s="1894"/>
      <c r="X222" s="1894"/>
      <c r="Y222" s="1894"/>
      <c r="Z222" s="1894"/>
      <c r="AA222" s="1894"/>
      <c r="AB222" s="1894"/>
      <c r="AC222" s="1894"/>
      <c r="AD222" s="1894"/>
      <c r="AE222" s="1894"/>
      <c r="AF222" s="1894"/>
      <c r="AG222" s="1894"/>
      <c r="AH222" s="1894"/>
      <c r="AI222" s="1894"/>
      <c r="AJ222" s="1894"/>
      <c r="AK222" s="1894"/>
      <c r="AL222" s="1894"/>
      <c r="AM222" s="1894"/>
      <c r="AN222" s="1894"/>
      <c r="AO222" s="1894"/>
      <c r="AP222" s="1894"/>
      <c r="AQ222" s="1894"/>
      <c r="AR222" s="1894"/>
      <c r="AS222" s="1894"/>
      <c r="AT222" s="1894"/>
      <c r="AU222" s="1894"/>
      <c r="AV222" s="1894"/>
      <c r="AW222" s="1894"/>
      <c r="AX222" s="1894"/>
      <c r="AY222" s="1894"/>
      <c r="AZ222" s="1894"/>
      <c r="BA222" s="1894"/>
      <c r="BB222" s="1894"/>
      <c r="BC222" s="1894"/>
      <c r="BD222" s="1895"/>
      <c r="BE222" s="1195"/>
    </row>
    <row r="223" spans="1:57" ht="15.75" customHeight="1">
      <c r="A223" s="1191"/>
      <c r="B223" s="1896" t="s">
        <v>2294</v>
      </c>
      <c r="C223" s="1897"/>
      <c r="D223" s="1897"/>
      <c r="E223" s="1897"/>
      <c r="F223" s="1897"/>
      <c r="G223" s="1897"/>
      <c r="H223" s="1897"/>
      <c r="I223" s="1897"/>
      <c r="J223" s="1897"/>
      <c r="K223" s="1897"/>
      <c r="L223" s="1897"/>
      <c r="M223" s="1897"/>
      <c r="N223" s="1897"/>
      <c r="O223" s="1897"/>
      <c r="P223" s="1897"/>
      <c r="Q223" s="1897"/>
      <c r="R223" s="1897"/>
      <c r="S223" s="1897"/>
      <c r="T223" s="1897"/>
      <c r="U223" s="1897"/>
      <c r="V223" s="1897"/>
      <c r="W223" s="1897"/>
      <c r="X223" s="1897"/>
      <c r="Y223" s="1897"/>
      <c r="Z223" s="1897"/>
      <c r="AA223" s="1897"/>
      <c r="AB223" s="1897"/>
      <c r="AC223" s="1897"/>
      <c r="AD223" s="1897"/>
      <c r="AE223" s="1897"/>
      <c r="AF223" s="1897"/>
      <c r="AG223" s="1897"/>
      <c r="AH223" s="1897"/>
      <c r="AI223" s="1897"/>
      <c r="AJ223" s="1897"/>
      <c r="AK223" s="1897"/>
      <c r="AL223" s="1897"/>
      <c r="AM223" s="1897"/>
      <c r="AN223" s="1897"/>
      <c r="AO223" s="1897"/>
      <c r="AP223" s="1897"/>
      <c r="AQ223" s="1897"/>
      <c r="AR223" s="1897"/>
      <c r="AS223" s="1897"/>
      <c r="AT223" s="1897"/>
      <c r="AU223" s="1897"/>
      <c r="AV223" s="1897"/>
      <c r="AW223" s="1897"/>
      <c r="AX223" s="1897"/>
      <c r="AY223" s="1897"/>
      <c r="AZ223" s="1897"/>
      <c r="BA223" s="1897"/>
      <c r="BB223" s="1897"/>
      <c r="BC223" s="1897"/>
      <c r="BD223" s="1898"/>
      <c r="BE223" s="1195"/>
    </row>
    <row r="224" spans="1:57" ht="15.75" customHeight="1">
      <c r="A224" s="1191"/>
      <c r="B224" s="1896" t="s">
        <v>2293</v>
      </c>
      <c r="C224" s="1897"/>
      <c r="D224" s="1897"/>
      <c r="E224" s="1897"/>
      <c r="F224" s="1897"/>
      <c r="G224" s="1897"/>
      <c r="H224" s="1897"/>
      <c r="I224" s="1897"/>
      <c r="J224" s="1897"/>
      <c r="K224" s="1897"/>
      <c r="L224" s="1897"/>
      <c r="M224" s="1897"/>
      <c r="N224" s="1897"/>
      <c r="O224" s="1897"/>
      <c r="P224" s="1897"/>
      <c r="Q224" s="1897"/>
      <c r="R224" s="1897"/>
      <c r="S224" s="1897"/>
      <c r="T224" s="1897"/>
      <c r="U224" s="1897"/>
      <c r="V224" s="1897"/>
      <c r="W224" s="1897"/>
      <c r="X224" s="1897"/>
      <c r="Y224" s="1897"/>
      <c r="Z224" s="1897"/>
      <c r="AA224" s="1897"/>
      <c r="AB224" s="1897"/>
      <c r="AC224" s="1897"/>
      <c r="AD224" s="1897"/>
      <c r="AE224" s="1897"/>
      <c r="AF224" s="1897"/>
      <c r="AG224" s="1897"/>
      <c r="AH224" s="1897"/>
      <c r="AI224" s="1897"/>
      <c r="AJ224" s="1897"/>
      <c r="AK224" s="1897"/>
      <c r="AL224" s="1897"/>
      <c r="AM224" s="1897"/>
      <c r="AN224" s="1897"/>
      <c r="AO224" s="1897"/>
      <c r="AP224" s="1897"/>
      <c r="AQ224" s="1897"/>
      <c r="AR224" s="1897"/>
      <c r="AS224" s="1897"/>
      <c r="AT224" s="1897"/>
      <c r="AU224" s="1897"/>
      <c r="AV224" s="1897"/>
      <c r="AW224" s="1897"/>
      <c r="AX224" s="1897"/>
      <c r="AY224" s="1897"/>
      <c r="AZ224" s="1897"/>
      <c r="BA224" s="1897"/>
      <c r="BB224" s="1897"/>
      <c r="BC224" s="1897"/>
      <c r="BD224" s="1898"/>
      <c r="BE224" s="1195"/>
    </row>
    <row r="225" spans="1:57" ht="15.75" customHeight="1">
      <c r="A225" s="1191"/>
      <c r="B225" s="1190"/>
      <c r="C225" s="1191"/>
      <c r="D225" s="1191"/>
      <c r="E225" s="1191"/>
      <c r="F225" s="1191"/>
      <c r="G225" s="1191"/>
      <c r="H225" s="1191"/>
      <c r="I225" s="1191"/>
      <c r="J225" s="1191"/>
      <c r="K225" s="1191"/>
      <c r="L225" s="1191"/>
      <c r="M225" s="1191"/>
      <c r="N225" s="1191"/>
      <c r="O225" s="1191"/>
      <c r="P225" s="1191"/>
      <c r="Q225" s="1191"/>
      <c r="R225" s="1191"/>
      <c r="S225" s="1191"/>
      <c r="T225" s="1191"/>
      <c r="U225" s="1191"/>
      <c r="V225" s="1191"/>
      <c r="W225" s="1191"/>
      <c r="X225" s="1191"/>
      <c r="Y225" s="1191"/>
      <c r="Z225" s="1191"/>
      <c r="AA225" s="1191"/>
      <c r="AB225" s="1191"/>
      <c r="AC225" s="1191"/>
      <c r="AD225" s="1191"/>
      <c r="AE225" s="1191"/>
      <c r="AF225" s="1191"/>
      <c r="AG225" s="1191"/>
      <c r="AH225" s="1191"/>
      <c r="AI225" s="1191"/>
      <c r="AJ225" s="1191"/>
      <c r="AK225" s="1191"/>
      <c r="AL225" s="1191"/>
      <c r="AM225" s="1191"/>
      <c r="AN225" s="1191"/>
      <c r="AO225" s="1191"/>
      <c r="AP225" s="1191"/>
      <c r="AQ225" s="1191"/>
      <c r="AR225" s="1191"/>
      <c r="AS225" s="1191"/>
      <c r="AT225" s="1191"/>
      <c r="AU225" s="1191"/>
      <c r="AV225" s="1191"/>
      <c r="AW225" s="1191"/>
      <c r="AX225" s="1191"/>
      <c r="AY225" s="1191"/>
      <c r="AZ225" s="1191"/>
      <c r="BA225" s="1191"/>
      <c r="BB225" s="1191"/>
      <c r="BC225" s="1191"/>
      <c r="BD225" s="1195"/>
      <c r="BE225" s="1195"/>
    </row>
    <row r="226" spans="1:57" ht="15.75" customHeight="1">
      <c r="A226" s="1191"/>
      <c r="B226" s="1899" t="s">
        <v>2292</v>
      </c>
      <c r="C226" s="1900"/>
      <c r="D226" s="1900"/>
      <c r="E226" s="1900"/>
      <c r="F226" s="1900"/>
      <c r="G226" s="1900"/>
      <c r="H226" s="1900"/>
      <c r="I226" s="1900"/>
      <c r="J226" s="1900"/>
      <c r="K226" s="1900"/>
      <c r="L226" s="1900"/>
      <c r="M226" s="1900"/>
      <c r="N226" s="1900"/>
      <c r="O226" s="1900"/>
      <c r="P226" s="1900"/>
      <c r="Q226" s="1900"/>
      <c r="R226" s="1900"/>
      <c r="S226" s="1900"/>
      <c r="T226" s="1900"/>
      <c r="U226" s="1900"/>
      <c r="V226" s="1900"/>
      <c r="W226" s="1900"/>
      <c r="X226" s="1900"/>
      <c r="Y226" s="1900"/>
      <c r="Z226" s="1900"/>
      <c r="AA226" s="1900"/>
      <c r="AB226" s="1900"/>
      <c r="AC226" s="1900"/>
      <c r="AD226" s="1900"/>
      <c r="AE226" s="1900"/>
      <c r="AF226" s="1900"/>
      <c r="AG226" s="1900"/>
      <c r="AH226" s="1900"/>
      <c r="AI226" s="1900"/>
      <c r="AJ226" s="1900"/>
      <c r="AK226" s="1900"/>
      <c r="AL226" s="1900"/>
      <c r="AM226" s="1900"/>
      <c r="AN226" s="1900"/>
      <c r="AO226" s="1900"/>
      <c r="AP226" s="1900"/>
      <c r="AQ226" s="1900"/>
      <c r="AR226" s="1900"/>
      <c r="AS226" s="1900"/>
      <c r="AT226" s="1900"/>
      <c r="AU226" s="1900"/>
      <c r="AV226" s="1900"/>
      <c r="AW226" s="1900"/>
      <c r="AX226" s="1900"/>
      <c r="AY226" s="1900"/>
      <c r="AZ226" s="1900"/>
      <c r="BA226" s="1900"/>
      <c r="BB226" s="1900"/>
      <c r="BC226" s="1900"/>
      <c r="BD226" s="1901"/>
      <c r="BE226" s="1195"/>
    </row>
    <row r="227" spans="1:57" ht="15.75" customHeight="1">
      <c r="A227" s="1191"/>
      <c r="B227" s="1236"/>
      <c r="C227" s="1191"/>
      <c r="D227" s="1191"/>
      <c r="E227" s="1191"/>
      <c r="F227" s="1191"/>
      <c r="G227" s="1191"/>
      <c r="H227" s="1191"/>
      <c r="I227" s="1191"/>
      <c r="J227" s="1191"/>
      <c r="K227" s="1191"/>
      <c r="L227" s="1191"/>
      <c r="M227" s="1191"/>
      <c r="N227" s="1191"/>
      <c r="O227" s="1191"/>
      <c r="P227" s="1191"/>
      <c r="Q227" s="1191"/>
      <c r="R227" s="1191"/>
      <c r="S227" s="1191"/>
      <c r="T227" s="1191"/>
      <c r="U227" s="1191"/>
      <c r="V227" s="1191"/>
      <c r="W227" s="1191"/>
      <c r="X227" s="1191"/>
      <c r="Y227" s="1191"/>
      <c r="Z227" s="1191"/>
      <c r="AA227" s="1191"/>
      <c r="AB227" s="1191"/>
      <c r="AC227" s="1191"/>
      <c r="AD227" s="1191"/>
      <c r="AE227" s="1191"/>
      <c r="AF227" s="1191"/>
      <c r="AG227" s="1191"/>
      <c r="AH227" s="1191"/>
      <c r="AI227" s="1191"/>
      <c r="AJ227" s="1191"/>
      <c r="AK227" s="1191"/>
      <c r="AL227" s="1191"/>
      <c r="AM227" s="1191"/>
      <c r="AN227" s="1191"/>
      <c r="AO227" s="1191"/>
      <c r="AP227" s="1191"/>
      <c r="AQ227" s="1191"/>
      <c r="AR227" s="1191"/>
      <c r="AS227" s="1191"/>
      <c r="AT227" s="1191"/>
      <c r="AU227" s="1191"/>
      <c r="AV227" s="1191"/>
      <c r="AW227" s="1191"/>
      <c r="AX227" s="1191"/>
      <c r="AY227" s="1191"/>
      <c r="AZ227" s="1191"/>
      <c r="BA227" s="1191"/>
      <c r="BB227" s="1191"/>
      <c r="BC227" s="1191"/>
      <c r="BD227" s="1195"/>
      <c r="BE227" s="1195"/>
    </row>
    <row r="228" spans="1:57" ht="15.75" customHeight="1">
      <c r="A228" s="1191"/>
      <c r="B228" s="1237"/>
      <c r="C228" s="1191"/>
      <c r="D228" s="1191"/>
      <c r="E228" s="1191"/>
      <c r="F228" s="1191"/>
      <c r="G228" s="1191"/>
      <c r="H228" s="1193" t="s">
        <v>2291</v>
      </c>
      <c r="I228" s="1191"/>
      <c r="J228" s="1191"/>
      <c r="K228" s="1191"/>
      <c r="L228" s="1191"/>
      <c r="M228" s="1191"/>
      <c r="N228" s="1191"/>
      <c r="O228" s="1191"/>
      <c r="P228" s="1191"/>
      <c r="Q228" s="1191"/>
      <c r="R228" s="1191"/>
      <c r="S228" s="1191"/>
      <c r="T228" s="1191"/>
      <c r="U228" s="1191"/>
      <c r="V228" s="1191"/>
      <c r="W228" s="1191"/>
      <c r="X228" s="1191"/>
      <c r="Y228" s="1191"/>
      <c r="Z228" s="1191"/>
      <c r="AA228" s="1191"/>
      <c r="AB228" s="1191"/>
      <c r="AC228" s="1191"/>
      <c r="AD228" s="1191"/>
      <c r="AE228" s="1191"/>
      <c r="AF228" s="1191"/>
      <c r="AG228" s="1191"/>
      <c r="AH228" s="1191"/>
      <c r="AI228" s="1191"/>
      <c r="AJ228" s="1191"/>
      <c r="AK228" s="1191"/>
      <c r="AL228" s="1191"/>
      <c r="AM228" s="1191"/>
      <c r="AN228" s="1191"/>
      <c r="AO228" s="1191"/>
      <c r="AP228" s="1191"/>
      <c r="AQ228" s="1191"/>
      <c r="AR228" s="1191"/>
      <c r="AS228" s="1191"/>
      <c r="AT228" s="1191"/>
      <c r="AU228" s="1191"/>
      <c r="AV228" s="1191"/>
      <c r="AW228" s="1191"/>
      <c r="AX228" s="1191"/>
      <c r="AY228" s="1191"/>
      <c r="AZ228" s="1191"/>
      <c r="BA228" s="1191"/>
      <c r="BB228" s="1191"/>
      <c r="BC228" s="1191"/>
      <c r="BD228" s="1195"/>
      <c r="BE228" s="1195"/>
    </row>
    <row r="229" spans="1:57" ht="15.75" customHeight="1">
      <c r="A229" s="1191"/>
      <c r="B229" s="1237"/>
      <c r="C229" s="1191"/>
      <c r="D229" s="1191"/>
      <c r="E229" s="1191"/>
      <c r="F229" s="1191"/>
      <c r="G229" s="1191"/>
      <c r="H229" s="1191"/>
      <c r="I229" s="1191"/>
      <c r="J229" s="1191"/>
      <c r="K229" s="1191"/>
      <c r="L229" s="1191"/>
      <c r="M229" s="1191"/>
      <c r="N229" s="1191"/>
      <c r="O229" s="1191"/>
      <c r="P229" s="1191"/>
      <c r="Q229" s="1191"/>
      <c r="R229" s="1191"/>
      <c r="S229" s="1191"/>
      <c r="T229" s="1191"/>
      <c r="U229" s="1191"/>
      <c r="V229" s="1191"/>
      <c r="W229" s="1191"/>
      <c r="X229" s="1191"/>
      <c r="Y229" s="1191"/>
      <c r="Z229" s="1191"/>
      <c r="AA229" s="1191"/>
      <c r="AB229" s="1191"/>
      <c r="AC229" s="1191"/>
      <c r="AD229" s="1191"/>
      <c r="AE229" s="1191"/>
      <c r="AF229" s="1191"/>
      <c r="AG229" s="1191"/>
      <c r="AH229" s="1191"/>
      <c r="AI229" s="1191"/>
      <c r="AJ229" s="1191"/>
      <c r="AK229" s="1191"/>
      <c r="AL229" s="1191"/>
      <c r="AM229" s="1191"/>
      <c r="AN229" s="1191"/>
      <c r="AO229" s="1191"/>
      <c r="AP229" s="1191"/>
      <c r="AQ229" s="1191"/>
      <c r="AR229" s="1191"/>
      <c r="AS229" s="1191"/>
      <c r="AT229" s="1191"/>
      <c r="AU229" s="1191"/>
      <c r="AV229" s="1191"/>
      <c r="AW229" s="1191"/>
      <c r="AX229" s="1191"/>
      <c r="AY229" s="1191"/>
      <c r="AZ229" s="1191"/>
      <c r="BA229" s="1191"/>
      <c r="BB229" s="1191"/>
      <c r="BC229" s="1191"/>
      <c r="BD229" s="1195"/>
      <c r="BE229" s="1195"/>
    </row>
    <row r="230" spans="1:57" ht="15.75" customHeight="1">
      <c r="A230" s="1191"/>
      <c r="B230" s="1237"/>
      <c r="C230" s="1191"/>
      <c r="D230" s="1191"/>
      <c r="E230" s="1191"/>
      <c r="F230" s="1191"/>
      <c r="G230" s="1191"/>
      <c r="H230" s="1902" t="s">
        <v>2290</v>
      </c>
      <c r="I230" s="1902"/>
      <c r="J230" s="1902"/>
      <c r="K230" s="1902"/>
      <c r="L230" s="1902"/>
      <c r="M230" s="1902"/>
      <c r="N230" s="1902"/>
      <c r="O230" s="1902"/>
      <c r="P230" s="1902"/>
      <c r="Q230" s="1902"/>
      <c r="R230" s="1902"/>
      <c r="S230" s="1902"/>
      <c r="T230" s="1902"/>
      <c r="U230" s="1902"/>
      <c r="V230" s="1902"/>
      <c r="W230" s="1902"/>
      <c r="X230" s="1902"/>
      <c r="Y230" s="1902"/>
      <c r="Z230" s="1902"/>
      <c r="AA230" s="1902"/>
      <c r="AB230" s="1902"/>
      <c r="AC230" s="1902"/>
      <c r="AD230" s="1902"/>
      <c r="AE230" s="1902"/>
      <c r="AF230" s="1902"/>
      <c r="AG230" s="1902"/>
      <c r="AH230" s="1902"/>
      <c r="AI230" s="1902"/>
      <c r="AJ230" s="1902"/>
      <c r="AK230" s="1902"/>
      <c r="AL230" s="1902"/>
      <c r="AM230" s="1902"/>
      <c r="AN230" s="1902"/>
      <c r="AO230" s="1902"/>
      <c r="AP230" s="1902"/>
      <c r="AQ230" s="1902"/>
      <c r="AR230" s="1902"/>
      <c r="AS230" s="1902"/>
      <c r="AT230" s="1902"/>
      <c r="AU230" s="1902"/>
      <c r="AV230" s="1902"/>
      <c r="AW230" s="1902"/>
      <c r="AX230" s="1902"/>
      <c r="AY230" s="1902"/>
      <c r="AZ230" s="1191"/>
      <c r="BA230" s="1191"/>
      <c r="BB230" s="1191"/>
      <c r="BC230" s="1191"/>
      <c r="BD230" s="1195"/>
      <c r="BE230" s="1195"/>
    </row>
    <row r="231" spans="1:57" ht="15.75" customHeight="1">
      <c r="A231" s="1191"/>
      <c r="B231" s="1237"/>
      <c r="C231" s="1191"/>
      <c r="D231" s="1191"/>
      <c r="E231" s="1191"/>
      <c r="F231" s="1191"/>
      <c r="G231" s="1191"/>
      <c r="H231" s="1191"/>
      <c r="I231" s="1191"/>
      <c r="J231" s="1191"/>
      <c r="K231" s="1191"/>
      <c r="L231" s="1191"/>
      <c r="M231" s="1191"/>
      <c r="N231" s="1191"/>
      <c r="O231" s="1191"/>
      <c r="P231" s="1191"/>
      <c r="Q231" s="1191"/>
      <c r="R231" s="1191"/>
      <c r="S231" s="1191"/>
      <c r="T231" s="1191"/>
      <c r="U231" s="1191"/>
      <c r="V231" s="1191"/>
      <c r="W231" s="1191"/>
      <c r="X231" s="1191"/>
      <c r="Y231" s="1191"/>
      <c r="Z231" s="1191"/>
      <c r="AA231" s="1191"/>
      <c r="AB231" s="1191"/>
      <c r="AC231" s="1191"/>
      <c r="AD231" s="1191"/>
      <c r="AE231" s="1191"/>
      <c r="AF231" s="1191"/>
      <c r="AG231" s="1191"/>
      <c r="AH231" s="1191"/>
      <c r="AI231" s="1191"/>
      <c r="AJ231" s="1191"/>
      <c r="AK231" s="1191"/>
      <c r="AL231" s="1191"/>
      <c r="AM231" s="1191"/>
      <c r="AN231" s="1191"/>
      <c r="AO231" s="1191"/>
      <c r="AP231" s="1191"/>
      <c r="AQ231" s="1191"/>
      <c r="AR231" s="1191"/>
      <c r="AS231" s="1191"/>
      <c r="AT231" s="1191"/>
      <c r="AU231" s="1191"/>
      <c r="AV231" s="1191"/>
      <c r="AW231" s="1191"/>
      <c r="AX231" s="1191"/>
      <c r="AY231" s="1191"/>
      <c r="AZ231" s="1191"/>
      <c r="BA231" s="1191"/>
      <c r="BB231" s="1191"/>
      <c r="BC231" s="1191"/>
      <c r="BD231" s="1195"/>
      <c r="BE231" s="1195"/>
    </row>
    <row r="232" spans="1:57" ht="15.75" customHeight="1">
      <c r="A232" s="1191"/>
      <c r="B232" s="1237"/>
      <c r="C232" s="1191"/>
      <c r="D232" s="1191"/>
      <c r="E232" s="1191"/>
      <c r="F232" s="1191"/>
      <c r="G232" s="1191"/>
      <c r="H232" s="1885" t="s">
        <v>2289</v>
      </c>
      <c r="I232" s="1885"/>
      <c r="J232" s="1885"/>
      <c r="K232" s="1885"/>
      <c r="L232" s="1885"/>
      <c r="M232" s="1885"/>
      <c r="N232" s="1885"/>
      <c r="O232" s="1885"/>
      <c r="P232" s="1885"/>
      <c r="Q232" s="1885"/>
      <c r="R232" s="1885"/>
      <c r="S232" s="1885"/>
      <c r="T232" s="1885"/>
      <c r="U232" s="1885"/>
      <c r="V232" s="1885"/>
      <c r="W232" s="1885"/>
      <c r="X232" s="1885"/>
      <c r="Y232" s="1885"/>
      <c r="Z232" s="1885"/>
      <c r="AA232" s="1885"/>
      <c r="AB232" s="1885"/>
      <c r="AC232" s="1885"/>
      <c r="AD232" s="1885"/>
      <c r="AE232" s="1885"/>
      <c r="AF232" s="1885"/>
      <c r="AG232" s="1885"/>
      <c r="AH232" s="1885"/>
      <c r="AI232" s="1885"/>
      <c r="AJ232" s="1885"/>
      <c r="AK232" s="1885"/>
      <c r="AL232" s="1885"/>
      <c r="AM232" s="1885"/>
      <c r="AN232" s="1885"/>
      <c r="AO232" s="1885"/>
      <c r="AP232" s="1885"/>
      <c r="AQ232" s="1885"/>
      <c r="AR232" s="1885"/>
      <c r="AS232" s="1885"/>
      <c r="AT232" s="1885"/>
      <c r="AU232" s="1885"/>
      <c r="AV232" s="1885"/>
      <c r="AW232" s="1885"/>
      <c r="AX232" s="1885"/>
      <c r="AY232" s="1885"/>
      <c r="AZ232" s="1885"/>
      <c r="BA232" s="1191"/>
      <c r="BB232" s="1191"/>
      <c r="BC232" s="1191"/>
      <c r="BD232" s="1195"/>
      <c r="BE232" s="1195"/>
    </row>
    <row r="233" spans="1:57" ht="15.75" customHeight="1">
      <c r="A233" s="1191"/>
      <c r="B233" s="1190"/>
      <c r="C233" s="1191"/>
      <c r="D233" s="1191"/>
      <c r="E233" s="1191"/>
      <c r="F233" s="1191"/>
      <c r="G233" s="1191"/>
      <c r="H233" s="1885"/>
      <c r="I233" s="1885"/>
      <c r="J233" s="1885"/>
      <c r="K233" s="1885"/>
      <c r="L233" s="1885"/>
      <c r="M233" s="1885"/>
      <c r="N233" s="1885"/>
      <c r="O233" s="1885"/>
      <c r="P233" s="1885"/>
      <c r="Q233" s="1885"/>
      <c r="R233" s="1885"/>
      <c r="S233" s="1885"/>
      <c r="T233" s="1885"/>
      <c r="U233" s="1885"/>
      <c r="V233" s="1885"/>
      <c r="W233" s="1885"/>
      <c r="X233" s="1885"/>
      <c r="Y233" s="1885"/>
      <c r="Z233" s="1885"/>
      <c r="AA233" s="1885"/>
      <c r="AB233" s="1885"/>
      <c r="AC233" s="1885"/>
      <c r="AD233" s="1885"/>
      <c r="AE233" s="1885"/>
      <c r="AF233" s="1885"/>
      <c r="AG233" s="1885"/>
      <c r="AH233" s="1885"/>
      <c r="AI233" s="1885"/>
      <c r="AJ233" s="1885"/>
      <c r="AK233" s="1885"/>
      <c r="AL233" s="1885"/>
      <c r="AM233" s="1885"/>
      <c r="AN233" s="1885"/>
      <c r="AO233" s="1885"/>
      <c r="AP233" s="1885"/>
      <c r="AQ233" s="1885"/>
      <c r="AR233" s="1885"/>
      <c r="AS233" s="1885"/>
      <c r="AT233" s="1885"/>
      <c r="AU233" s="1885"/>
      <c r="AV233" s="1885"/>
      <c r="AW233" s="1885"/>
      <c r="AX233" s="1885"/>
      <c r="AY233" s="1885"/>
      <c r="AZ233" s="1885"/>
      <c r="BA233" s="1191"/>
      <c r="BB233" s="1191"/>
      <c r="BC233" s="1191"/>
      <c r="BD233" s="1195"/>
      <c r="BE233" s="1195"/>
    </row>
    <row r="234" spans="1:57" ht="15.75" customHeight="1">
      <c r="A234" s="1191"/>
      <c r="B234" s="1190"/>
      <c r="C234" s="1191"/>
      <c r="D234" s="1191"/>
      <c r="E234" s="1191"/>
      <c r="F234" s="1191"/>
      <c r="G234" s="1191"/>
      <c r="H234" s="1885"/>
      <c r="I234" s="1885"/>
      <c r="J234" s="1885"/>
      <c r="K234" s="1885"/>
      <c r="L234" s="1885"/>
      <c r="M234" s="1885"/>
      <c r="N234" s="1885"/>
      <c r="O234" s="1885"/>
      <c r="P234" s="1885"/>
      <c r="Q234" s="1885"/>
      <c r="R234" s="1885"/>
      <c r="S234" s="1885"/>
      <c r="T234" s="1885"/>
      <c r="U234" s="1885"/>
      <c r="V234" s="1885"/>
      <c r="W234" s="1885"/>
      <c r="X234" s="1885"/>
      <c r="Y234" s="1885"/>
      <c r="Z234" s="1885"/>
      <c r="AA234" s="1885"/>
      <c r="AB234" s="1885"/>
      <c r="AC234" s="1885"/>
      <c r="AD234" s="1885"/>
      <c r="AE234" s="1885"/>
      <c r="AF234" s="1885"/>
      <c r="AG234" s="1885"/>
      <c r="AH234" s="1885"/>
      <c r="AI234" s="1885"/>
      <c r="AJ234" s="1885"/>
      <c r="AK234" s="1885"/>
      <c r="AL234" s="1885"/>
      <c r="AM234" s="1885"/>
      <c r="AN234" s="1885"/>
      <c r="AO234" s="1885"/>
      <c r="AP234" s="1885"/>
      <c r="AQ234" s="1885"/>
      <c r="AR234" s="1885"/>
      <c r="AS234" s="1885"/>
      <c r="AT234" s="1885"/>
      <c r="AU234" s="1885"/>
      <c r="AV234" s="1885"/>
      <c r="AW234" s="1885"/>
      <c r="AX234" s="1885"/>
      <c r="AY234" s="1885"/>
      <c r="AZ234" s="1885"/>
      <c r="BA234" s="1191"/>
      <c r="BB234" s="1191"/>
      <c r="BC234" s="1191"/>
      <c r="BD234" s="1195"/>
      <c r="BE234" s="1195"/>
    </row>
    <row r="235" spans="1:57" ht="15.75" customHeight="1">
      <c r="A235" s="1191"/>
      <c r="B235" s="1190"/>
      <c r="C235" s="1191"/>
      <c r="D235" s="1191"/>
      <c r="E235" s="1191"/>
      <c r="F235" s="1191"/>
      <c r="G235" s="1191"/>
      <c r="H235" s="1885"/>
      <c r="I235" s="1885"/>
      <c r="J235" s="1885"/>
      <c r="K235" s="1885"/>
      <c r="L235" s="1885"/>
      <c r="M235" s="1885"/>
      <c r="N235" s="1885"/>
      <c r="O235" s="1885"/>
      <c r="P235" s="1885"/>
      <c r="Q235" s="1885"/>
      <c r="R235" s="1885"/>
      <c r="S235" s="1885"/>
      <c r="T235" s="1885"/>
      <c r="U235" s="1885"/>
      <c r="V235" s="1885"/>
      <c r="W235" s="1885"/>
      <c r="X235" s="1885"/>
      <c r="Y235" s="1885"/>
      <c r="Z235" s="1885"/>
      <c r="AA235" s="1885"/>
      <c r="AB235" s="1885"/>
      <c r="AC235" s="1885"/>
      <c r="AD235" s="1885"/>
      <c r="AE235" s="1885"/>
      <c r="AF235" s="1885"/>
      <c r="AG235" s="1885"/>
      <c r="AH235" s="1885"/>
      <c r="AI235" s="1885"/>
      <c r="AJ235" s="1885"/>
      <c r="AK235" s="1885"/>
      <c r="AL235" s="1885"/>
      <c r="AM235" s="1885"/>
      <c r="AN235" s="1885"/>
      <c r="AO235" s="1885"/>
      <c r="AP235" s="1885"/>
      <c r="AQ235" s="1885"/>
      <c r="AR235" s="1885"/>
      <c r="AS235" s="1885"/>
      <c r="AT235" s="1885"/>
      <c r="AU235" s="1885"/>
      <c r="AV235" s="1885"/>
      <c r="AW235" s="1885"/>
      <c r="AX235" s="1885"/>
      <c r="AY235" s="1885"/>
      <c r="AZ235" s="1885"/>
      <c r="BA235" s="1191"/>
      <c r="BB235" s="1191"/>
      <c r="BC235" s="1191"/>
      <c r="BD235" s="1195"/>
      <c r="BE235" s="1195"/>
    </row>
    <row r="236" spans="1:57" ht="15.75" customHeight="1">
      <c r="A236" s="1191"/>
      <c r="B236" s="1190"/>
      <c r="C236" s="1191"/>
      <c r="D236" s="1191"/>
      <c r="E236" s="1191"/>
      <c r="F236" s="1191"/>
      <c r="G236" s="1191"/>
      <c r="H236" s="1191"/>
      <c r="I236" s="1191"/>
      <c r="J236" s="1191"/>
      <c r="K236" s="1191"/>
      <c r="L236" s="1191"/>
      <c r="M236" s="1191"/>
      <c r="N236" s="1191"/>
      <c r="O236" s="1191"/>
      <c r="P236" s="1191"/>
      <c r="Q236" s="1191"/>
      <c r="R236" s="1191"/>
      <c r="S236" s="1191"/>
      <c r="T236" s="1191"/>
      <c r="U236" s="1191"/>
      <c r="V236" s="1191"/>
      <c r="W236" s="1191"/>
      <c r="X236" s="1191"/>
      <c r="Y236" s="1191"/>
      <c r="Z236" s="1191"/>
      <c r="AA236" s="1191"/>
      <c r="AB236" s="1191"/>
      <c r="AC236" s="1191"/>
      <c r="AD236" s="1191"/>
      <c r="AE236" s="1191"/>
      <c r="AF236" s="1191"/>
      <c r="AG236" s="1191"/>
      <c r="AH236" s="1191"/>
      <c r="AI236" s="1191"/>
      <c r="AJ236" s="1191"/>
      <c r="AK236" s="1191"/>
      <c r="AL236" s="1191"/>
      <c r="AM236" s="1191"/>
      <c r="AN236" s="1191"/>
      <c r="AO236" s="1191"/>
      <c r="AP236" s="1191"/>
      <c r="AQ236" s="1191"/>
      <c r="AR236" s="1191"/>
      <c r="AS236" s="1191"/>
      <c r="AT236" s="1191"/>
      <c r="AU236" s="1191"/>
      <c r="AV236" s="1191"/>
      <c r="AW236" s="1191"/>
      <c r="AX236" s="1191"/>
      <c r="AY236" s="1191"/>
      <c r="AZ236" s="1191"/>
      <c r="BA236" s="1191"/>
      <c r="BB236" s="1191"/>
      <c r="BC236" s="1191"/>
      <c r="BD236" s="1195"/>
      <c r="BE236" s="1195"/>
    </row>
    <row r="237" spans="1:57" ht="15.75" customHeight="1" thickBot="1">
      <c r="A237" s="1191"/>
      <c r="B237" s="1238"/>
      <c r="C237" s="1239"/>
      <c r="D237" s="1239"/>
      <c r="E237" s="1239"/>
      <c r="F237" s="1239"/>
      <c r="G237" s="1239"/>
      <c r="H237" s="1886" t="s">
        <v>2288</v>
      </c>
      <c r="I237" s="1886"/>
      <c r="J237" s="1886"/>
      <c r="K237" s="1886"/>
      <c r="L237" s="1886"/>
      <c r="M237" s="1886"/>
      <c r="N237" s="1886"/>
      <c r="O237" s="1886"/>
      <c r="P237" s="1886"/>
      <c r="Q237" s="1886"/>
      <c r="R237" s="1886"/>
      <c r="S237" s="1886"/>
      <c r="T237" s="1886"/>
      <c r="U237" s="1886"/>
      <c r="V237" s="1886"/>
      <c r="W237" s="1886"/>
      <c r="X237" s="1886"/>
      <c r="Y237" s="1886"/>
      <c r="Z237" s="1886"/>
      <c r="AA237" s="1886"/>
      <c r="AB237" s="1886"/>
      <c r="AC237" s="1886"/>
      <c r="AD237" s="1886"/>
      <c r="AE237" s="1886"/>
      <c r="AF237" s="1886"/>
      <c r="AG237" s="1886"/>
      <c r="AH237" s="1886"/>
      <c r="AI237" s="1886"/>
      <c r="AJ237" s="1886"/>
      <c r="AK237" s="1886"/>
      <c r="AL237" s="1886"/>
      <c r="AM237" s="1886"/>
      <c r="AN237" s="1886"/>
      <c r="AO237" s="1886"/>
      <c r="AP237" s="1886"/>
      <c r="AQ237" s="1886"/>
      <c r="AR237" s="1886"/>
      <c r="AS237" s="1886"/>
      <c r="AT237" s="1886"/>
      <c r="AU237" s="1886"/>
      <c r="AV237" s="1886"/>
      <c r="AW237" s="1239"/>
      <c r="AX237" s="1239"/>
      <c r="AY237" s="1239"/>
      <c r="AZ237" s="1239"/>
      <c r="BA237" s="1239"/>
      <c r="BB237" s="1239"/>
      <c r="BC237" s="1239"/>
      <c r="BD237" s="1240"/>
      <c r="BE237" s="1195"/>
    </row>
    <row r="238" spans="1:57" ht="15.75" customHeight="1" thickBot="1">
      <c r="A238" s="1191"/>
      <c r="B238" s="1241"/>
      <c r="C238" s="1242"/>
      <c r="D238" s="1242"/>
      <c r="E238" s="1242"/>
      <c r="F238" s="1242"/>
      <c r="G238" s="1242"/>
      <c r="H238" s="1242"/>
      <c r="I238" s="1242"/>
      <c r="J238" s="1242"/>
      <c r="K238" s="1242"/>
      <c r="L238" s="1242"/>
      <c r="M238" s="1242"/>
      <c r="N238" s="1242"/>
      <c r="O238" s="1242"/>
      <c r="P238" s="1242"/>
      <c r="Q238" s="1242"/>
      <c r="R238" s="1242"/>
      <c r="S238" s="1242"/>
      <c r="T238" s="1242"/>
      <c r="U238" s="1242"/>
      <c r="V238" s="1242"/>
      <c r="W238" s="1242"/>
      <c r="X238" s="1242"/>
      <c r="Y238" s="1242"/>
      <c r="Z238" s="1242"/>
      <c r="AA238" s="1242"/>
      <c r="AB238" s="1242"/>
      <c r="AC238" s="1242"/>
      <c r="AD238" s="1242"/>
      <c r="AE238" s="1242"/>
      <c r="AF238" s="1242"/>
      <c r="AG238" s="1242"/>
      <c r="AH238" s="1242"/>
      <c r="AI238" s="1242"/>
      <c r="AJ238" s="1242"/>
      <c r="AK238" s="1242"/>
      <c r="AL238" s="1242"/>
      <c r="AM238" s="1242"/>
      <c r="AN238" s="1242"/>
      <c r="AO238" s="1242"/>
      <c r="AP238" s="1242"/>
      <c r="AQ238" s="1242"/>
      <c r="AR238" s="1242"/>
      <c r="AS238" s="1242"/>
      <c r="AT238" s="1242"/>
      <c r="AU238" s="1242"/>
      <c r="AV238" s="1242"/>
      <c r="AW238" s="1242"/>
      <c r="AX238" s="1242"/>
      <c r="AY238" s="1242"/>
      <c r="AZ238" s="1242"/>
      <c r="BA238" s="1242"/>
      <c r="BB238" s="1242"/>
      <c r="BC238" s="1242"/>
      <c r="BD238" s="1243"/>
      <c r="BE238" s="1195"/>
    </row>
    <row r="239" spans="1:57" ht="30" customHeight="1" thickBot="1">
      <c r="A239" s="1191"/>
      <c r="B239" s="1241"/>
      <c r="C239" s="1242"/>
      <c r="D239" s="1242"/>
      <c r="E239" s="1242"/>
      <c r="F239" s="1242"/>
      <c r="G239" s="1242"/>
      <c r="H239" s="1876" t="s">
        <v>2287</v>
      </c>
      <c r="I239" s="1876"/>
      <c r="J239" s="1876"/>
      <c r="K239" s="1876"/>
      <c r="L239" s="1242"/>
      <c r="M239" s="1242"/>
      <c r="N239" s="1242"/>
      <c r="O239" s="1242"/>
      <c r="P239" s="1242"/>
      <c r="Q239" s="1242"/>
      <c r="R239" s="1242"/>
      <c r="S239" s="1887"/>
      <c r="T239" s="1888"/>
      <c r="U239" s="1888"/>
      <c r="V239" s="1888"/>
      <c r="W239" s="1888"/>
      <c r="X239" s="1888"/>
      <c r="Y239" s="1888"/>
      <c r="Z239" s="1888"/>
      <c r="AA239" s="1888"/>
      <c r="AB239" s="1888"/>
      <c r="AC239" s="1888"/>
      <c r="AD239" s="1888"/>
      <c r="AE239" s="1888"/>
      <c r="AF239" s="1888"/>
      <c r="AG239" s="1888"/>
      <c r="AH239" s="1888"/>
      <c r="AI239" s="1888"/>
      <c r="AJ239" s="1889"/>
      <c r="AK239" s="1242"/>
      <c r="AL239" s="1242"/>
      <c r="AM239" s="1242"/>
      <c r="AN239" s="1242"/>
      <c r="AO239" s="1242"/>
      <c r="AP239" s="1242"/>
      <c r="AQ239" s="1242"/>
      <c r="AR239" s="1242"/>
      <c r="AS239" s="1242"/>
      <c r="AT239" s="1242"/>
      <c r="AU239" s="1242"/>
      <c r="AV239" s="1242"/>
      <c r="AW239" s="1242"/>
      <c r="AX239" s="1242"/>
      <c r="AY239" s="1242"/>
      <c r="AZ239" s="1242"/>
      <c r="BA239" s="1242"/>
      <c r="BB239" s="1242"/>
      <c r="BC239" s="1242"/>
      <c r="BD239" s="1243"/>
      <c r="BE239" s="1195"/>
    </row>
    <row r="240" spans="1:57" ht="15.75" customHeight="1" thickBot="1">
      <c r="A240" s="1191"/>
      <c r="B240" s="1241"/>
      <c r="C240" s="1242"/>
      <c r="D240" s="1242"/>
      <c r="E240" s="1242"/>
      <c r="F240" s="1242"/>
      <c r="G240" s="1242"/>
      <c r="H240" s="1244"/>
      <c r="I240" s="1244"/>
      <c r="J240" s="1244"/>
      <c r="K240" s="1244"/>
      <c r="L240" s="1242"/>
      <c r="M240" s="1242"/>
      <c r="N240" s="1242"/>
      <c r="O240" s="1242"/>
      <c r="P240" s="1242"/>
      <c r="Q240" s="1242"/>
      <c r="R240" s="1242"/>
      <c r="S240" s="1242"/>
      <c r="T240" s="1242"/>
      <c r="U240" s="1242"/>
      <c r="V240" s="1242"/>
      <c r="W240" s="1242"/>
      <c r="X240" s="1242"/>
      <c r="Y240" s="1242"/>
      <c r="Z240" s="1242"/>
      <c r="AA240" s="1242"/>
      <c r="AB240" s="1242"/>
      <c r="AC240" s="1242"/>
      <c r="AD240" s="1242"/>
      <c r="AE240" s="1242"/>
      <c r="AF240" s="1242"/>
      <c r="AG240" s="1242"/>
      <c r="AH240" s="1242"/>
      <c r="AI240" s="1242"/>
      <c r="AJ240" s="1242"/>
      <c r="AK240" s="1242"/>
      <c r="AL240" s="1242"/>
      <c r="AM240" s="1242"/>
      <c r="AN240" s="1242"/>
      <c r="AO240" s="1242"/>
      <c r="AP240" s="1242"/>
      <c r="AQ240" s="1242"/>
      <c r="AR240" s="1242"/>
      <c r="AS240" s="1242"/>
      <c r="AT240" s="1242"/>
      <c r="AU240" s="1242"/>
      <c r="AV240" s="1242"/>
      <c r="AW240" s="1242"/>
      <c r="AX240" s="1242"/>
      <c r="AY240" s="1242"/>
      <c r="AZ240" s="1242"/>
      <c r="BA240" s="1242"/>
      <c r="BB240" s="1242"/>
      <c r="BC240" s="1242"/>
      <c r="BD240" s="1243"/>
      <c r="BE240" s="1195"/>
    </row>
    <row r="241" spans="1:57" ht="15.75" customHeight="1" thickBot="1">
      <c r="A241" s="1191"/>
      <c r="B241" s="1241"/>
      <c r="C241" s="1242"/>
      <c r="D241" s="1242"/>
      <c r="E241" s="1242"/>
      <c r="F241" s="1242"/>
      <c r="G241" s="1242"/>
      <c r="H241" s="1876" t="s">
        <v>2286</v>
      </c>
      <c r="I241" s="1876"/>
      <c r="J241" s="1876"/>
      <c r="K241" s="1244"/>
      <c r="L241" s="1242"/>
      <c r="M241" s="1242"/>
      <c r="N241" s="1242"/>
      <c r="O241" s="1242"/>
      <c r="P241" s="1242"/>
      <c r="Q241" s="1242"/>
      <c r="R241" s="1242"/>
      <c r="S241" s="1877"/>
      <c r="T241" s="1878"/>
      <c r="U241" s="1878"/>
      <c r="V241" s="1878"/>
      <c r="W241" s="1878"/>
      <c r="X241" s="1878"/>
      <c r="Y241" s="1878"/>
      <c r="Z241" s="1878"/>
      <c r="AA241" s="1878"/>
      <c r="AB241" s="1878"/>
      <c r="AC241" s="1878"/>
      <c r="AD241" s="1878"/>
      <c r="AE241" s="1878"/>
      <c r="AF241" s="1878"/>
      <c r="AG241" s="1878"/>
      <c r="AH241" s="1878"/>
      <c r="AI241" s="1878"/>
      <c r="AJ241" s="1879"/>
      <c r="AK241" s="1242"/>
      <c r="AL241" s="1242"/>
      <c r="AM241" s="1242"/>
      <c r="AN241" s="1242"/>
      <c r="AO241" s="1242"/>
      <c r="AP241" s="1242"/>
      <c r="AQ241" s="1242"/>
      <c r="AR241" s="1242"/>
      <c r="AS241" s="1242"/>
      <c r="AT241" s="1242"/>
      <c r="AU241" s="1242"/>
      <c r="AV241" s="1242"/>
      <c r="AW241" s="1242"/>
      <c r="AX241" s="1242"/>
      <c r="AY241" s="1242"/>
      <c r="AZ241" s="1242"/>
      <c r="BA241" s="1242"/>
      <c r="BB241" s="1242"/>
      <c r="BC241" s="1242"/>
      <c r="BD241" s="1243"/>
      <c r="BE241" s="1195"/>
    </row>
    <row r="242" spans="1:57" ht="15.75" customHeight="1" thickBot="1">
      <c r="A242" s="1191"/>
      <c r="B242" s="1241"/>
      <c r="C242" s="1242"/>
      <c r="D242" s="1242"/>
      <c r="E242" s="1242"/>
      <c r="F242" s="1242"/>
      <c r="G242" s="1242"/>
      <c r="H242" s="1244"/>
      <c r="I242" s="1244"/>
      <c r="J242" s="1244"/>
      <c r="K242" s="1244"/>
      <c r="L242" s="1242"/>
      <c r="M242" s="1242"/>
      <c r="N242" s="1242"/>
      <c r="O242" s="1242"/>
      <c r="P242" s="1242"/>
      <c r="Q242" s="1242"/>
      <c r="R242" s="1242"/>
      <c r="S242" s="1242"/>
      <c r="T242" s="1242"/>
      <c r="U242" s="1242"/>
      <c r="V242" s="1242"/>
      <c r="W242" s="1242"/>
      <c r="X242" s="1242"/>
      <c r="Y242" s="1242"/>
      <c r="Z242" s="1242"/>
      <c r="AA242" s="1242"/>
      <c r="AB242" s="1242"/>
      <c r="AC242" s="1242"/>
      <c r="AD242" s="1242"/>
      <c r="AE242" s="1242"/>
      <c r="AF242" s="1242"/>
      <c r="AG242" s="1242"/>
      <c r="AH242" s="1242"/>
      <c r="AI242" s="1242"/>
      <c r="AJ242" s="1242"/>
      <c r="AK242" s="1242"/>
      <c r="AL242" s="1242"/>
      <c r="AM242" s="1242"/>
      <c r="AN242" s="1242"/>
      <c r="AO242" s="1242"/>
      <c r="AP242" s="1242"/>
      <c r="AQ242" s="1242"/>
      <c r="AR242" s="1242"/>
      <c r="AS242" s="1242"/>
      <c r="AT242" s="1242"/>
      <c r="AU242" s="1242"/>
      <c r="AV242" s="1242"/>
      <c r="AW242" s="1242"/>
      <c r="AX242" s="1242"/>
      <c r="AY242" s="1242"/>
      <c r="AZ242" s="1242"/>
      <c r="BA242" s="1242"/>
      <c r="BB242" s="1242"/>
      <c r="BC242" s="1242"/>
      <c r="BD242" s="1243"/>
      <c r="BE242" s="1195"/>
    </row>
    <row r="243" spans="1:57" ht="15.75" customHeight="1" thickBot="1">
      <c r="A243" s="1191"/>
      <c r="B243" s="1241"/>
      <c r="C243" s="1242"/>
      <c r="D243" s="1242"/>
      <c r="E243" s="1242"/>
      <c r="F243" s="1242"/>
      <c r="G243" s="1242"/>
      <c r="H243" s="1876" t="s">
        <v>441</v>
      </c>
      <c r="I243" s="1876"/>
      <c r="J243" s="1244"/>
      <c r="K243" s="1244"/>
      <c r="L243" s="1242"/>
      <c r="M243" s="1242"/>
      <c r="N243" s="1242"/>
      <c r="O243" s="1242"/>
      <c r="P243" s="1242"/>
      <c r="Q243" s="1242"/>
      <c r="R243" s="1242"/>
      <c r="S243" s="1877"/>
      <c r="T243" s="1878"/>
      <c r="U243" s="1878"/>
      <c r="V243" s="1878"/>
      <c r="W243" s="1878"/>
      <c r="X243" s="1878"/>
      <c r="Y243" s="1878"/>
      <c r="Z243" s="1878"/>
      <c r="AA243" s="1878"/>
      <c r="AB243" s="1878"/>
      <c r="AC243" s="1878"/>
      <c r="AD243" s="1878"/>
      <c r="AE243" s="1878"/>
      <c r="AF243" s="1878"/>
      <c r="AG243" s="1878"/>
      <c r="AH243" s="1878"/>
      <c r="AI243" s="1878"/>
      <c r="AJ243" s="1879"/>
      <c r="AK243" s="1242"/>
      <c r="AL243" s="1242"/>
      <c r="AM243" s="1242"/>
      <c r="AN243" s="1242"/>
      <c r="AO243" s="1242"/>
      <c r="AP243" s="1242"/>
      <c r="AQ243" s="1242"/>
      <c r="AR243" s="1242"/>
      <c r="AS243" s="1242"/>
      <c r="AT243" s="1242"/>
      <c r="AU243" s="1242"/>
      <c r="AV243" s="1242"/>
      <c r="AW243" s="1242"/>
      <c r="AX243" s="1242"/>
      <c r="AY243" s="1242"/>
      <c r="AZ243" s="1242"/>
      <c r="BA243" s="1242"/>
      <c r="BB243" s="1242"/>
      <c r="BC243" s="1242"/>
      <c r="BD243" s="1243"/>
      <c r="BE243" s="1195"/>
    </row>
    <row r="244" spans="1:57" ht="15.75" customHeight="1" thickBot="1">
      <c r="A244" s="1191"/>
      <c r="B244" s="1241"/>
      <c r="C244" s="1242"/>
      <c r="D244" s="1242"/>
      <c r="E244" s="1242"/>
      <c r="F244" s="1242"/>
      <c r="G244" s="1242"/>
      <c r="H244" s="1242"/>
      <c r="I244" s="1242"/>
      <c r="J244" s="1242"/>
      <c r="K244" s="1242"/>
      <c r="L244" s="1242"/>
      <c r="M244" s="1242"/>
      <c r="N244" s="1242"/>
      <c r="O244" s="1242"/>
      <c r="P244" s="1242"/>
      <c r="Q244" s="1242"/>
      <c r="R244" s="1242"/>
      <c r="S244" s="1242"/>
      <c r="T244" s="1242"/>
      <c r="U244" s="1242"/>
      <c r="V244" s="1242"/>
      <c r="W244" s="1242"/>
      <c r="X244" s="1242"/>
      <c r="Y244" s="1242"/>
      <c r="Z244" s="1242"/>
      <c r="AA244" s="1242"/>
      <c r="AB244" s="1242"/>
      <c r="AC244" s="1242"/>
      <c r="AD244" s="1242"/>
      <c r="AE244" s="1242"/>
      <c r="AF244" s="1242"/>
      <c r="AG244" s="1242"/>
      <c r="AH244" s="1242"/>
      <c r="AI244" s="1242"/>
      <c r="AJ244" s="1242"/>
      <c r="AK244" s="1242"/>
      <c r="AL244" s="1242"/>
      <c r="AM244" s="1242"/>
      <c r="AN244" s="1242"/>
      <c r="AO244" s="1242"/>
      <c r="AP244" s="1242"/>
      <c r="AQ244" s="1242"/>
      <c r="AR244" s="1242"/>
      <c r="AS244" s="1242"/>
      <c r="AT244" s="1242"/>
      <c r="AU244" s="1242"/>
      <c r="AV244" s="1242"/>
      <c r="AW244" s="1242"/>
      <c r="AX244" s="1242"/>
      <c r="AY244" s="1242"/>
      <c r="AZ244" s="1242"/>
      <c r="BA244" s="1242"/>
      <c r="BB244" s="1242"/>
      <c r="BC244" s="1242"/>
      <c r="BD244" s="1243"/>
      <c r="BE244" s="1195"/>
    </row>
    <row r="245" spans="1:57" ht="15.75" customHeight="1" thickBot="1">
      <c r="A245" s="1191"/>
      <c r="B245" s="1241"/>
      <c r="C245" s="1242"/>
      <c r="D245" s="1242"/>
      <c r="E245" s="1242"/>
      <c r="F245" s="1242"/>
      <c r="G245" s="1242"/>
      <c r="H245" s="1880" t="s">
        <v>2285</v>
      </c>
      <c r="I245" s="1880"/>
      <c r="J245" s="1880"/>
      <c r="K245" s="1880"/>
      <c r="L245" s="1880"/>
      <c r="M245" s="1880"/>
      <c r="N245" s="1880"/>
      <c r="O245" s="1880"/>
      <c r="P245" s="1242"/>
      <c r="Q245" s="1242"/>
      <c r="R245" s="1242"/>
      <c r="S245" s="1877"/>
      <c r="T245" s="1878"/>
      <c r="U245" s="1878"/>
      <c r="V245" s="1878"/>
      <c r="W245" s="1878"/>
      <c r="X245" s="1878"/>
      <c r="Y245" s="1878"/>
      <c r="Z245" s="1878"/>
      <c r="AA245" s="1878"/>
      <c r="AB245" s="1878"/>
      <c r="AC245" s="1878"/>
      <c r="AD245" s="1878"/>
      <c r="AE245" s="1878"/>
      <c r="AF245" s="1878"/>
      <c r="AG245" s="1878"/>
      <c r="AH245" s="1878"/>
      <c r="AI245" s="1878"/>
      <c r="AJ245" s="1879"/>
      <c r="AK245" s="1242"/>
      <c r="AL245" s="1242"/>
      <c r="AM245" s="1242"/>
      <c r="AN245" s="1242"/>
      <c r="AO245" s="1242"/>
      <c r="AP245" s="1242"/>
      <c r="AQ245" s="1242"/>
      <c r="AR245" s="1242"/>
      <c r="AS245" s="1242"/>
      <c r="AT245" s="1242"/>
      <c r="AU245" s="1242"/>
      <c r="AV245" s="1242"/>
      <c r="AW245" s="1242"/>
      <c r="AX245" s="1242"/>
      <c r="AY245" s="1242"/>
      <c r="AZ245" s="1242"/>
      <c r="BA245" s="1242"/>
      <c r="BB245" s="1242"/>
      <c r="BC245" s="1242"/>
      <c r="BD245" s="1243"/>
      <c r="BE245" s="1195"/>
    </row>
    <row r="246" spans="1:57" ht="15.75" customHeight="1" thickBot="1">
      <c r="A246" s="1191"/>
      <c r="B246" s="1241"/>
      <c r="C246" s="1242"/>
      <c r="D246" s="1242"/>
      <c r="E246" s="1242"/>
      <c r="F246" s="1242"/>
      <c r="G246" s="1242"/>
      <c r="H246" s="1242"/>
      <c r="I246" s="1242"/>
      <c r="J246" s="1242"/>
      <c r="K246" s="1242"/>
      <c r="L246" s="1242"/>
      <c r="M246" s="1242"/>
      <c r="N246" s="1242"/>
      <c r="O246" s="1242"/>
      <c r="P246" s="1242"/>
      <c r="Q246" s="1242"/>
      <c r="R246" s="1242"/>
      <c r="S246" s="1242"/>
      <c r="T246" s="1242"/>
      <c r="U246" s="1242"/>
      <c r="V246" s="1242"/>
      <c r="W246" s="1242"/>
      <c r="X246" s="1242"/>
      <c r="Y246" s="1242"/>
      <c r="Z246" s="1242"/>
      <c r="AA246" s="1242"/>
      <c r="AB246" s="1242"/>
      <c r="AC246" s="1242"/>
      <c r="AD246" s="1242"/>
      <c r="AE246" s="1242"/>
      <c r="AF246" s="1242"/>
      <c r="AG246" s="1242"/>
      <c r="AH246" s="1242"/>
      <c r="AI246" s="1242"/>
      <c r="AJ246" s="1242"/>
      <c r="AK246" s="1242"/>
      <c r="AL246" s="1242"/>
      <c r="AM246" s="1242"/>
      <c r="AN246" s="1242"/>
      <c r="AO246" s="1242"/>
      <c r="AP246" s="1242"/>
      <c r="AQ246" s="1242"/>
      <c r="AR246" s="1242"/>
      <c r="AS246" s="1242"/>
      <c r="AT246" s="1242"/>
      <c r="AU246" s="1242"/>
      <c r="AV246" s="1242"/>
      <c r="AW246" s="1242"/>
      <c r="AX246" s="1242"/>
      <c r="AY246" s="1242"/>
      <c r="AZ246" s="1242"/>
      <c r="BA246" s="1242"/>
      <c r="BB246" s="1242"/>
      <c r="BC246" s="1242"/>
      <c r="BD246" s="1243"/>
      <c r="BE246" s="1195"/>
    </row>
    <row r="247" spans="1:57" ht="15.75" customHeight="1" thickBot="1">
      <c r="A247" s="1191"/>
      <c r="B247" s="1241"/>
      <c r="C247" s="1242"/>
      <c r="D247" s="1242"/>
      <c r="E247" s="1242"/>
      <c r="F247" s="1242"/>
      <c r="G247" s="1242"/>
      <c r="H247" s="1881" t="s">
        <v>2284</v>
      </c>
      <c r="I247" s="1881"/>
      <c r="J247" s="1242"/>
      <c r="K247" s="1242"/>
      <c r="L247" s="1242"/>
      <c r="M247" s="1242"/>
      <c r="N247" s="1242"/>
      <c r="O247" s="1242"/>
      <c r="P247" s="1242"/>
      <c r="Q247" s="1242"/>
      <c r="R247" s="1242"/>
      <c r="S247" s="1882"/>
      <c r="T247" s="1883"/>
      <c r="U247" s="1883"/>
      <c r="V247" s="1883"/>
      <c r="W247" s="1883"/>
      <c r="X247" s="1883"/>
      <c r="Y247" s="1883"/>
      <c r="Z247" s="1883"/>
      <c r="AA247" s="1883"/>
      <c r="AB247" s="1883"/>
      <c r="AC247" s="1883"/>
      <c r="AD247" s="1883"/>
      <c r="AE247" s="1883"/>
      <c r="AF247" s="1883"/>
      <c r="AG247" s="1883"/>
      <c r="AH247" s="1883"/>
      <c r="AI247" s="1883"/>
      <c r="AJ247" s="1884"/>
      <c r="AK247" s="1242"/>
      <c r="AL247" s="1242"/>
      <c r="AM247" s="1242"/>
      <c r="AN247" s="1242"/>
      <c r="AO247" s="1242"/>
      <c r="AP247" s="1242"/>
      <c r="AQ247" s="1242"/>
      <c r="AR247" s="1242"/>
      <c r="AS247" s="1242"/>
      <c r="AT247" s="1242"/>
      <c r="AU247" s="1242"/>
      <c r="AV247" s="1242"/>
      <c r="AW247" s="1242"/>
      <c r="AX247" s="1242"/>
      <c r="AY247" s="1242"/>
      <c r="AZ247" s="1242"/>
      <c r="BA247" s="1242"/>
      <c r="BB247" s="1242"/>
      <c r="BC247" s="1242"/>
      <c r="BD247" s="1243"/>
      <c r="BE247" s="1195"/>
    </row>
    <row r="248" spans="1:57" ht="15.75" customHeight="1" thickBot="1">
      <c r="A248" s="1191"/>
      <c r="B248" s="1245"/>
      <c r="C248" s="1246"/>
      <c r="D248" s="1246"/>
      <c r="E248" s="1246"/>
      <c r="F248" s="1246"/>
      <c r="G248" s="1246"/>
      <c r="H248" s="1246"/>
      <c r="I248" s="1246"/>
      <c r="J248" s="1246"/>
      <c r="K248" s="1246"/>
      <c r="L248" s="1246"/>
      <c r="M248" s="1246"/>
      <c r="N248" s="1246"/>
      <c r="O248" s="1246"/>
      <c r="P248" s="1246"/>
      <c r="Q248" s="1246"/>
      <c r="R248" s="1246"/>
      <c r="S248" s="1246"/>
      <c r="T248" s="1246"/>
      <c r="U248" s="1246"/>
      <c r="V248" s="1246"/>
      <c r="W248" s="1246"/>
      <c r="X248" s="1246"/>
      <c r="Y248" s="1246"/>
      <c r="Z248" s="1246"/>
      <c r="AA248" s="1246"/>
      <c r="AB248" s="1246"/>
      <c r="AC248" s="1246"/>
      <c r="AD248" s="1246"/>
      <c r="AE248" s="1246"/>
      <c r="AF248" s="1246"/>
      <c r="AG248" s="1246"/>
      <c r="AH248" s="1246"/>
      <c r="AI248" s="1246"/>
      <c r="AJ248" s="1246"/>
      <c r="AK248" s="1246"/>
      <c r="AL248" s="1246"/>
      <c r="AM248" s="1246"/>
      <c r="AN248" s="1246"/>
      <c r="AO248" s="1246"/>
      <c r="AP248" s="1246"/>
      <c r="AQ248" s="1246"/>
      <c r="AR248" s="1246"/>
      <c r="AS248" s="1246"/>
      <c r="AT248" s="1246"/>
      <c r="AU248" s="1246"/>
      <c r="AV248" s="1246"/>
      <c r="AW248" s="1246"/>
      <c r="AX248" s="1246"/>
      <c r="AY248" s="1246"/>
      <c r="AZ248" s="1246"/>
      <c r="BA248" s="1246"/>
      <c r="BB248" s="1246"/>
      <c r="BC248" s="1246"/>
      <c r="BD248" s="1247"/>
      <c r="BE248" s="1195"/>
    </row>
    <row r="249" spans="1:57" ht="15.75" customHeight="1" thickBot="1">
      <c r="A249" s="1239"/>
      <c r="B249" s="1239"/>
      <c r="C249" s="1239"/>
      <c r="D249" s="1239"/>
      <c r="E249" s="1239"/>
      <c r="F249" s="1239"/>
      <c r="G249" s="1239"/>
      <c r="H249" s="1239"/>
      <c r="I249" s="1239"/>
      <c r="J249" s="1239"/>
      <c r="K249" s="1239"/>
      <c r="L249" s="1239"/>
      <c r="M249" s="1239"/>
      <c r="N249" s="1239"/>
      <c r="O249" s="1239"/>
      <c r="P249" s="1239"/>
      <c r="Q249" s="1239"/>
      <c r="R249" s="1239"/>
      <c r="S249" s="1239"/>
      <c r="T249" s="1239"/>
      <c r="U249" s="1239"/>
      <c r="V249" s="1239"/>
      <c r="W249" s="1239"/>
      <c r="X249" s="1239"/>
      <c r="Y249" s="1239"/>
      <c r="Z249" s="1239"/>
      <c r="AA249" s="1239"/>
      <c r="AB249" s="1239"/>
      <c r="AC249" s="1239"/>
      <c r="AD249" s="1239"/>
      <c r="AE249" s="1239"/>
      <c r="AF249" s="1239"/>
      <c r="AG249" s="1239"/>
      <c r="AH249" s="1239"/>
      <c r="AI249" s="1239"/>
      <c r="AJ249" s="1239"/>
      <c r="AK249" s="1239"/>
      <c r="AL249" s="1239"/>
      <c r="AM249" s="1239"/>
      <c r="AN249" s="1239"/>
      <c r="AO249" s="1239"/>
      <c r="AP249" s="1239"/>
      <c r="AQ249" s="1239"/>
      <c r="AR249" s="1239"/>
      <c r="AS249" s="1239"/>
      <c r="AT249" s="1239"/>
      <c r="AU249" s="1239"/>
      <c r="AV249" s="1239"/>
      <c r="AW249" s="1239"/>
      <c r="AX249" s="1239"/>
      <c r="AY249" s="1239"/>
      <c r="AZ249" s="1239"/>
      <c r="BA249" s="1239"/>
      <c r="BB249" s="1239"/>
      <c r="BC249" s="1239"/>
      <c r="BD249" s="1239"/>
      <c r="BE249" s="1240"/>
    </row>
    <row r="252" spans="1:57" ht="15.75" customHeight="1">
      <c r="D252" s="1189"/>
    </row>
    <row r="253" spans="1:57" ht="15.75" customHeight="1">
      <c r="D253" s="1248"/>
    </row>
    <row r="254" spans="1:57" ht="15.75" customHeight="1">
      <c r="D254" s="1189"/>
    </row>
    <row r="255" spans="1:57" ht="15.75" customHeight="1">
      <c r="D255" s="1189"/>
    </row>
    <row r="256" spans="1:57" ht="15.75" customHeight="1">
      <c r="R256" s="1188" t="s">
        <v>249</v>
      </c>
    </row>
  </sheetData>
  <sheetProtection algorithmName="SHA-512" hashValue="0Tx11GszI03ULlEnJOfNa3lG7hWSJyqc2z35uV0yoBHOOyh1m/Av+mwKUrR7kf1+3vhZNzmv8uXP36ttbYbsXg==" saltValue="d2Bnj30a7Tg70053c5jfTw==" spinCount="100000" sheet="1" objects="1" scenarios="1"/>
  <mergeCells count="70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 ref="B13:P13"/>
    <mergeCell ref="Q13:T13"/>
    <mergeCell ref="AA13:AN13"/>
    <mergeCell ref="AO13:AS13"/>
    <mergeCell ref="AA14:AN14"/>
    <mergeCell ref="AO14:AS14"/>
    <mergeCell ref="AF9:AO9"/>
    <mergeCell ref="AP9:AU9"/>
    <mergeCell ref="N10:T10"/>
    <mergeCell ref="AF10:AO10"/>
    <mergeCell ref="AP10:AU10"/>
    <mergeCell ref="N11:T11"/>
    <mergeCell ref="AF11:AO11"/>
    <mergeCell ref="AP11:AU11"/>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50:AO50"/>
    <mergeCell ref="B51:I51"/>
    <mergeCell ref="J51:Q51"/>
    <mergeCell ref="R51:Y51"/>
    <mergeCell ref="Z51:AG51"/>
    <mergeCell ref="AH51:AO51"/>
    <mergeCell ref="Z47:AC47"/>
    <mergeCell ref="AD47:AG47"/>
    <mergeCell ref="AH47:AK47"/>
    <mergeCell ref="AL47:AO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F79:T79"/>
    <mergeCell ref="B80:Q80"/>
    <mergeCell ref="R80:T80"/>
    <mergeCell ref="B81:Q81"/>
    <mergeCell ref="R81:T81"/>
    <mergeCell ref="B83:AH83"/>
    <mergeCell ref="B72:N72"/>
    <mergeCell ref="O72:AA72"/>
    <mergeCell ref="AC72:BC72"/>
    <mergeCell ref="B73:N73"/>
    <mergeCell ref="O73:AA73"/>
    <mergeCell ref="AC73:BC77"/>
    <mergeCell ref="B74:N74"/>
    <mergeCell ref="O74:AA74"/>
    <mergeCell ref="B75:N75"/>
    <mergeCell ref="O75:AA75"/>
    <mergeCell ref="V86:AA86"/>
    <mergeCell ref="AB86:AH86"/>
    <mergeCell ref="B87:H87"/>
    <mergeCell ref="I87:N87"/>
    <mergeCell ref="O87:U87"/>
    <mergeCell ref="V87:AA87"/>
    <mergeCell ref="AB87:AH87"/>
    <mergeCell ref="AJ83:AX86"/>
    <mergeCell ref="AY83:BB86"/>
    <mergeCell ref="B84:H85"/>
    <mergeCell ref="I84:N85"/>
    <mergeCell ref="O84:U85"/>
    <mergeCell ref="V84:AA85"/>
    <mergeCell ref="AB84:AH85"/>
    <mergeCell ref="B86:H86"/>
    <mergeCell ref="I86:N86"/>
    <mergeCell ref="O86:U86"/>
    <mergeCell ref="F92:T92"/>
    <mergeCell ref="B93:Q93"/>
    <mergeCell ref="R93:T93"/>
    <mergeCell ref="B94:Q94"/>
    <mergeCell ref="R94:T94"/>
    <mergeCell ref="B96:AH96"/>
    <mergeCell ref="AJ87:BB88"/>
    <mergeCell ref="B88:H88"/>
    <mergeCell ref="I88:N88"/>
    <mergeCell ref="O88:U88"/>
    <mergeCell ref="V88:AA88"/>
    <mergeCell ref="AB88:AH88"/>
    <mergeCell ref="V99:AA99"/>
    <mergeCell ref="AB99:AH99"/>
    <mergeCell ref="B100:H100"/>
    <mergeCell ref="I100:N100"/>
    <mergeCell ref="O100:U100"/>
    <mergeCell ref="V100:AA100"/>
    <mergeCell ref="AB100:AH100"/>
    <mergeCell ref="AJ96:AX99"/>
    <mergeCell ref="AY96:BB99"/>
    <mergeCell ref="B97:H98"/>
    <mergeCell ref="I97:N98"/>
    <mergeCell ref="O97:U98"/>
    <mergeCell ref="V97:AA98"/>
    <mergeCell ref="AB97:AH98"/>
    <mergeCell ref="B99:H99"/>
    <mergeCell ref="I99:N99"/>
    <mergeCell ref="O99:U99"/>
    <mergeCell ref="F104:R104"/>
    <mergeCell ref="O105:R105"/>
    <mergeCell ref="B107:AH107"/>
    <mergeCell ref="B108:H109"/>
    <mergeCell ref="I108:N109"/>
    <mergeCell ref="O108:U109"/>
    <mergeCell ref="V108:AA109"/>
    <mergeCell ref="AB108:AH109"/>
    <mergeCell ref="AJ100:BB101"/>
    <mergeCell ref="B101:H101"/>
    <mergeCell ref="I101:N101"/>
    <mergeCell ref="O101:U101"/>
    <mergeCell ref="V101:AA101"/>
    <mergeCell ref="AB101:AH101"/>
    <mergeCell ref="B112:H112"/>
    <mergeCell ref="I112:N112"/>
    <mergeCell ref="O112:U112"/>
    <mergeCell ref="V112:AA112"/>
    <mergeCell ref="AB112:AH112"/>
    <mergeCell ref="F115:R115"/>
    <mergeCell ref="B110:H110"/>
    <mergeCell ref="I110:N110"/>
    <mergeCell ref="O110:U110"/>
    <mergeCell ref="V110:AA110"/>
    <mergeCell ref="AB110:AH110"/>
    <mergeCell ref="B111:H111"/>
    <mergeCell ref="I111:N111"/>
    <mergeCell ref="O111:U111"/>
    <mergeCell ref="V111:AA111"/>
    <mergeCell ref="AB111:AH111"/>
    <mergeCell ref="O127:U127"/>
    <mergeCell ref="B128:H128"/>
    <mergeCell ref="I128:N128"/>
    <mergeCell ref="O128:U128"/>
    <mergeCell ref="B129:H129"/>
    <mergeCell ref="I129:N129"/>
    <mergeCell ref="O129:U129"/>
    <mergeCell ref="B117:T120"/>
    <mergeCell ref="U117:X120"/>
    <mergeCell ref="B121:T122"/>
    <mergeCell ref="U121:X122"/>
    <mergeCell ref="X125:BD126"/>
    <mergeCell ref="B126:U126"/>
    <mergeCell ref="B141:AG141"/>
    <mergeCell ref="AH141:AX141"/>
    <mergeCell ref="B142:Q142"/>
    <mergeCell ref="R142:AX142"/>
    <mergeCell ref="B143:AX152"/>
    <mergeCell ref="B156:U156"/>
    <mergeCell ref="X156:AQ156"/>
    <mergeCell ref="B137:H137"/>
    <mergeCell ref="I137:O137"/>
    <mergeCell ref="P137:U137"/>
    <mergeCell ref="B139:AG139"/>
    <mergeCell ref="AH139:AX139"/>
    <mergeCell ref="B140:AG140"/>
    <mergeCell ref="AH140:AX140"/>
    <mergeCell ref="X127:BD137"/>
    <mergeCell ref="B133:U133"/>
    <mergeCell ref="B134:H135"/>
    <mergeCell ref="I134:O135"/>
    <mergeCell ref="P134:U135"/>
    <mergeCell ref="B136:H136"/>
    <mergeCell ref="I136:O136"/>
    <mergeCell ref="P136:U136"/>
    <mergeCell ref="B127:H127"/>
    <mergeCell ref="I127:N127"/>
    <mergeCell ref="B159:H159"/>
    <mergeCell ref="I159:O159"/>
    <mergeCell ref="P159:U159"/>
    <mergeCell ref="X159:AD159"/>
    <mergeCell ref="AE159:AK159"/>
    <mergeCell ref="AL159:AQ159"/>
    <mergeCell ref="B157:H158"/>
    <mergeCell ref="I157:O158"/>
    <mergeCell ref="P157:U158"/>
    <mergeCell ref="X157:AD158"/>
    <mergeCell ref="AE157:AK158"/>
    <mergeCell ref="AL157:AQ158"/>
    <mergeCell ref="C164:P164"/>
    <mergeCell ref="Q164:S164"/>
    <mergeCell ref="T164:AA164"/>
    <mergeCell ref="C165:P165"/>
    <mergeCell ref="Q165:S165"/>
    <mergeCell ref="T165:AA165"/>
    <mergeCell ref="B160:H160"/>
    <mergeCell ref="I160:O160"/>
    <mergeCell ref="P160:U160"/>
    <mergeCell ref="C162:AG162"/>
    <mergeCell ref="C163:P163"/>
    <mergeCell ref="Q163:S163"/>
    <mergeCell ref="T163:AA163"/>
    <mergeCell ref="AB163:AG163"/>
    <mergeCell ref="AB167:AG167"/>
    <mergeCell ref="C168:E168"/>
    <mergeCell ref="F168:P168"/>
    <mergeCell ref="Q168:S168"/>
    <mergeCell ref="T168:AA168"/>
    <mergeCell ref="AB168:AG168"/>
    <mergeCell ref="C166:P166"/>
    <mergeCell ref="Q166:S166"/>
    <mergeCell ref="T166:AA166"/>
    <mergeCell ref="C167:P167"/>
    <mergeCell ref="Q167:S167"/>
    <mergeCell ref="T167:AA167"/>
    <mergeCell ref="C169:E169"/>
    <mergeCell ref="F169:P169"/>
    <mergeCell ref="Q169:S169"/>
    <mergeCell ref="T169:AA169"/>
    <mergeCell ref="AB169:AG169"/>
    <mergeCell ref="C170:E170"/>
    <mergeCell ref="F170:P170"/>
    <mergeCell ref="Q170:S170"/>
    <mergeCell ref="T170:AA170"/>
    <mergeCell ref="AB170:AG170"/>
    <mergeCell ref="C172:N172"/>
    <mergeCell ref="P172:AO172"/>
    <mergeCell ref="C173:H173"/>
    <mergeCell ref="I173:N173"/>
    <mergeCell ref="P173:AO180"/>
    <mergeCell ref="C174:H174"/>
    <mergeCell ref="I174:N174"/>
    <mergeCell ref="C175:H175"/>
    <mergeCell ref="I175:N175"/>
    <mergeCell ref="C176:H176"/>
    <mergeCell ref="I176:N176"/>
    <mergeCell ref="C177:H177"/>
    <mergeCell ref="I177:N177"/>
    <mergeCell ref="C178:H178"/>
    <mergeCell ref="I178:N178"/>
    <mergeCell ref="C179:H179"/>
    <mergeCell ref="I179:N179"/>
    <mergeCell ref="C180:H180"/>
    <mergeCell ref="I180:N180"/>
    <mergeCell ref="C186:M186"/>
    <mergeCell ref="N186:T186"/>
    <mergeCell ref="C182:AE183"/>
    <mergeCell ref="C191:M191"/>
    <mergeCell ref="N191:T191"/>
    <mergeCell ref="U191:AE191"/>
    <mergeCell ref="AH191:AT191"/>
    <mergeCell ref="AU191:BB191"/>
    <mergeCell ref="AH182:BE188"/>
    <mergeCell ref="C184:M184"/>
    <mergeCell ref="N184:T184"/>
    <mergeCell ref="U184:AE184"/>
    <mergeCell ref="C185:M185"/>
    <mergeCell ref="N185:T185"/>
    <mergeCell ref="U185:AE185"/>
    <mergeCell ref="C187:M187"/>
    <mergeCell ref="N187:T187"/>
    <mergeCell ref="U187:AE187"/>
    <mergeCell ref="C188:M188"/>
    <mergeCell ref="N188:T188"/>
    <mergeCell ref="U188:AE188"/>
    <mergeCell ref="BC191:BE191"/>
    <mergeCell ref="C189:M189"/>
    <mergeCell ref="N189:T189"/>
    <mergeCell ref="U189:AE189"/>
    <mergeCell ref="AH189:BE189"/>
    <mergeCell ref="C190:M190"/>
    <mergeCell ref="N190:T190"/>
    <mergeCell ref="U190:AE190"/>
    <mergeCell ref="AH190:AT190"/>
    <mergeCell ref="AU190:BB190"/>
    <mergeCell ref="BC190:BE190"/>
    <mergeCell ref="BC192:BE192"/>
    <mergeCell ref="C193:D193"/>
    <mergeCell ref="E193:M193"/>
    <mergeCell ref="N193:T193"/>
    <mergeCell ref="U193:AE193"/>
    <mergeCell ref="BC193:BE193"/>
    <mergeCell ref="C192:D192"/>
    <mergeCell ref="E192:M192"/>
    <mergeCell ref="N192:T192"/>
    <mergeCell ref="U192:AE192"/>
    <mergeCell ref="AH192:AT192"/>
    <mergeCell ref="AU192:BB192"/>
    <mergeCell ref="C195:M195"/>
    <mergeCell ref="N195:T195"/>
    <mergeCell ref="AH195:BE196"/>
    <mergeCell ref="C196:M196"/>
    <mergeCell ref="N196:T196"/>
    <mergeCell ref="AH197:AR197"/>
    <mergeCell ref="AS197:AX197"/>
    <mergeCell ref="AY197:BD197"/>
    <mergeCell ref="C194:D194"/>
    <mergeCell ref="E194:M194"/>
    <mergeCell ref="N194:T194"/>
    <mergeCell ref="U194:AE194"/>
    <mergeCell ref="AH194:AT194"/>
    <mergeCell ref="AU194:BB194"/>
    <mergeCell ref="C202:N202"/>
    <mergeCell ref="O202:W202"/>
    <mergeCell ref="X202:AE202"/>
    <mergeCell ref="C203:N203"/>
    <mergeCell ref="O203:W203"/>
    <mergeCell ref="X203:AE203"/>
    <mergeCell ref="C199:AE199"/>
    <mergeCell ref="C200:N200"/>
    <mergeCell ref="O200:W200"/>
    <mergeCell ref="X200:AE200"/>
    <mergeCell ref="C201:N201"/>
    <mergeCell ref="O201:W201"/>
    <mergeCell ref="X201:AE201"/>
    <mergeCell ref="C204:AE204"/>
    <mergeCell ref="C206:AK206"/>
    <mergeCell ref="C207:F208"/>
    <mergeCell ref="G207:O208"/>
    <mergeCell ref="P207:T208"/>
    <mergeCell ref="U207:X208"/>
    <mergeCell ref="Y207:AB208"/>
    <mergeCell ref="AC207:AF208"/>
    <mergeCell ref="AG207:AK208"/>
    <mergeCell ref="AG209:AK209"/>
    <mergeCell ref="C210:F210"/>
    <mergeCell ref="G210:O210"/>
    <mergeCell ref="P210:T210"/>
    <mergeCell ref="U210:X210"/>
    <mergeCell ref="Y210:AB210"/>
    <mergeCell ref="AC210:AF210"/>
    <mergeCell ref="AG210:AK210"/>
    <mergeCell ref="C209:F209"/>
    <mergeCell ref="G209:O209"/>
    <mergeCell ref="P209:T209"/>
    <mergeCell ref="U209:X209"/>
    <mergeCell ref="Y209:AB209"/>
    <mergeCell ref="AC209:AF209"/>
    <mergeCell ref="AG211:AK211"/>
    <mergeCell ref="C212:F212"/>
    <mergeCell ref="G212:O212"/>
    <mergeCell ref="P212:T212"/>
    <mergeCell ref="U212:X212"/>
    <mergeCell ref="Y212:AB212"/>
    <mergeCell ref="AC212:AF212"/>
    <mergeCell ref="AG212:AK212"/>
    <mergeCell ref="C211:F211"/>
    <mergeCell ref="G211:O211"/>
    <mergeCell ref="P211:T211"/>
    <mergeCell ref="U211:X211"/>
    <mergeCell ref="Y211:AB211"/>
    <mergeCell ref="AC211:AF211"/>
    <mergeCell ref="AG213:AK213"/>
    <mergeCell ref="C214:F214"/>
    <mergeCell ref="G214:O214"/>
    <mergeCell ref="P214:T214"/>
    <mergeCell ref="U214:X214"/>
    <mergeCell ref="Y214:AB214"/>
    <mergeCell ref="AC214:AF214"/>
    <mergeCell ref="AG214:AK214"/>
    <mergeCell ref="C213:F213"/>
    <mergeCell ref="G213:O213"/>
    <mergeCell ref="P213:T213"/>
    <mergeCell ref="U213:X213"/>
    <mergeCell ref="Y213:AB213"/>
    <mergeCell ref="AC213:AF213"/>
    <mergeCell ref="B221:BD221"/>
    <mergeCell ref="B222:BD222"/>
    <mergeCell ref="B223:BD223"/>
    <mergeCell ref="B224:BD224"/>
    <mergeCell ref="B226:BD226"/>
    <mergeCell ref="H230:AY230"/>
    <mergeCell ref="AG215:AK215"/>
    <mergeCell ref="C216:O216"/>
    <mergeCell ref="P216:T216"/>
    <mergeCell ref="U216:X216"/>
    <mergeCell ref="Y216:AB216"/>
    <mergeCell ref="AC216:AF216"/>
    <mergeCell ref="AG216:AK216"/>
    <mergeCell ref="C215:F215"/>
    <mergeCell ref="G215:O215"/>
    <mergeCell ref="P215:T215"/>
    <mergeCell ref="U215:X215"/>
    <mergeCell ref="Y215:AB215"/>
    <mergeCell ref="AC215:AF215"/>
    <mergeCell ref="H243:I243"/>
    <mergeCell ref="S243:AJ243"/>
    <mergeCell ref="H245:O245"/>
    <mergeCell ref="S245:AJ245"/>
    <mergeCell ref="H247:I247"/>
    <mergeCell ref="S247:AJ247"/>
    <mergeCell ref="H232:AZ235"/>
    <mergeCell ref="H237:AV237"/>
    <mergeCell ref="H239:K239"/>
    <mergeCell ref="S239:AJ239"/>
    <mergeCell ref="H241:J241"/>
    <mergeCell ref="S241:AJ241"/>
  </mergeCells>
  <dataValidations count="6">
    <dataValidation type="list" allowBlank="1" showInputMessage="1" showErrorMessage="1" sqref="F104 F79 F92" xr:uid="{1FCB458F-1225-43AF-8FF1-2B902753D698}">
      <formula1>$BQ$96:$BQ$98</formula1>
    </dataValidation>
    <dataValidation type="list" allowBlank="1" showInputMessage="1" showErrorMessage="1" sqref="AP8:AU8" xr:uid="{824BC104-7AD7-4EDE-A931-906012CA9D6C}">
      <formula1>$BM$9:$BM$13</formula1>
    </dataValidation>
    <dataValidation type="list" allowBlank="1" showInputMessage="1" showErrorMessage="1" sqref="BM68:BM70" xr:uid="{AA69C59B-EBB5-4938-AFBE-6CF369304820}">
      <formula1>$BM$68:$BM$70</formula1>
    </dataValidation>
    <dataValidation type="list" allowBlank="1" showInputMessage="1" showErrorMessage="1" sqref="AV68:BC69 AY96:BB99 U117:X120 AY83:BB86 AH139:AX139 AH141:AX141" xr:uid="{BA8D614D-1177-459E-8523-7B747D245324}">
      <formula1>$BM$69:$BM$71</formula1>
    </dataValidation>
    <dataValidation type="list" allowBlank="1" showInputMessage="1" showErrorMessage="1" sqref="Q13:T13" xr:uid="{1E70C12F-0BE7-4AFE-927D-E210EC278E7A}">
      <formula1>$BM$69:$BM$70</formula1>
    </dataValidation>
    <dataValidation type="list" showDropDown="1" showInputMessage="1" showErrorMessage="1" sqref="F115:R115" xr:uid="{11A1EE09-923A-44E2-8738-714A1724F8E8}">
      <formula1>$BQ$96:$BQ$98</formula1>
    </dataValidation>
  </dataValidations>
  <pageMargins left="0.7" right="0.7" top="0.75" bottom="0.75" header="0.3" footer="0.3"/>
  <pageSetup paperSize="5" scale="47"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27"/>
  <sheetViews>
    <sheetView showGridLines="0" tabSelected="1" workbookViewId="0">
      <selection activeCell="AO1" sqref="AO1:XFD1048576"/>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5703125" style="14" customWidth="1"/>
    <col min="19" max="19" width="3.28515625" style="14" customWidth="1"/>
    <col min="20" max="26" width="2.42578125" style="14" customWidth="1"/>
    <col min="27" max="30" width="2.5703125" style="14" customWidth="1"/>
    <col min="31" max="32" width="2.42578125" style="14" customWidth="1"/>
    <col min="33" max="33" width="3.42578125" style="14" customWidth="1"/>
    <col min="34" max="36" width="2.42578125" style="14" customWidth="1"/>
    <col min="37" max="37" width="5.5703125" style="14" customWidth="1"/>
    <col min="38" max="38" width="2.42578125" style="14" customWidth="1"/>
    <col min="39" max="39" width="3.42578125" style="14" customWidth="1"/>
    <col min="40" max="40" width="5.5703125" style="535" customWidth="1"/>
    <col min="41" max="41" width="5.5703125" style="30" hidden="1"/>
    <col min="42" max="45" width="5.5703125" style="14" hidden="1"/>
    <col min="46" max="46" width="10.85546875" style="14" hidden="1"/>
    <col min="47" max="48" width="5.5703125" style="14" hidden="1"/>
    <col min="49" max="49" width="8.7109375" style="14" hidden="1"/>
    <col min="50" max="50" width="7.42578125" style="14" hidden="1"/>
    <col min="51" max="55" width="5.5703125" style="14" hidden="1"/>
    <col min="56" max="60" width="5.5703125" style="32" hidden="1"/>
    <col min="61" max="81" width="5.5703125" style="14" hidden="1"/>
    <col min="82" max="16384" width="9.140625" style="14" hidden="1"/>
  </cols>
  <sheetData>
    <row r="1" spans="1:42" ht="15.75" customHeight="1">
      <c r="A1" s="2365" t="s">
        <v>1299</v>
      </c>
      <c r="B1" s="2365"/>
      <c r="C1" s="2365"/>
      <c r="D1" s="2365"/>
      <c r="E1" s="2365"/>
      <c r="F1" s="2365"/>
      <c r="G1" s="2365"/>
      <c r="H1" s="2365"/>
      <c r="I1" s="2365"/>
      <c r="J1" s="2365"/>
      <c r="K1" s="2365"/>
      <c r="L1" s="2365"/>
      <c r="M1" s="2365"/>
      <c r="N1" s="2365"/>
      <c r="O1" s="2365"/>
      <c r="P1" s="2365"/>
      <c r="Q1" s="2365"/>
      <c r="R1" s="2365"/>
      <c r="S1" s="2365"/>
      <c r="T1" s="2365"/>
      <c r="U1" s="2365"/>
      <c r="V1" s="2365"/>
      <c r="W1" s="2365"/>
      <c r="X1" s="2365"/>
      <c r="Y1" s="2365"/>
      <c r="Z1" s="2365"/>
      <c r="AA1" s="2365"/>
      <c r="AB1" s="2365"/>
      <c r="AC1" s="2365"/>
      <c r="AD1" s="2365"/>
      <c r="AE1" s="2365"/>
      <c r="AF1" s="2365"/>
      <c r="AG1" s="2365"/>
      <c r="AH1" s="2365"/>
      <c r="AI1" s="2365"/>
      <c r="AJ1" s="2365"/>
      <c r="AK1" s="2365"/>
      <c r="AL1" s="2365"/>
      <c r="AM1" s="2365"/>
    </row>
    <row r="2" spans="1:42" s="537" customFormat="1" ht="12.75" customHeight="1" thickBot="1">
      <c r="A2" s="2366"/>
      <c r="B2" s="2366"/>
      <c r="C2" s="2366"/>
      <c r="D2" s="2366"/>
      <c r="E2" s="2366"/>
      <c r="F2" s="2366"/>
      <c r="G2" s="2366"/>
      <c r="H2" s="2366"/>
      <c r="I2" s="2366"/>
      <c r="J2" s="2366"/>
      <c r="K2" s="2366"/>
      <c r="L2" s="2366"/>
      <c r="M2" s="2366"/>
      <c r="N2" s="2366"/>
      <c r="O2" s="2366"/>
      <c r="P2" s="2366"/>
      <c r="Q2" s="2366"/>
      <c r="R2" s="2366"/>
      <c r="S2" s="2366"/>
      <c r="T2" s="2366"/>
      <c r="U2" s="2366"/>
      <c r="V2" s="2366"/>
      <c r="W2" s="2366"/>
      <c r="X2" s="2366"/>
      <c r="Y2" s="2366"/>
      <c r="Z2" s="2366"/>
      <c r="AA2" s="2366"/>
      <c r="AB2" s="2366"/>
      <c r="AC2" s="2366"/>
      <c r="AD2" s="2366"/>
      <c r="AE2" s="2366"/>
      <c r="AF2" s="2366"/>
      <c r="AG2" s="2366"/>
      <c r="AH2" s="2366"/>
      <c r="AI2" s="2366"/>
      <c r="AJ2" s="2366"/>
      <c r="AK2" s="2366"/>
      <c r="AL2" s="2366"/>
      <c r="AM2" s="2366"/>
      <c r="AN2" s="536"/>
    </row>
    <row r="3" spans="1:42" s="537" customFormat="1" ht="12.75" customHeight="1" thickTop="1">
      <c r="A3" s="538"/>
      <c r="B3" s="538"/>
      <c r="C3" s="538"/>
      <c r="D3" s="538"/>
      <c r="E3" s="538"/>
      <c r="F3" s="538"/>
      <c r="G3" s="538"/>
      <c r="H3" s="538"/>
      <c r="I3" s="538"/>
      <c r="J3" s="538"/>
      <c r="K3" s="538"/>
      <c r="L3" s="538"/>
      <c r="M3" s="538"/>
      <c r="N3" s="538"/>
      <c r="O3" s="538"/>
      <c r="P3" s="538"/>
      <c r="Q3" s="538"/>
      <c r="R3" s="538"/>
      <c r="S3" s="538"/>
      <c r="T3" s="538"/>
      <c r="U3" s="538"/>
      <c r="V3" s="538"/>
      <c r="W3" s="538"/>
      <c r="X3" s="538"/>
      <c r="Y3" s="538"/>
      <c r="Z3" s="538"/>
      <c r="AA3" s="538"/>
      <c r="AB3" s="538"/>
      <c r="AC3" s="538"/>
      <c r="AD3" s="538"/>
      <c r="AE3" s="538"/>
      <c r="AF3" s="538"/>
      <c r="AG3" s="538"/>
      <c r="AH3" s="538"/>
      <c r="AI3" s="538"/>
      <c r="AJ3" s="538"/>
      <c r="AK3" s="538"/>
      <c r="AL3" s="538"/>
      <c r="AM3" s="538"/>
      <c r="AN3" s="536"/>
    </row>
    <row r="4" spans="1:42" s="537" customFormat="1" ht="12.75" customHeight="1">
      <c r="A4" s="539" t="s">
        <v>1300</v>
      </c>
      <c r="B4" s="540" t="s">
        <v>1301</v>
      </c>
      <c r="C4" s="541"/>
      <c r="D4" s="541"/>
      <c r="E4" s="541"/>
      <c r="F4" s="541"/>
      <c r="G4" s="541"/>
      <c r="H4" s="541"/>
      <c r="I4" s="541"/>
      <c r="J4" s="541"/>
      <c r="K4" s="541"/>
      <c r="L4" s="541"/>
      <c r="M4" s="541"/>
      <c r="N4" s="541"/>
      <c r="O4" s="541"/>
      <c r="P4" s="541"/>
      <c r="Q4" s="541"/>
      <c r="R4" s="541"/>
      <c r="S4" s="541"/>
      <c r="T4" s="541"/>
      <c r="U4" s="541"/>
      <c r="V4" s="541"/>
      <c r="W4" s="541"/>
      <c r="X4" s="541"/>
      <c r="Y4" s="541"/>
      <c r="Z4" s="541"/>
      <c r="AA4" s="541"/>
      <c r="AB4" s="541"/>
      <c r="AC4" s="541"/>
      <c r="AD4" s="541"/>
      <c r="AE4" s="541"/>
      <c r="AF4" s="541"/>
      <c r="AG4" s="541"/>
      <c r="AH4" s="541"/>
      <c r="AI4" s="541"/>
      <c r="AJ4" s="541"/>
      <c r="AK4" s="541"/>
      <c r="AL4" s="541"/>
      <c r="AM4" s="541"/>
      <c r="AN4" s="536"/>
    </row>
    <row r="5" spans="1:42" s="537" customFormat="1" ht="12.75" customHeight="1" thickBot="1">
      <c r="A5" s="539"/>
      <c r="B5" s="540"/>
      <c r="C5" s="541"/>
      <c r="D5" s="541"/>
      <c r="E5" s="541"/>
      <c r="F5" s="541"/>
      <c r="G5" s="541"/>
      <c r="H5" s="541"/>
      <c r="I5" s="541"/>
      <c r="J5" s="541"/>
      <c r="K5" s="541"/>
      <c r="L5" s="541"/>
      <c r="M5" s="541"/>
      <c r="N5" s="541"/>
      <c r="O5" s="541"/>
      <c r="P5" s="541"/>
      <c r="Q5" s="541"/>
      <c r="R5" s="541"/>
      <c r="S5" s="541"/>
      <c r="T5" s="541"/>
      <c r="U5" s="541"/>
      <c r="V5" s="541"/>
      <c r="W5" s="541"/>
      <c r="X5" s="541"/>
      <c r="Y5" s="541"/>
      <c r="Z5" s="541"/>
      <c r="AA5" s="541"/>
      <c r="AB5" s="541"/>
      <c r="AC5" s="541"/>
      <c r="AD5" s="541"/>
      <c r="AE5" s="541"/>
      <c r="AF5" s="541"/>
      <c r="AG5" s="541"/>
      <c r="AH5" s="541"/>
      <c r="AI5" s="541"/>
      <c r="AJ5" s="541"/>
      <c r="AK5" s="541"/>
      <c r="AL5" s="541"/>
      <c r="AM5" s="541"/>
      <c r="AN5" s="536"/>
    </row>
    <row r="6" spans="1:42" s="537" customFormat="1" ht="12.75" customHeight="1" thickTop="1">
      <c r="A6" s="542"/>
      <c r="B6" s="542"/>
      <c r="C6" s="542"/>
      <c r="D6" s="542"/>
      <c r="E6" s="542"/>
      <c r="F6" s="542"/>
      <c r="G6" s="542"/>
      <c r="H6" s="542"/>
      <c r="I6" s="542"/>
      <c r="J6" s="542"/>
      <c r="K6" s="542"/>
      <c r="L6" s="542"/>
      <c r="M6" s="542"/>
      <c r="N6" s="542"/>
      <c r="O6" s="542"/>
      <c r="P6" s="542"/>
      <c r="Q6" s="542"/>
      <c r="R6" s="542"/>
      <c r="S6" s="542"/>
      <c r="T6" s="542"/>
      <c r="U6" s="542"/>
      <c r="V6" s="542"/>
      <c r="W6" s="542"/>
      <c r="X6" s="542"/>
      <c r="Y6" s="542"/>
      <c r="Z6" s="542"/>
      <c r="AA6" s="542"/>
      <c r="AB6" s="542"/>
      <c r="AC6" s="542"/>
      <c r="AD6" s="542"/>
      <c r="AE6" s="542"/>
      <c r="AF6" s="542"/>
      <c r="AG6" s="542"/>
      <c r="AH6" s="542"/>
      <c r="AI6" s="542"/>
      <c r="AJ6" s="542"/>
      <c r="AK6" s="542"/>
      <c r="AL6" s="542"/>
      <c r="AM6" s="543"/>
      <c r="AN6" s="536"/>
    </row>
    <row r="7" spans="1:42" s="537" customFormat="1" ht="12.75" customHeight="1">
      <c r="A7" s="539" t="s">
        <v>1302</v>
      </c>
      <c r="B7" s="540" t="s">
        <v>1303</v>
      </c>
      <c r="C7" s="540"/>
      <c r="D7" s="540"/>
      <c r="E7" s="540"/>
      <c r="F7" s="540"/>
      <c r="G7" s="540"/>
      <c r="H7" s="540"/>
      <c r="I7" s="540"/>
      <c r="J7" s="540"/>
      <c r="K7" s="540"/>
      <c r="L7" s="540"/>
      <c r="M7" s="540"/>
      <c r="N7" s="540"/>
      <c r="O7" s="540"/>
      <c r="P7" s="540"/>
      <c r="Q7" s="540"/>
      <c r="R7" s="540"/>
      <c r="S7" s="540"/>
      <c r="T7" s="540"/>
      <c r="U7" s="540"/>
      <c r="V7" s="540"/>
      <c r="W7" s="540"/>
      <c r="X7" s="540"/>
      <c r="Y7" s="540"/>
      <c r="Z7" s="540"/>
      <c r="AA7" s="540"/>
      <c r="AB7" s="540"/>
      <c r="AC7" s="540"/>
      <c r="AD7" s="540"/>
      <c r="AE7" s="2346" t="s">
        <v>1304</v>
      </c>
      <c r="AF7" s="2346"/>
      <c r="AG7" s="2346"/>
      <c r="AH7" s="2346"/>
      <c r="AI7" s="2346"/>
      <c r="AJ7" s="2346"/>
      <c r="AK7" s="2346"/>
      <c r="AL7" s="541"/>
      <c r="AM7" s="541"/>
      <c r="AN7" s="536"/>
    </row>
    <row r="8" spans="1:42" s="537" customFormat="1" ht="12.75" customHeight="1">
      <c r="A8" s="539"/>
      <c r="B8" s="540" t="s">
        <v>1728</v>
      </c>
      <c r="C8" s="540"/>
      <c r="D8" s="540"/>
      <c r="E8" s="540"/>
      <c r="F8" s="540"/>
      <c r="G8" s="540"/>
      <c r="H8" s="540"/>
      <c r="I8" s="540"/>
      <c r="J8" s="540"/>
      <c r="K8" s="540"/>
      <c r="L8" s="540"/>
      <c r="M8" s="540"/>
      <c r="N8" s="540"/>
      <c r="O8" s="540"/>
      <c r="P8" s="540"/>
      <c r="Q8" s="540"/>
      <c r="R8" s="540"/>
      <c r="S8" s="540"/>
      <c r="T8" s="540"/>
      <c r="U8" s="540"/>
      <c r="V8" s="540"/>
      <c r="W8" s="540"/>
      <c r="X8" s="540"/>
      <c r="Y8" s="540"/>
      <c r="Z8" s="540"/>
      <c r="AA8" s="540"/>
      <c r="AB8" s="540"/>
      <c r="AC8" s="540"/>
      <c r="AD8" s="540"/>
      <c r="AE8" s="544"/>
      <c r="AF8" s="544"/>
      <c r="AG8" s="544"/>
      <c r="AH8" s="544"/>
      <c r="AI8" s="544"/>
      <c r="AJ8" s="544"/>
      <c r="AK8" s="544"/>
      <c r="AL8" s="541"/>
      <c r="AM8" s="541"/>
      <c r="AN8" s="536"/>
    </row>
    <row r="9" spans="1:42" s="537" customFormat="1" ht="12.75" customHeight="1">
      <c r="A9" s="539"/>
      <c r="B9" s="540"/>
      <c r="C9" s="540"/>
      <c r="D9" s="540"/>
      <c r="E9" s="540"/>
      <c r="F9" s="540"/>
      <c r="G9" s="540"/>
      <c r="H9" s="540"/>
      <c r="I9" s="540"/>
      <c r="J9" s="540"/>
      <c r="K9" s="540"/>
      <c r="L9" s="540"/>
      <c r="M9" s="540"/>
      <c r="N9" s="540"/>
      <c r="O9" s="540"/>
      <c r="P9" s="540"/>
      <c r="Q9" s="540"/>
      <c r="R9" s="540"/>
      <c r="S9" s="540"/>
      <c r="T9" s="540"/>
      <c r="U9" s="540"/>
      <c r="V9" s="540"/>
      <c r="W9" s="540"/>
      <c r="X9" s="540"/>
      <c r="Y9" s="540"/>
      <c r="Z9" s="540"/>
      <c r="AA9" s="540"/>
      <c r="AB9" s="540"/>
      <c r="AC9" s="540"/>
      <c r="AD9" s="540"/>
      <c r="AE9" s="544"/>
      <c r="AF9" s="544"/>
      <c r="AG9" s="544"/>
      <c r="AH9" s="544"/>
      <c r="AI9" s="544"/>
      <c r="AJ9" s="544"/>
      <c r="AK9" s="544"/>
      <c r="AL9" s="541"/>
      <c r="AM9" s="541"/>
      <c r="AN9" s="536"/>
    </row>
    <row r="10" spans="1:42" s="537" customFormat="1" ht="12.75" customHeight="1">
      <c r="A10" s="539"/>
      <c r="B10" s="540" t="s">
        <v>2011</v>
      </c>
      <c r="C10" s="540"/>
      <c r="D10" s="540"/>
      <c r="E10" s="540"/>
      <c r="F10" s="540"/>
      <c r="G10" s="540"/>
      <c r="H10" s="540"/>
      <c r="I10" s="540"/>
      <c r="J10" s="540"/>
      <c r="K10" s="540"/>
      <c r="L10" s="540"/>
      <c r="M10" s="540"/>
      <c r="N10" s="540"/>
      <c r="O10" s="540"/>
      <c r="P10" s="540"/>
      <c r="Q10" s="540"/>
      <c r="R10" s="540"/>
      <c r="S10" s="540"/>
      <c r="T10" s="540"/>
      <c r="U10" s="540"/>
      <c r="V10" s="540"/>
      <c r="W10" s="540"/>
      <c r="X10" s="540"/>
      <c r="Y10" s="540"/>
      <c r="Z10" s="540"/>
      <c r="AA10" s="540"/>
      <c r="AB10" s="540"/>
      <c r="AC10" s="540"/>
      <c r="AD10" s="540"/>
      <c r="AE10" s="544"/>
      <c r="AF10" s="544"/>
      <c r="AG10" s="544"/>
      <c r="AH10" s="544"/>
      <c r="AI10" s="544"/>
      <c r="AJ10" s="544"/>
      <c r="AK10" s="544"/>
      <c r="AL10" s="541"/>
      <c r="AM10" s="541"/>
      <c r="AN10" s="536"/>
    </row>
    <row r="11" spans="1:42" s="537" customFormat="1" ht="12.75" customHeight="1">
      <c r="A11" s="541"/>
      <c r="C11" s="1143" t="s">
        <v>2007</v>
      </c>
      <c r="D11" s="1143"/>
      <c r="E11" s="1143"/>
      <c r="F11" s="1143"/>
      <c r="G11" s="1143"/>
      <c r="H11" s="1143"/>
      <c r="I11" s="1143"/>
      <c r="J11" s="1143"/>
      <c r="K11" s="1143"/>
      <c r="L11" s="1143"/>
      <c r="M11" s="1143"/>
      <c r="N11" s="1143"/>
      <c r="O11" s="1143"/>
      <c r="P11" s="1143"/>
      <c r="Q11" s="1143"/>
      <c r="R11" s="1143"/>
      <c r="S11" s="1143"/>
      <c r="T11" s="1143"/>
      <c r="U11" s="1143"/>
      <c r="V11" s="1143"/>
      <c r="W11" s="1143"/>
      <c r="X11" s="1143"/>
      <c r="Y11" s="1143"/>
      <c r="Z11" s="1143"/>
      <c r="AA11" s="1143"/>
      <c r="AB11" s="1143"/>
      <c r="AC11" s="1143"/>
      <c r="AD11" s="1143"/>
      <c r="AE11" s="1143"/>
      <c r="AF11" s="1143"/>
      <c r="AG11" s="1143"/>
      <c r="AH11" s="1143"/>
      <c r="AI11" s="1143"/>
      <c r="AJ11" s="1143"/>
      <c r="AK11" s="541"/>
      <c r="AL11" s="541"/>
      <c r="AM11" s="541"/>
      <c r="AN11" s="536"/>
      <c r="AO11" s="448"/>
      <c r="AP11" s="546"/>
    </row>
    <row r="12" spans="1:42" s="537" customFormat="1" ht="12.75" customHeight="1">
      <c r="A12" s="541"/>
      <c r="B12" s="547"/>
      <c r="C12" s="541"/>
      <c r="D12" s="541"/>
      <c r="E12" s="541"/>
      <c r="F12" s="541"/>
      <c r="G12" s="541"/>
      <c r="H12" s="541"/>
      <c r="I12" s="541"/>
      <c r="J12" s="541"/>
      <c r="K12" s="541"/>
      <c r="L12" s="541"/>
      <c r="M12" s="541"/>
      <c r="N12" s="541"/>
      <c r="O12" s="541"/>
      <c r="P12" s="541"/>
      <c r="Q12" s="541"/>
      <c r="R12" s="541"/>
      <c r="S12" s="541"/>
      <c r="T12" s="541"/>
      <c r="U12" s="541"/>
      <c r="V12" s="541"/>
      <c r="W12" s="541"/>
      <c r="X12" s="541"/>
      <c r="Y12" s="541"/>
      <c r="Z12" s="541"/>
      <c r="AA12" s="541"/>
      <c r="AB12" s="541"/>
      <c r="AC12" s="541"/>
      <c r="AD12" s="541"/>
      <c r="AE12" s="541"/>
      <c r="AF12" s="541"/>
      <c r="AG12" s="541"/>
      <c r="AH12" s="541"/>
      <c r="AI12" s="541"/>
      <c r="AJ12" s="541"/>
      <c r="AK12" s="541"/>
      <c r="AL12" s="541"/>
      <c r="AM12" s="541"/>
      <c r="AN12" s="536"/>
      <c r="AP12" s="14"/>
    </row>
    <row r="13" spans="1:42" s="537" customFormat="1" ht="12.75" customHeight="1">
      <c r="A13" s="541"/>
      <c r="B13" s="2336" t="s">
        <v>591</v>
      </c>
      <c r="C13" s="2336"/>
      <c r="D13" s="548"/>
      <c r="E13" s="549" t="s">
        <v>1305</v>
      </c>
      <c r="F13" s="550"/>
      <c r="G13" s="550"/>
      <c r="H13" s="550"/>
      <c r="I13" s="550"/>
      <c r="J13" s="550"/>
      <c r="K13" s="550"/>
      <c r="L13" s="550"/>
      <c r="M13" s="550"/>
      <c r="N13" s="550"/>
      <c r="O13" s="550"/>
      <c r="P13" s="550"/>
      <c r="Q13" s="550"/>
      <c r="R13" s="550"/>
      <c r="S13" s="550"/>
      <c r="T13" s="550"/>
      <c r="U13" s="550"/>
      <c r="V13" s="550"/>
      <c r="W13" s="550"/>
      <c r="X13" s="550"/>
      <c r="Y13" s="550"/>
      <c r="Z13" s="550"/>
      <c r="AA13" s="550"/>
      <c r="AB13" s="550"/>
      <c r="AC13" s="550"/>
      <c r="AD13" s="550"/>
      <c r="AE13" s="550"/>
      <c r="AF13" s="550"/>
      <c r="AG13" s="2367"/>
      <c r="AH13" s="2367"/>
      <c r="AI13" s="2367"/>
      <c r="AJ13" s="2368"/>
      <c r="AK13" s="541"/>
      <c r="AL13" s="541"/>
      <c r="AM13" s="541"/>
      <c r="AN13" s="536"/>
      <c r="AO13" s="551">
        <f>IF($B13="yes",20,0)</f>
        <v>0</v>
      </c>
      <c r="AP13" s="14"/>
    </row>
    <row r="14" spans="1:42" s="537" customFormat="1" ht="12.75" customHeight="1">
      <c r="A14" s="541"/>
      <c r="B14" s="541"/>
      <c r="C14" s="541"/>
      <c r="D14" s="14"/>
      <c r="E14" s="541"/>
      <c r="F14" s="541"/>
      <c r="G14" s="541"/>
      <c r="H14" s="541"/>
      <c r="I14" s="541"/>
      <c r="J14" s="541"/>
      <c r="K14" s="541"/>
      <c r="L14" s="541"/>
      <c r="M14" s="541"/>
      <c r="N14" s="541"/>
      <c r="O14" s="541"/>
      <c r="P14" s="541"/>
      <c r="Q14" s="541"/>
      <c r="R14" s="541"/>
      <c r="S14" s="541"/>
      <c r="T14" s="541"/>
      <c r="U14" s="541"/>
      <c r="V14" s="541"/>
      <c r="W14" s="541"/>
      <c r="X14" s="541"/>
      <c r="Y14" s="541"/>
      <c r="Z14" s="541"/>
      <c r="AA14" s="541"/>
      <c r="AB14" s="541"/>
      <c r="AC14" s="541"/>
      <c r="AD14" s="541"/>
      <c r="AE14" s="541"/>
      <c r="AF14" s="541"/>
      <c r="AG14" s="541"/>
      <c r="AH14" s="541"/>
      <c r="AI14" s="541"/>
      <c r="AJ14" s="541"/>
      <c r="AK14" s="541"/>
      <c r="AL14" s="541"/>
      <c r="AM14" s="541"/>
      <c r="AN14" s="536"/>
      <c r="AO14" s="551">
        <f>IF(AND($B16="yes",E20&gt;0),20,0)</f>
        <v>0</v>
      </c>
      <c r="AP14" s="14"/>
    </row>
    <row r="15" spans="1:42" s="537" customFormat="1" ht="12.75" customHeight="1">
      <c r="A15" s="541"/>
      <c r="B15" s="541"/>
      <c r="C15" s="541"/>
      <c r="D15" s="551"/>
      <c r="E15" s="541"/>
      <c r="F15" s="541"/>
      <c r="G15" s="541"/>
      <c r="H15" s="541"/>
      <c r="I15" s="541"/>
      <c r="J15" s="541"/>
      <c r="K15" s="541"/>
      <c r="L15" s="541"/>
      <c r="M15" s="541"/>
      <c r="N15" s="541"/>
      <c r="O15" s="541"/>
      <c r="P15" s="541"/>
      <c r="Q15" s="541"/>
      <c r="R15" s="541"/>
      <c r="S15" s="541"/>
      <c r="T15" s="541"/>
      <c r="U15" s="541"/>
      <c r="V15" s="541"/>
      <c r="W15" s="541"/>
      <c r="X15" s="541"/>
      <c r="Y15" s="541"/>
      <c r="Z15" s="541"/>
      <c r="AA15" s="541"/>
      <c r="AB15" s="541"/>
      <c r="AC15" s="541"/>
      <c r="AD15" s="541"/>
      <c r="AE15" s="541"/>
      <c r="AF15" s="541"/>
      <c r="AG15" s="541"/>
      <c r="AH15" s="541"/>
      <c r="AI15" s="541"/>
      <c r="AJ15" s="541"/>
      <c r="AK15" s="541"/>
      <c r="AL15" s="541"/>
      <c r="AM15" s="541"/>
      <c r="AN15" s="536"/>
      <c r="AO15" s="551">
        <f>IF($B22="yes",20,0)</f>
        <v>0</v>
      </c>
      <c r="AP15" s="14"/>
    </row>
    <row r="16" spans="1:42" s="537" customFormat="1" ht="12.75" customHeight="1">
      <c r="A16" s="541"/>
      <c r="B16" s="2336" t="s">
        <v>591</v>
      </c>
      <c r="C16" s="2336"/>
      <c r="D16" s="548"/>
      <c r="E16" s="2347" t="s">
        <v>1306</v>
      </c>
      <c r="F16" s="2348"/>
      <c r="G16" s="2348"/>
      <c r="H16" s="2348"/>
      <c r="I16" s="2348"/>
      <c r="J16" s="2348"/>
      <c r="K16" s="2348"/>
      <c r="L16" s="2348"/>
      <c r="M16" s="2348"/>
      <c r="N16" s="2348"/>
      <c r="O16" s="2348"/>
      <c r="P16" s="2348"/>
      <c r="Q16" s="2348"/>
      <c r="R16" s="2348"/>
      <c r="S16" s="2348"/>
      <c r="T16" s="2348"/>
      <c r="U16" s="2348"/>
      <c r="V16" s="2348"/>
      <c r="W16" s="2348"/>
      <c r="X16" s="2348"/>
      <c r="Y16" s="2348"/>
      <c r="Z16" s="2348"/>
      <c r="AA16" s="2348"/>
      <c r="AB16" s="2348"/>
      <c r="AC16" s="2348"/>
      <c r="AD16" s="2348"/>
      <c r="AE16" s="2348"/>
      <c r="AF16" s="2348"/>
      <c r="AG16" s="2348"/>
      <c r="AH16" s="2348"/>
      <c r="AI16" s="2348"/>
      <c r="AJ16" s="2349"/>
      <c r="AK16" s="541"/>
      <c r="AL16" s="541"/>
      <c r="AM16" s="541"/>
      <c r="AN16" s="536"/>
      <c r="AO16" s="551">
        <f>IF($B25="yes",20,0)</f>
        <v>0</v>
      </c>
      <c r="AP16" s="14"/>
    </row>
    <row r="17" spans="1:42" s="537" customFormat="1" ht="12.75" customHeight="1">
      <c r="A17" s="541"/>
      <c r="B17" s="541"/>
      <c r="C17" s="541"/>
      <c r="D17" s="552"/>
      <c r="E17" s="2350"/>
      <c r="F17" s="2351"/>
      <c r="G17" s="2351"/>
      <c r="H17" s="2351"/>
      <c r="I17" s="2351"/>
      <c r="J17" s="2351"/>
      <c r="K17" s="2351"/>
      <c r="L17" s="2351"/>
      <c r="M17" s="2351"/>
      <c r="N17" s="2351"/>
      <c r="O17" s="2351"/>
      <c r="P17" s="2351"/>
      <c r="Q17" s="2351"/>
      <c r="R17" s="2351"/>
      <c r="S17" s="2351"/>
      <c r="T17" s="2351"/>
      <c r="U17" s="2351"/>
      <c r="V17" s="2351"/>
      <c r="W17" s="2351"/>
      <c r="X17" s="2351"/>
      <c r="Y17" s="2351"/>
      <c r="Z17" s="2351"/>
      <c r="AA17" s="2351"/>
      <c r="AB17" s="2351"/>
      <c r="AC17" s="2351"/>
      <c r="AD17" s="2351"/>
      <c r="AE17" s="2351"/>
      <c r="AF17" s="2351"/>
      <c r="AG17" s="2351"/>
      <c r="AH17" s="2351"/>
      <c r="AI17" s="2351"/>
      <c r="AJ17" s="2352"/>
      <c r="AK17" s="541"/>
      <c r="AL17" s="541"/>
      <c r="AM17" s="541"/>
      <c r="AN17" s="536"/>
      <c r="AO17" s="551">
        <f>IF($B28="yes",20,0)</f>
        <v>0</v>
      </c>
    </row>
    <row r="18" spans="1:42" s="537" customFormat="1" ht="12.75" customHeight="1">
      <c r="A18" s="541"/>
      <c r="B18" s="541"/>
      <c r="C18" s="541"/>
      <c r="D18" s="552"/>
      <c r="E18" s="2350"/>
      <c r="F18" s="2351"/>
      <c r="G18" s="2351"/>
      <c r="H18" s="2351"/>
      <c r="I18" s="2351"/>
      <c r="J18" s="2351"/>
      <c r="K18" s="2351"/>
      <c r="L18" s="2351"/>
      <c r="M18" s="2351"/>
      <c r="N18" s="2351"/>
      <c r="O18" s="2351"/>
      <c r="P18" s="2351"/>
      <c r="Q18" s="2351"/>
      <c r="R18" s="2351"/>
      <c r="S18" s="2351"/>
      <c r="T18" s="2351"/>
      <c r="U18" s="2351"/>
      <c r="V18" s="2351"/>
      <c r="W18" s="2351"/>
      <c r="X18" s="2351"/>
      <c r="Y18" s="2351"/>
      <c r="Z18" s="2351"/>
      <c r="AA18" s="2351"/>
      <c r="AB18" s="2351"/>
      <c r="AC18" s="2351"/>
      <c r="AD18" s="2351"/>
      <c r="AE18" s="2351"/>
      <c r="AF18" s="2351"/>
      <c r="AG18" s="2351"/>
      <c r="AH18" s="2351"/>
      <c r="AI18" s="2351"/>
      <c r="AJ18" s="2352"/>
      <c r="AK18" s="541"/>
      <c r="AL18" s="541"/>
      <c r="AM18" s="541"/>
      <c r="AN18" s="536"/>
      <c r="AO18" s="537">
        <f>IF(SUM(AO13:AO17)&gt;20,20,(SUM(AO13:AO17)))</f>
        <v>0</v>
      </c>
      <c r="AP18" s="537" t="s">
        <v>1307</v>
      </c>
    </row>
    <row r="19" spans="1:42" s="537" customFormat="1" ht="12.75" customHeight="1">
      <c r="A19" s="541"/>
      <c r="B19" s="541"/>
      <c r="C19" s="541"/>
      <c r="D19" s="552"/>
      <c r="E19" s="553" t="s">
        <v>1308</v>
      </c>
      <c r="F19" s="554"/>
      <c r="G19" s="554"/>
      <c r="H19" s="554"/>
      <c r="I19" s="554"/>
      <c r="J19" s="554"/>
      <c r="K19" s="554"/>
      <c r="L19" s="554"/>
      <c r="M19" s="554"/>
      <c r="N19" s="554"/>
      <c r="O19" s="554"/>
      <c r="P19" s="554"/>
      <c r="Q19" s="554"/>
      <c r="R19" s="554"/>
      <c r="S19" s="554"/>
      <c r="T19" s="554"/>
      <c r="U19" s="554"/>
      <c r="V19" s="554"/>
      <c r="W19" s="554"/>
      <c r="X19" s="554"/>
      <c r="Y19" s="554"/>
      <c r="Z19" s="554"/>
      <c r="AA19" s="554"/>
      <c r="AB19" s="554"/>
      <c r="AC19" s="554"/>
      <c r="AD19" s="554"/>
      <c r="AE19" s="554"/>
      <c r="AF19" s="554"/>
      <c r="AG19" s="554"/>
      <c r="AH19" s="554"/>
      <c r="AI19" s="554"/>
      <c r="AJ19" s="555"/>
      <c r="AK19" s="541"/>
      <c r="AL19" s="541"/>
      <c r="AM19" s="541"/>
      <c r="AN19" s="536"/>
    </row>
    <row r="20" spans="1:42" s="537" customFormat="1" ht="12.75" customHeight="1">
      <c r="A20" s="541"/>
      <c r="B20" s="541"/>
      <c r="C20" s="541"/>
      <c r="D20" s="552"/>
      <c r="E20" s="2378"/>
      <c r="F20" s="2379"/>
      <c r="G20" s="2379"/>
      <c r="H20" s="2379"/>
      <c r="I20" s="2379"/>
      <c r="J20" s="2379"/>
      <c r="K20" s="2379"/>
      <c r="L20" s="2379"/>
      <c r="M20" s="2379"/>
      <c r="N20" s="2379"/>
      <c r="O20" s="2379"/>
      <c r="P20" s="2379"/>
      <c r="Q20" s="2379"/>
      <c r="R20" s="2379"/>
      <c r="S20" s="2379"/>
      <c r="T20" s="2379"/>
      <c r="U20" s="2379"/>
      <c r="V20" s="2379"/>
      <c r="W20" s="2379"/>
      <c r="X20" s="2379"/>
      <c r="Y20" s="2379"/>
      <c r="Z20" s="2379"/>
      <c r="AA20" s="2379"/>
      <c r="AB20" s="2379"/>
      <c r="AC20" s="2379"/>
      <c r="AD20" s="2379"/>
      <c r="AE20" s="2379"/>
      <c r="AF20" s="2379"/>
      <c r="AG20" s="2379"/>
      <c r="AH20" s="2379"/>
      <c r="AI20" s="2379"/>
      <c r="AJ20" s="2380"/>
      <c r="AK20" s="541"/>
      <c r="AL20" s="541"/>
      <c r="AM20" s="541"/>
      <c r="AN20" s="536"/>
      <c r="AO20" s="551">
        <f>IF($B33="yes",14,0)</f>
        <v>0</v>
      </c>
    </row>
    <row r="21" spans="1:42" s="537" customFormat="1" ht="12.75" customHeight="1">
      <c r="A21" s="541"/>
      <c r="B21" s="541"/>
      <c r="C21" s="541"/>
      <c r="E21" s="541"/>
      <c r="F21" s="541"/>
      <c r="G21" s="541"/>
      <c r="H21" s="541"/>
      <c r="I21" s="541"/>
      <c r="J21" s="541"/>
      <c r="K21" s="541"/>
      <c r="L21" s="541"/>
      <c r="M21" s="541"/>
      <c r="N21" s="541"/>
      <c r="O21" s="541"/>
      <c r="P21" s="541"/>
      <c r="Q21" s="541"/>
      <c r="R21" s="541"/>
      <c r="S21" s="541"/>
      <c r="T21" s="541"/>
      <c r="U21" s="541"/>
      <c r="V21" s="541"/>
      <c r="W21" s="541"/>
      <c r="X21" s="541"/>
      <c r="Y21" s="541"/>
      <c r="Z21" s="541"/>
      <c r="AA21" s="541"/>
      <c r="AB21" s="541"/>
      <c r="AC21" s="541"/>
      <c r="AD21" s="541"/>
      <c r="AE21" s="541"/>
      <c r="AF21" s="541"/>
      <c r="AG21" s="541"/>
      <c r="AH21" s="541"/>
      <c r="AI21" s="541"/>
      <c r="AJ21" s="541"/>
      <c r="AK21" s="541"/>
      <c r="AL21" s="541"/>
      <c r="AM21" s="541"/>
      <c r="AN21" s="536"/>
      <c r="AO21" s="551">
        <f>IF($B36="yes",14,0)</f>
        <v>0</v>
      </c>
      <c r="AP21" s="14"/>
    </row>
    <row r="22" spans="1:42" s="537" customFormat="1" ht="12.75" customHeight="1">
      <c r="A22" s="541"/>
      <c r="B22" s="2336" t="s">
        <v>591</v>
      </c>
      <c r="C22" s="2336"/>
      <c r="D22" s="548"/>
      <c r="E22" s="2372" t="s">
        <v>1309</v>
      </c>
      <c r="F22" s="2373"/>
      <c r="G22" s="2373"/>
      <c r="H22" s="2373"/>
      <c r="I22" s="2373"/>
      <c r="J22" s="2373"/>
      <c r="K22" s="2373"/>
      <c r="L22" s="2373"/>
      <c r="M22" s="2373"/>
      <c r="N22" s="2373"/>
      <c r="O22" s="2373"/>
      <c r="P22" s="2373"/>
      <c r="Q22" s="2373"/>
      <c r="R22" s="2373"/>
      <c r="S22" s="2373"/>
      <c r="T22" s="2373"/>
      <c r="U22" s="2373"/>
      <c r="V22" s="2373"/>
      <c r="W22" s="2373"/>
      <c r="X22" s="2373"/>
      <c r="Y22" s="2373"/>
      <c r="Z22" s="2373"/>
      <c r="AA22" s="2373"/>
      <c r="AB22" s="2373"/>
      <c r="AC22" s="2373"/>
      <c r="AD22" s="2373"/>
      <c r="AE22" s="2373"/>
      <c r="AF22" s="2373"/>
      <c r="AG22" s="2373"/>
      <c r="AH22" s="2373"/>
      <c r="AI22" s="2373"/>
      <c r="AJ22" s="2374"/>
      <c r="AK22" s="541"/>
      <c r="AL22" s="541"/>
      <c r="AM22" s="541"/>
      <c r="AN22" s="536"/>
      <c r="AO22" s="551">
        <f>IF($B40="yes",14,0)</f>
        <v>0</v>
      </c>
    </row>
    <row r="23" spans="1:42" s="537" customFormat="1" ht="12.75" customHeight="1">
      <c r="A23" s="541"/>
      <c r="B23" s="541"/>
      <c r="C23" s="541"/>
      <c r="D23" s="551"/>
      <c r="E23" s="2375"/>
      <c r="F23" s="2376"/>
      <c r="G23" s="2376"/>
      <c r="H23" s="2376"/>
      <c r="I23" s="2376"/>
      <c r="J23" s="2376"/>
      <c r="K23" s="2376"/>
      <c r="L23" s="2376"/>
      <c r="M23" s="2376"/>
      <c r="N23" s="2376"/>
      <c r="O23" s="2376"/>
      <c r="P23" s="2376"/>
      <c r="Q23" s="2376"/>
      <c r="R23" s="2376"/>
      <c r="S23" s="2376"/>
      <c r="T23" s="2376"/>
      <c r="U23" s="2376"/>
      <c r="V23" s="2376"/>
      <c r="W23" s="2376"/>
      <c r="X23" s="2376"/>
      <c r="Y23" s="2376"/>
      <c r="Z23" s="2376"/>
      <c r="AA23" s="2376"/>
      <c r="AB23" s="2376"/>
      <c r="AC23" s="2376"/>
      <c r="AD23" s="2376"/>
      <c r="AE23" s="2376"/>
      <c r="AF23" s="2376"/>
      <c r="AG23" s="2376"/>
      <c r="AH23" s="2376"/>
      <c r="AI23" s="2376"/>
      <c r="AJ23" s="2377"/>
      <c r="AK23" s="541"/>
      <c r="AL23" s="541"/>
      <c r="AM23" s="541"/>
      <c r="AN23" s="536"/>
      <c r="AO23" s="537">
        <f>IF(SUM(AO20:AO22)&gt;14,14,SUM(AO20:AO22))</f>
        <v>0</v>
      </c>
      <c r="AP23" s="537" t="s">
        <v>1307</v>
      </c>
    </row>
    <row r="24" spans="1:42" s="537" customFormat="1" ht="12.75" customHeight="1">
      <c r="A24" s="541"/>
      <c r="B24" s="541"/>
      <c r="C24" s="541"/>
      <c r="D24" s="552"/>
      <c r="E24" s="541"/>
      <c r="F24" s="541"/>
      <c r="G24" s="541"/>
      <c r="H24" s="541"/>
      <c r="I24" s="541"/>
      <c r="J24" s="541"/>
      <c r="K24" s="541"/>
      <c r="L24" s="541"/>
      <c r="M24" s="541"/>
      <c r="N24" s="541"/>
      <c r="O24" s="541"/>
      <c r="P24" s="541"/>
      <c r="Q24" s="541"/>
      <c r="R24" s="541"/>
      <c r="S24" s="541"/>
      <c r="T24" s="541"/>
      <c r="U24" s="541"/>
      <c r="V24" s="541"/>
      <c r="W24" s="541"/>
      <c r="X24" s="541"/>
      <c r="Y24" s="541"/>
      <c r="Z24" s="541"/>
      <c r="AA24" s="541"/>
      <c r="AB24" s="541"/>
      <c r="AC24" s="541"/>
      <c r="AD24" s="541"/>
      <c r="AE24" s="541"/>
      <c r="AF24" s="541"/>
      <c r="AG24" s="541"/>
      <c r="AH24" s="541"/>
      <c r="AI24" s="541"/>
      <c r="AJ24" s="541"/>
      <c r="AK24" s="541"/>
      <c r="AL24" s="541"/>
      <c r="AM24" s="541"/>
      <c r="AN24" s="536"/>
    </row>
    <row r="25" spans="1:42" s="537" customFormat="1" ht="12.75" customHeight="1">
      <c r="A25" s="541"/>
      <c r="B25" s="2336" t="s">
        <v>591</v>
      </c>
      <c r="C25" s="2336"/>
      <c r="D25" s="548"/>
      <c r="E25" s="2337" t="s">
        <v>2034</v>
      </c>
      <c r="F25" s="2338"/>
      <c r="G25" s="2338"/>
      <c r="H25" s="2338"/>
      <c r="I25" s="2338"/>
      <c r="J25" s="2338"/>
      <c r="K25" s="2338"/>
      <c r="L25" s="2338"/>
      <c r="M25" s="2338"/>
      <c r="N25" s="2338"/>
      <c r="O25" s="2338"/>
      <c r="P25" s="2338"/>
      <c r="Q25" s="2338"/>
      <c r="R25" s="2338"/>
      <c r="S25" s="2338"/>
      <c r="T25" s="2338"/>
      <c r="U25" s="2338"/>
      <c r="V25" s="2338"/>
      <c r="W25" s="2338"/>
      <c r="X25" s="2338"/>
      <c r="Y25" s="2338"/>
      <c r="Z25" s="2338"/>
      <c r="AA25" s="2338"/>
      <c r="AB25" s="2338"/>
      <c r="AC25" s="2338"/>
      <c r="AD25" s="2338"/>
      <c r="AE25" s="2338"/>
      <c r="AF25" s="2338"/>
      <c r="AG25" s="2338"/>
      <c r="AH25" s="2338"/>
      <c r="AI25" s="2338"/>
      <c r="AJ25" s="2339"/>
      <c r="AK25" s="541"/>
      <c r="AL25" s="541"/>
      <c r="AM25" s="541"/>
      <c r="AN25" s="536"/>
      <c r="AO25" s="551">
        <f>IF($B45="yes",6,0)</f>
        <v>0</v>
      </c>
    </row>
    <row r="26" spans="1:42" s="537" customFormat="1" ht="12.75" customHeight="1">
      <c r="A26" s="541"/>
      <c r="B26" s="541"/>
      <c r="C26" s="541"/>
      <c r="D26" s="551"/>
      <c r="E26" s="2340"/>
      <c r="F26" s="2341"/>
      <c r="G26" s="2341"/>
      <c r="H26" s="2341"/>
      <c r="I26" s="2341"/>
      <c r="J26" s="2341"/>
      <c r="K26" s="2341"/>
      <c r="L26" s="2341"/>
      <c r="M26" s="2341"/>
      <c r="N26" s="2341"/>
      <c r="O26" s="2341"/>
      <c r="P26" s="2341"/>
      <c r="Q26" s="2341"/>
      <c r="R26" s="2341"/>
      <c r="S26" s="2341"/>
      <c r="T26" s="2341"/>
      <c r="U26" s="2341"/>
      <c r="V26" s="2341"/>
      <c r="W26" s="2341"/>
      <c r="X26" s="2341"/>
      <c r="Y26" s="2341"/>
      <c r="Z26" s="2341"/>
      <c r="AA26" s="2341"/>
      <c r="AB26" s="2341"/>
      <c r="AC26" s="2341"/>
      <c r="AD26" s="2341"/>
      <c r="AE26" s="2341"/>
      <c r="AF26" s="2341"/>
      <c r="AG26" s="2341"/>
      <c r="AH26" s="2341"/>
      <c r="AI26" s="2341"/>
      <c r="AJ26" s="2342"/>
      <c r="AK26" s="541"/>
      <c r="AL26" s="541"/>
      <c r="AM26" s="541"/>
      <c r="AN26" s="536"/>
      <c r="AO26" s="537">
        <f>IF(AO25&gt;6,6,AO25)</f>
        <v>0</v>
      </c>
      <c r="AP26" s="537" t="s">
        <v>1307</v>
      </c>
    </row>
    <row r="27" spans="1:42" s="537" customFormat="1" ht="12.75" customHeight="1">
      <c r="A27" s="541"/>
      <c r="B27" s="541"/>
      <c r="C27" s="541"/>
      <c r="D27" s="551"/>
      <c r="E27" s="541"/>
      <c r="F27" s="541"/>
      <c r="G27" s="541"/>
      <c r="H27" s="541"/>
      <c r="I27" s="541"/>
      <c r="J27" s="541"/>
      <c r="K27" s="541"/>
      <c r="L27" s="541"/>
      <c r="M27" s="541"/>
      <c r="N27" s="541"/>
      <c r="O27" s="541"/>
      <c r="P27" s="541"/>
      <c r="Q27" s="541"/>
      <c r="R27" s="541"/>
      <c r="S27" s="541"/>
      <c r="T27" s="541"/>
      <c r="U27" s="541"/>
      <c r="V27" s="541"/>
      <c r="W27" s="541"/>
      <c r="X27" s="541"/>
      <c r="Y27" s="541"/>
      <c r="Z27" s="541"/>
      <c r="AA27" s="541"/>
      <c r="AB27" s="541"/>
      <c r="AC27" s="541"/>
      <c r="AD27" s="541"/>
      <c r="AE27" s="541"/>
      <c r="AF27" s="541"/>
      <c r="AG27" s="541"/>
      <c r="AH27" s="541"/>
      <c r="AI27" s="541"/>
      <c r="AJ27" s="541"/>
      <c r="AK27" s="541"/>
      <c r="AL27" s="541"/>
      <c r="AM27" s="541"/>
      <c r="AN27" s="536"/>
      <c r="AO27" s="551"/>
    </row>
    <row r="28" spans="1:42" s="537" customFormat="1" ht="12.75" customHeight="1">
      <c r="A28" s="541"/>
      <c r="B28" s="2336" t="s">
        <v>591</v>
      </c>
      <c r="C28" s="2336"/>
      <c r="D28" s="548"/>
      <c r="E28" s="2360" t="s">
        <v>2251</v>
      </c>
      <c r="F28" s="2361"/>
      <c r="G28" s="2361"/>
      <c r="H28" s="2361"/>
      <c r="I28" s="2361"/>
      <c r="J28" s="2361"/>
      <c r="K28" s="2361"/>
      <c r="L28" s="2361"/>
      <c r="M28" s="2361"/>
      <c r="N28" s="2361"/>
      <c r="O28" s="2361"/>
      <c r="P28" s="2361"/>
      <c r="Q28" s="2361"/>
      <c r="R28" s="2361"/>
      <c r="S28" s="2361"/>
      <c r="T28" s="2361"/>
      <c r="U28" s="2361"/>
      <c r="V28" s="2361"/>
      <c r="W28" s="2361"/>
      <c r="X28" s="2361"/>
      <c r="Y28" s="2361"/>
      <c r="Z28" s="2361"/>
      <c r="AA28" s="2361"/>
      <c r="AB28" s="2361"/>
      <c r="AC28" s="2361"/>
      <c r="AD28" s="2361"/>
      <c r="AE28" s="2361"/>
      <c r="AF28" s="2361"/>
      <c r="AG28" s="2361"/>
      <c r="AH28" s="2361"/>
      <c r="AI28" s="2361"/>
      <c r="AJ28" s="2362"/>
      <c r="AK28" s="541"/>
      <c r="AL28" s="541"/>
      <c r="AM28" s="541"/>
      <c r="AN28" s="536"/>
      <c r="AO28" s="551"/>
    </row>
    <row r="29" spans="1:42" s="537" customFormat="1" ht="12.75" customHeight="1">
      <c r="A29" s="541"/>
      <c r="B29" s="541"/>
      <c r="C29" s="541"/>
      <c r="D29" s="551"/>
      <c r="E29" s="541"/>
      <c r="F29" s="541"/>
      <c r="G29" s="541"/>
      <c r="H29" s="541"/>
      <c r="I29" s="541"/>
      <c r="J29" s="541"/>
      <c r="K29" s="541"/>
      <c r="L29" s="541"/>
      <c r="M29" s="541"/>
      <c r="N29" s="541"/>
      <c r="O29" s="541"/>
      <c r="P29" s="541"/>
      <c r="Q29" s="541"/>
      <c r="R29" s="541"/>
      <c r="S29" s="541"/>
      <c r="T29" s="541"/>
      <c r="U29" s="541"/>
      <c r="V29" s="541"/>
      <c r="W29" s="541"/>
      <c r="X29" s="541"/>
      <c r="Y29" s="541"/>
      <c r="Z29" s="541"/>
      <c r="AA29" s="541"/>
      <c r="AB29" s="541"/>
      <c r="AC29" s="541"/>
      <c r="AD29" s="541"/>
      <c r="AE29" s="541"/>
      <c r="AF29" s="541"/>
      <c r="AG29" s="541"/>
      <c r="AH29" s="541"/>
      <c r="AI29" s="541"/>
      <c r="AJ29" s="541"/>
      <c r="AK29" s="541"/>
      <c r="AL29" s="541"/>
      <c r="AM29" s="541"/>
      <c r="AN29" s="536"/>
      <c r="AO29" s="551"/>
    </row>
    <row r="30" spans="1:42" s="537" customFormat="1" ht="12.75" customHeight="1">
      <c r="A30" s="541"/>
      <c r="B30" s="541"/>
      <c r="C30" s="541"/>
      <c r="D30" s="551"/>
      <c r="E30" s="541"/>
      <c r="F30" s="541"/>
      <c r="G30" s="541"/>
      <c r="H30" s="541"/>
      <c r="I30" s="541"/>
      <c r="J30" s="541"/>
      <c r="K30" s="541"/>
      <c r="L30" s="541"/>
      <c r="M30" s="541"/>
      <c r="N30" s="541"/>
      <c r="O30" s="541"/>
      <c r="P30" s="541"/>
      <c r="Q30" s="541"/>
      <c r="R30" s="541"/>
      <c r="S30" s="541"/>
      <c r="T30" s="541"/>
      <c r="U30" s="541"/>
      <c r="V30" s="541"/>
      <c r="W30" s="541"/>
      <c r="X30" s="541"/>
      <c r="Y30" s="541"/>
      <c r="Z30" s="541"/>
      <c r="AA30" s="541"/>
      <c r="AB30" s="541"/>
      <c r="AC30" s="541"/>
      <c r="AD30" s="541"/>
      <c r="AE30" s="541"/>
      <c r="AF30" s="541"/>
      <c r="AG30" s="541"/>
      <c r="AH30" s="541"/>
      <c r="AI30" s="541"/>
      <c r="AJ30" s="541"/>
      <c r="AK30" s="541"/>
      <c r="AL30" s="541"/>
      <c r="AM30" s="541"/>
      <c r="AN30" s="536"/>
      <c r="AO30" s="551"/>
    </row>
    <row r="31" spans="1:42" s="537" customFormat="1" ht="12.75" customHeight="1">
      <c r="A31" s="541"/>
      <c r="C31" s="545" t="s">
        <v>2008</v>
      </c>
      <c r="E31" s="541"/>
      <c r="F31" s="541"/>
      <c r="G31" s="541"/>
      <c r="H31" s="541"/>
      <c r="I31" s="541"/>
      <c r="J31" s="541"/>
      <c r="K31" s="541"/>
      <c r="L31" s="541"/>
      <c r="M31" s="541"/>
      <c r="N31" s="541"/>
      <c r="O31" s="541"/>
      <c r="P31" s="541"/>
      <c r="Q31" s="541"/>
      <c r="R31" s="541"/>
      <c r="S31" s="541"/>
      <c r="T31" s="541"/>
      <c r="U31" s="541"/>
      <c r="V31" s="541"/>
      <c r="W31" s="541"/>
      <c r="X31" s="541"/>
      <c r="Y31" s="541"/>
      <c r="Z31" s="541"/>
      <c r="AA31" s="541"/>
      <c r="AB31" s="541"/>
      <c r="AC31" s="541"/>
      <c r="AD31" s="541"/>
      <c r="AE31" s="541"/>
      <c r="AF31" s="541"/>
      <c r="AG31" s="541"/>
      <c r="AH31" s="541"/>
      <c r="AI31" s="541"/>
      <c r="AJ31" s="541"/>
      <c r="AK31" s="541"/>
      <c r="AL31" s="541"/>
      <c r="AM31" s="541"/>
      <c r="AN31" s="536"/>
      <c r="AO31" s="551">
        <f>IF(AND(B52="Yes",B56="Yes",B58="Yes"),20,0)</f>
        <v>0</v>
      </c>
    </row>
    <row r="32" spans="1:42" s="537" customFormat="1" ht="12.75" customHeight="1">
      <c r="A32" s="541"/>
      <c r="B32" s="541"/>
      <c r="C32" s="541"/>
      <c r="E32" s="541"/>
      <c r="F32" s="541"/>
      <c r="G32" s="541"/>
      <c r="H32" s="541"/>
      <c r="I32" s="541"/>
      <c r="J32" s="541"/>
      <c r="K32" s="541"/>
      <c r="L32" s="541"/>
      <c r="M32" s="541"/>
      <c r="N32" s="541"/>
      <c r="O32" s="541"/>
      <c r="P32" s="541"/>
      <c r="Q32" s="541"/>
      <c r="R32" s="541"/>
      <c r="S32" s="541"/>
      <c r="T32" s="541"/>
      <c r="U32" s="541"/>
      <c r="V32" s="541"/>
      <c r="W32" s="541"/>
      <c r="X32" s="541"/>
      <c r="Y32" s="541"/>
      <c r="Z32" s="541"/>
      <c r="AA32" s="541"/>
      <c r="AB32" s="541"/>
      <c r="AC32" s="541"/>
      <c r="AD32" s="541"/>
      <c r="AE32" s="541"/>
      <c r="AF32" s="541"/>
      <c r="AG32" s="541"/>
      <c r="AH32" s="541"/>
      <c r="AI32" s="541"/>
      <c r="AJ32" s="541"/>
      <c r="AK32" s="541"/>
      <c r="AL32" s="541"/>
      <c r="AM32" s="541"/>
      <c r="AN32" s="536"/>
      <c r="AO32" s="537">
        <f>IF(AO31&gt;20,20,AO31)</f>
        <v>0</v>
      </c>
      <c r="AP32" s="537" t="s">
        <v>1307</v>
      </c>
    </row>
    <row r="33" spans="1:41" s="537" customFormat="1" ht="12.75" customHeight="1">
      <c r="A33" s="541"/>
      <c r="B33" s="2336" t="s">
        <v>591</v>
      </c>
      <c r="C33" s="2336"/>
      <c r="D33" s="548"/>
      <c r="E33" s="2372" t="s">
        <v>2253</v>
      </c>
      <c r="F33" s="2373"/>
      <c r="G33" s="2373"/>
      <c r="H33" s="2373"/>
      <c r="I33" s="2373"/>
      <c r="J33" s="2373"/>
      <c r="K33" s="2373"/>
      <c r="L33" s="2373"/>
      <c r="M33" s="2373"/>
      <c r="N33" s="2373"/>
      <c r="O33" s="2373"/>
      <c r="P33" s="2373"/>
      <c r="Q33" s="2373"/>
      <c r="R33" s="2373"/>
      <c r="S33" s="2373"/>
      <c r="T33" s="2373"/>
      <c r="U33" s="2373"/>
      <c r="V33" s="2373"/>
      <c r="W33" s="2373"/>
      <c r="X33" s="2373"/>
      <c r="Y33" s="2373"/>
      <c r="Z33" s="2373"/>
      <c r="AA33" s="2373"/>
      <c r="AB33" s="2373"/>
      <c r="AC33" s="2373"/>
      <c r="AD33" s="2373"/>
      <c r="AE33" s="2373"/>
      <c r="AF33" s="2373"/>
      <c r="AG33" s="2373"/>
      <c r="AH33" s="2373"/>
      <c r="AI33" s="2373"/>
      <c r="AJ33" s="2374"/>
      <c r="AK33" s="541"/>
      <c r="AL33" s="541"/>
      <c r="AM33" s="541"/>
      <c r="AN33" s="536"/>
      <c r="AO33" s="551"/>
    </row>
    <row r="34" spans="1:41" s="537" customFormat="1" ht="12.75" customHeight="1">
      <c r="A34" s="541"/>
      <c r="B34" s="541"/>
      <c r="C34" s="541"/>
      <c r="E34" s="2375"/>
      <c r="F34" s="2376"/>
      <c r="G34" s="2376"/>
      <c r="H34" s="2376"/>
      <c r="I34" s="2376"/>
      <c r="J34" s="2376"/>
      <c r="K34" s="2376"/>
      <c r="L34" s="2376"/>
      <c r="M34" s="2376"/>
      <c r="N34" s="2376"/>
      <c r="O34" s="2376"/>
      <c r="P34" s="2376"/>
      <c r="Q34" s="2376"/>
      <c r="R34" s="2376"/>
      <c r="S34" s="2376"/>
      <c r="T34" s="2376"/>
      <c r="U34" s="2376"/>
      <c r="V34" s="2376"/>
      <c r="W34" s="2376"/>
      <c r="X34" s="2376"/>
      <c r="Y34" s="2376"/>
      <c r="Z34" s="2376"/>
      <c r="AA34" s="2376"/>
      <c r="AB34" s="2376"/>
      <c r="AC34" s="2376"/>
      <c r="AD34" s="2376"/>
      <c r="AE34" s="2376"/>
      <c r="AF34" s="2376"/>
      <c r="AG34" s="2376"/>
      <c r="AH34" s="2376"/>
      <c r="AI34" s="2376"/>
      <c r="AJ34" s="2377"/>
      <c r="AK34" s="541"/>
      <c r="AL34" s="541"/>
      <c r="AM34" s="541"/>
      <c r="AN34" s="536"/>
    </row>
    <row r="35" spans="1:41" s="537" customFormat="1" ht="12.75" customHeight="1">
      <c r="A35" s="541"/>
      <c r="B35" s="541"/>
      <c r="C35" s="541"/>
      <c r="F35" s="907"/>
      <c r="G35" s="907"/>
      <c r="H35" s="907"/>
      <c r="I35" s="907"/>
      <c r="J35" s="907"/>
      <c r="K35" s="907"/>
      <c r="L35" s="907"/>
      <c r="M35" s="907"/>
      <c r="N35" s="907"/>
      <c r="O35" s="907"/>
      <c r="P35" s="907"/>
      <c r="Q35" s="907"/>
      <c r="R35" s="907"/>
      <c r="S35" s="907"/>
      <c r="T35" s="907"/>
      <c r="U35" s="907"/>
      <c r="V35" s="907"/>
      <c r="W35" s="907"/>
      <c r="X35" s="907"/>
      <c r="Y35" s="907"/>
      <c r="Z35" s="907"/>
      <c r="AA35" s="907"/>
      <c r="AB35" s="907"/>
      <c r="AC35" s="907"/>
      <c r="AD35" s="907"/>
      <c r="AE35" s="907"/>
      <c r="AF35" s="907"/>
      <c r="AG35" s="907"/>
      <c r="AH35" s="907"/>
      <c r="AI35" s="907"/>
      <c r="AJ35" s="907"/>
      <c r="AK35" s="541"/>
      <c r="AL35" s="541"/>
      <c r="AM35" s="541"/>
      <c r="AN35" s="536"/>
    </row>
    <row r="36" spans="1:41" s="537" customFormat="1" ht="12.75" customHeight="1">
      <c r="A36" s="541"/>
      <c r="B36" s="2336" t="s">
        <v>591</v>
      </c>
      <c r="C36" s="2336"/>
      <c r="D36" s="548"/>
      <c r="E36" s="2337" t="s">
        <v>2254</v>
      </c>
      <c r="F36" s="2338"/>
      <c r="G36" s="2338"/>
      <c r="H36" s="2338"/>
      <c r="I36" s="2338"/>
      <c r="J36" s="2338"/>
      <c r="K36" s="2338"/>
      <c r="L36" s="2338"/>
      <c r="M36" s="2338"/>
      <c r="N36" s="2338"/>
      <c r="O36" s="2338"/>
      <c r="P36" s="2338"/>
      <c r="Q36" s="2338"/>
      <c r="R36" s="2338"/>
      <c r="S36" s="2338"/>
      <c r="T36" s="2338"/>
      <c r="U36" s="2338"/>
      <c r="V36" s="2338"/>
      <c r="W36" s="2338"/>
      <c r="X36" s="2338"/>
      <c r="Y36" s="2338"/>
      <c r="Z36" s="2338"/>
      <c r="AA36" s="2338"/>
      <c r="AB36" s="2338"/>
      <c r="AC36" s="2338"/>
      <c r="AD36" s="2338"/>
      <c r="AE36" s="2338"/>
      <c r="AF36" s="2338"/>
      <c r="AG36" s="2338"/>
      <c r="AH36" s="2338"/>
      <c r="AI36" s="2338"/>
      <c r="AJ36" s="2339"/>
      <c r="AK36" s="541"/>
      <c r="AL36" s="541"/>
      <c r="AM36" s="541"/>
      <c r="AN36" s="536"/>
    </row>
    <row r="37" spans="1:41" s="537" customFormat="1" ht="12.75" customHeight="1">
      <c r="A37" s="541"/>
      <c r="B37" s="541"/>
      <c r="C37" s="541"/>
      <c r="E37" s="2343"/>
      <c r="F37" s="2344"/>
      <c r="G37" s="2344"/>
      <c r="H37" s="2344"/>
      <c r="I37" s="2344"/>
      <c r="J37" s="2344"/>
      <c r="K37" s="2344"/>
      <c r="L37" s="2344"/>
      <c r="M37" s="2344"/>
      <c r="N37" s="2344"/>
      <c r="O37" s="2344"/>
      <c r="P37" s="2344"/>
      <c r="Q37" s="2344"/>
      <c r="R37" s="2344"/>
      <c r="S37" s="2344"/>
      <c r="T37" s="2344"/>
      <c r="U37" s="2344"/>
      <c r="V37" s="2344"/>
      <c r="W37" s="2344"/>
      <c r="X37" s="2344"/>
      <c r="Y37" s="2344"/>
      <c r="Z37" s="2344"/>
      <c r="AA37" s="2344"/>
      <c r="AB37" s="2344"/>
      <c r="AC37" s="2344"/>
      <c r="AD37" s="2344"/>
      <c r="AE37" s="2344"/>
      <c r="AF37" s="2344"/>
      <c r="AG37" s="2344"/>
      <c r="AH37" s="2344"/>
      <c r="AI37" s="2344"/>
      <c r="AJ37" s="2345"/>
      <c r="AK37" s="541"/>
      <c r="AL37" s="541"/>
      <c r="AM37" s="541"/>
      <c r="AN37" s="536"/>
    </row>
    <row r="38" spans="1:41" s="537" customFormat="1" ht="12.75" customHeight="1">
      <c r="A38" s="541"/>
      <c r="B38" s="541"/>
      <c r="C38" s="541"/>
      <c r="E38" s="2340"/>
      <c r="F38" s="2341"/>
      <c r="G38" s="2341"/>
      <c r="H38" s="2341"/>
      <c r="I38" s="2341"/>
      <c r="J38" s="2341"/>
      <c r="K38" s="2341"/>
      <c r="L38" s="2341"/>
      <c r="M38" s="2341"/>
      <c r="N38" s="2341"/>
      <c r="O38" s="2341"/>
      <c r="P38" s="2341"/>
      <c r="Q38" s="2341"/>
      <c r="R38" s="2341"/>
      <c r="S38" s="2341"/>
      <c r="T38" s="2341"/>
      <c r="U38" s="2341"/>
      <c r="V38" s="2341"/>
      <c r="W38" s="2341"/>
      <c r="X38" s="2341"/>
      <c r="Y38" s="2341"/>
      <c r="Z38" s="2341"/>
      <c r="AA38" s="2341"/>
      <c r="AB38" s="2341"/>
      <c r="AC38" s="2341"/>
      <c r="AD38" s="2341"/>
      <c r="AE38" s="2341"/>
      <c r="AF38" s="2341"/>
      <c r="AG38" s="2341"/>
      <c r="AH38" s="2341"/>
      <c r="AI38" s="2341"/>
      <c r="AJ38" s="2342"/>
      <c r="AK38" s="541"/>
      <c r="AL38" s="541"/>
      <c r="AM38" s="541"/>
      <c r="AN38" s="536"/>
    </row>
    <row r="39" spans="1:41" s="537" customFormat="1" ht="12.75" customHeight="1">
      <c r="A39" s="541"/>
      <c r="B39" s="541"/>
      <c r="C39" s="541"/>
      <c r="E39" s="541"/>
      <c r="F39" s="541"/>
      <c r="G39" s="541"/>
      <c r="H39" s="541"/>
      <c r="I39" s="541"/>
      <c r="J39" s="541"/>
      <c r="K39" s="541"/>
      <c r="L39" s="541"/>
      <c r="M39" s="541"/>
      <c r="N39" s="541"/>
      <c r="O39" s="541"/>
      <c r="P39" s="541"/>
      <c r="Q39" s="541"/>
      <c r="R39" s="541"/>
      <c r="S39" s="541"/>
      <c r="T39" s="541"/>
      <c r="U39" s="541"/>
      <c r="V39" s="541"/>
      <c r="W39" s="541"/>
      <c r="X39" s="541"/>
      <c r="Y39" s="541"/>
      <c r="Z39" s="541"/>
      <c r="AA39" s="541"/>
      <c r="AB39" s="541"/>
      <c r="AC39" s="541"/>
      <c r="AD39" s="541"/>
      <c r="AE39" s="541"/>
      <c r="AF39" s="541"/>
      <c r="AG39" s="541"/>
      <c r="AH39" s="541"/>
      <c r="AI39" s="541"/>
      <c r="AJ39" s="541"/>
      <c r="AK39" s="541"/>
      <c r="AL39" s="541"/>
      <c r="AM39" s="541"/>
      <c r="AN39" s="536"/>
      <c r="AO39" s="537">
        <f>MAX(AO18,AO23,AO26,AO32)</f>
        <v>0</v>
      </c>
    </row>
    <row r="40" spans="1:41" s="537" customFormat="1" ht="12.75" customHeight="1">
      <c r="A40" s="541"/>
      <c r="B40" s="2336" t="s">
        <v>591</v>
      </c>
      <c r="C40" s="2336"/>
      <c r="D40" s="548"/>
      <c r="E40" s="2337" t="s">
        <v>2252</v>
      </c>
      <c r="F40" s="2338"/>
      <c r="G40" s="2338"/>
      <c r="H40" s="2338"/>
      <c r="I40" s="2338"/>
      <c r="J40" s="2338"/>
      <c r="K40" s="2338"/>
      <c r="L40" s="2338"/>
      <c r="M40" s="2338"/>
      <c r="N40" s="2338"/>
      <c r="O40" s="2338"/>
      <c r="P40" s="2338"/>
      <c r="Q40" s="2338"/>
      <c r="R40" s="2338"/>
      <c r="S40" s="2338"/>
      <c r="T40" s="2338"/>
      <c r="U40" s="2338"/>
      <c r="V40" s="2338"/>
      <c r="W40" s="2338"/>
      <c r="X40" s="2338"/>
      <c r="Y40" s="2338"/>
      <c r="Z40" s="2338"/>
      <c r="AA40" s="2338"/>
      <c r="AB40" s="2338"/>
      <c r="AC40" s="2338"/>
      <c r="AD40" s="2338"/>
      <c r="AE40" s="2338"/>
      <c r="AF40" s="2338"/>
      <c r="AG40" s="2338"/>
      <c r="AH40" s="2338"/>
      <c r="AI40" s="2338"/>
      <c r="AJ40" s="2339"/>
      <c r="AK40" s="541"/>
      <c r="AL40" s="541"/>
      <c r="AM40" s="541"/>
      <c r="AN40" s="536"/>
    </row>
    <row r="41" spans="1:41" s="537" customFormat="1" ht="12.75" customHeight="1">
      <c r="A41" s="541"/>
      <c r="B41" s="541"/>
      <c r="C41" s="541"/>
      <c r="E41" s="2340"/>
      <c r="F41" s="2341"/>
      <c r="G41" s="2341"/>
      <c r="H41" s="2341"/>
      <c r="I41" s="2341"/>
      <c r="J41" s="2341"/>
      <c r="K41" s="2341"/>
      <c r="L41" s="2341"/>
      <c r="M41" s="2341"/>
      <c r="N41" s="2341"/>
      <c r="O41" s="2341"/>
      <c r="P41" s="2341"/>
      <c r="Q41" s="2341"/>
      <c r="R41" s="2341"/>
      <c r="S41" s="2341"/>
      <c r="T41" s="2341"/>
      <c r="U41" s="2341"/>
      <c r="V41" s="2341"/>
      <c r="W41" s="2341"/>
      <c r="X41" s="2341"/>
      <c r="Y41" s="2341"/>
      <c r="Z41" s="2341"/>
      <c r="AA41" s="2341"/>
      <c r="AB41" s="2341"/>
      <c r="AC41" s="2341"/>
      <c r="AD41" s="2341"/>
      <c r="AE41" s="2341"/>
      <c r="AF41" s="2341"/>
      <c r="AG41" s="2341"/>
      <c r="AH41" s="2341"/>
      <c r="AI41" s="2341"/>
      <c r="AJ41" s="2342"/>
      <c r="AK41" s="541"/>
      <c r="AL41" s="541"/>
      <c r="AM41" s="541"/>
      <c r="AN41" s="536"/>
    </row>
    <row r="42" spans="1:41" s="537" customFormat="1" ht="12.75" customHeight="1">
      <c r="A42" s="541"/>
      <c r="B42" s="541"/>
      <c r="C42" s="541"/>
      <c r="E42" s="541"/>
      <c r="F42" s="541"/>
      <c r="G42" s="541"/>
      <c r="H42" s="541"/>
      <c r="I42" s="541"/>
      <c r="J42" s="541"/>
      <c r="K42" s="541"/>
      <c r="L42" s="541"/>
      <c r="M42" s="541"/>
      <c r="N42" s="541"/>
      <c r="O42" s="541"/>
      <c r="P42" s="541"/>
      <c r="Q42" s="541"/>
      <c r="R42" s="541"/>
      <c r="S42" s="541"/>
      <c r="T42" s="541"/>
      <c r="U42" s="541"/>
      <c r="V42" s="541"/>
      <c r="W42" s="541"/>
      <c r="X42" s="541"/>
      <c r="Y42" s="541"/>
      <c r="Z42" s="541"/>
      <c r="AA42" s="541"/>
      <c r="AB42" s="541"/>
      <c r="AC42" s="541"/>
      <c r="AD42" s="541"/>
      <c r="AE42" s="541"/>
      <c r="AF42" s="541"/>
      <c r="AG42" s="541"/>
      <c r="AH42" s="541"/>
      <c r="AI42" s="541"/>
      <c r="AJ42" s="541"/>
      <c r="AK42" s="541"/>
      <c r="AL42" s="541"/>
      <c r="AM42" s="541"/>
      <c r="AN42" s="536"/>
      <c r="AO42" s="537">
        <f>MAX(AO18,AO23,AO26,AO32)</f>
        <v>0</v>
      </c>
    </row>
    <row r="43" spans="1:41" s="537" customFormat="1" ht="12.75" customHeight="1">
      <c r="A43" s="541"/>
      <c r="C43" s="545" t="s">
        <v>2010</v>
      </c>
      <c r="E43" s="541"/>
      <c r="F43" s="541"/>
      <c r="G43" s="541"/>
      <c r="H43" s="541"/>
      <c r="I43" s="541"/>
      <c r="J43" s="541"/>
      <c r="K43" s="541"/>
      <c r="L43" s="541"/>
      <c r="M43" s="541"/>
      <c r="N43" s="541"/>
      <c r="O43" s="541"/>
      <c r="P43" s="541"/>
      <c r="Q43" s="541"/>
      <c r="R43" s="541"/>
      <c r="S43" s="541"/>
      <c r="T43" s="541"/>
      <c r="U43" s="541"/>
      <c r="V43" s="541"/>
      <c r="W43" s="541"/>
      <c r="X43" s="541"/>
      <c r="Y43" s="541"/>
      <c r="Z43" s="541"/>
      <c r="AA43" s="541"/>
      <c r="AB43" s="541"/>
      <c r="AC43" s="541"/>
      <c r="AD43" s="541"/>
      <c r="AE43" s="541"/>
      <c r="AF43" s="541"/>
      <c r="AG43" s="541"/>
      <c r="AH43" s="541"/>
      <c r="AI43" s="541"/>
      <c r="AJ43" s="541"/>
      <c r="AK43" s="541"/>
      <c r="AL43" s="541"/>
      <c r="AM43" s="541"/>
      <c r="AN43" s="536"/>
    </row>
    <row r="44" spans="1:41" s="537" customFormat="1" ht="12.75" customHeight="1">
      <c r="A44" s="541"/>
      <c r="C44" s="1144"/>
      <c r="D44" s="1144"/>
      <c r="E44" s="1144"/>
      <c r="F44" s="1144"/>
      <c r="G44" s="1144"/>
      <c r="H44" s="1144"/>
      <c r="I44" s="1144"/>
      <c r="J44" s="1144"/>
      <c r="K44" s="1144"/>
      <c r="L44" s="1144"/>
      <c r="M44" s="1144"/>
      <c r="N44" s="1144"/>
      <c r="O44" s="1144"/>
      <c r="P44" s="1144"/>
      <c r="Q44" s="1144"/>
      <c r="R44" s="1144"/>
      <c r="S44" s="1144"/>
      <c r="T44" s="1144"/>
      <c r="U44" s="1144"/>
      <c r="V44" s="1144"/>
      <c r="W44" s="1144"/>
      <c r="X44" s="1144"/>
      <c r="Y44" s="1144"/>
      <c r="Z44" s="1144"/>
      <c r="AA44" s="1144"/>
      <c r="AB44" s="1144"/>
      <c r="AC44" s="1144"/>
      <c r="AD44" s="1144"/>
      <c r="AE44" s="1144"/>
      <c r="AF44" s="1144"/>
      <c r="AG44" s="1144"/>
      <c r="AH44" s="1144"/>
      <c r="AI44" s="1144"/>
      <c r="AJ44" s="1144"/>
      <c r="AK44" s="1144"/>
      <c r="AL44" s="541"/>
      <c r="AM44" s="541"/>
      <c r="AN44" s="536"/>
    </row>
    <row r="45" spans="1:41" s="537" customFormat="1" ht="12.75" customHeight="1">
      <c r="A45" s="541"/>
      <c r="B45" s="2336" t="s">
        <v>591</v>
      </c>
      <c r="C45" s="2336"/>
      <c r="D45" s="1144"/>
      <c r="E45" s="2337" t="s">
        <v>2009</v>
      </c>
      <c r="F45" s="2338"/>
      <c r="G45" s="2338"/>
      <c r="H45" s="2338"/>
      <c r="I45" s="2338"/>
      <c r="J45" s="2338"/>
      <c r="K45" s="2338"/>
      <c r="L45" s="2338"/>
      <c r="M45" s="2338"/>
      <c r="N45" s="2338"/>
      <c r="O45" s="2338"/>
      <c r="P45" s="2338"/>
      <c r="Q45" s="2338"/>
      <c r="R45" s="2338"/>
      <c r="S45" s="2338"/>
      <c r="T45" s="2338"/>
      <c r="U45" s="2338"/>
      <c r="V45" s="2338"/>
      <c r="W45" s="2338"/>
      <c r="X45" s="2338"/>
      <c r="Y45" s="2338"/>
      <c r="Z45" s="2338"/>
      <c r="AA45" s="2338"/>
      <c r="AB45" s="2338"/>
      <c r="AC45" s="2338"/>
      <c r="AD45" s="2338"/>
      <c r="AE45" s="2338"/>
      <c r="AF45" s="2338"/>
      <c r="AG45" s="2338"/>
      <c r="AH45" s="2338"/>
      <c r="AI45" s="2338"/>
      <c r="AJ45" s="2339"/>
      <c r="AK45" s="1144"/>
      <c r="AL45" s="541"/>
      <c r="AM45" s="541"/>
      <c r="AN45" s="536"/>
    </row>
    <row r="46" spans="1:41" s="537" customFormat="1" ht="12.75" customHeight="1">
      <c r="A46" s="541"/>
      <c r="B46" s="541"/>
      <c r="C46" s="541"/>
      <c r="E46" s="2343"/>
      <c r="F46" s="2344"/>
      <c r="G46" s="2344"/>
      <c r="H46" s="2344"/>
      <c r="I46" s="2344"/>
      <c r="J46" s="2344"/>
      <c r="K46" s="2344"/>
      <c r="L46" s="2344"/>
      <c r="M46" s="2344"/>
      <c r="N46" s="2344"/>
      <c r="O46" s="2344"/>
      <c r="P46" s="2344"/>
      <c r="Q46" s="2344"/>
      <c r="R46" s="2344"/>
      <c r="S46" s="2344"/>
      <c r="T46" s="2344"/>
      <c r="U46" s="2344"/>
      <c r="V46" s="2344"/>
      <c r="W46" s="2344"/>
      <c r="X46" s="2344"/>
      <c r="Y46" s="2344"/>
      <c r="Z46" s="2344"/>
      <c r="AA46" s="2344"/>
      <c r="AB46" s="2344"/>
      <c r="AC46" s="2344"/>
      <c r="AD46" s="2344"/>
      <c r="AE46" s="2344"/>
      <c r="AF46" s="2344"/>
      <c r="AG46" s="2344"/>
      <c r="AH46" s="2344"/>
      <c r="AI46" s="2344"/>
      <c r="AJ46" s="2345"/>
      <c r="AK46" s="541"/>
      <c r="AL46" s="541"/>
      <c r="AM46" s="541"/>
      <c r="AN46" s="536"/>
    </row>
    <row r="47" spans="1:41" s="537" customFormat="1" ht="12.75" customHeight="1">
      <c r="A47" s="541"/>
      <c r="D47" s="548"/>
      <c r="E47" s="2340"/>
      <c r="F47" s="2341"/>
      <c r="G47" s="2341"/>
      <c r="H47" s="2341"/>
      <c r="I47" s="2341"/>
      <c r="J47" s="2341"/>
      <c r="K47" s="2341"/>
      <c r="L47" s="2341"/>
      <c r="M47" s="2341"/>
      <c r="N47" s="2341"/>
      <c r="O47" s="2341"/>
      <c r="P47" s="2341"/>
      <c r="Q47" s="2341"/>
      <c r="R47" s="2341"/>
      <c r="S47" s="2341"/>
      <c r="T47" s="2341"/>
      <c r="U47" s="2341"/>
      <c r="V47" s="2341"/>
      <c r="W47" s="2341"/>
      <c r="X47" s="2341"/>
      <c r="Y47" s="2341"/>
      <c r="Z47" s="2341"/>
      <c r="AA47" s="2341"/>
      <c r="AB47" s="2341"/>
      <c r="AC47" s="2341"/>
      <c r="AD47" s="2341"/>
      <c r="AE47" s="2341"/>
      <c r="AF47" s="2341"/>
      <c r="AG47" s="2341"/>
      <c r="AH47" s="2341"/>
      <c r="AI47" s="2341"/>
      <c r="AJ47" s="2342"/>
      <c r="AK47" s="541"/>
      <c r="AL47" s="541"/>
      <c r="AM47" s="541"/>
      <c r="AN47" s="536"/>
      <c r="AO47" s="557"/>
    </row>
    <row r="48" spans="1:41" s="537" customFormat="1" ht="12.75" customHeight="1">
      <c r="A48" s="541"/>
      <c r="B48" s="541"/>
      <c r="C48" s="541"/>
      <c r="E48" s="541"/>
      <c r="F48" s="541"/>
      <c r="G48" s="541"/>
      <c r="H48" s="541"/>
      <c r="I48" s="541"/>
      <c r="J48" s="541"/>
      <c r="K48" s="541"/>
      <c r="L48" s="541"/>
      <c r="M48" s="541"/>
      <c r="N48" s="541"/>
      <c r="O48" s="541"/>
      <c r="P48" s="541"/>
      <c r="Q48" s="541"/>
      <c r="R48" s="541"/>
      <c r="S48" s="541"/>
      <c r="T48" s="541"/>
      <c r="U48" s="541"/>
      <c r="V48" s="541"/>
      <c r="W48" s="541"/>
      <c r="X48" s="541"/>
      <c r="Y48" s="541"/>
      <c r="Z48" s="541"/>
      <c r="AA48" s="541"/>
      <c r="AB48" s="541"/>
      <c r="AC48" s="541"/>
      <c r="AD48" s="541"/>
      <c r="AE48" s="541"/>
      <c r="AF48" s="541"/>
      <c r="AG48" s="541"/>
      <c r="AH48" s="541"/>
      <c r="AI48" s="541"/>
      <c r="AJ48" s="541"/>
      <c r="AK48" s="541"/>
      <c r="AL48" s="541"/>
      <c r="AM48" s="541"/>
      <c r="AN48" s="536"/>
      <c r="AO48" s="557"/>
    </row>
    <row r="49" spans="1:50" s="537" customFormat="1" ht="12.75" customHeight="1">
      <c r="A49" s="540"/>
      <c r="B49" s="540" t="s">
        <v>2012</v>
      </c>
      <c r="C49" s="548"/>
      <c r="D49" s="548"/>
      <c r="E49" s="558"/>
      <c r="F49" s="541"/>
      <c r="G49" s="541"/>
      <c r="H49" s="541"/>
      <c r="I49" s="541"/>
      <c r="J49" s="541"/>
      <c r="K49" s="541"/>
      <c r="L49" s="541"/>
      <c r="M49" s="541"/>
      <c r="N49" s="541"/>
      <c r="O49" s="541"/>
      <c r="P49" s="541"/>
      <c r="Q49" s="541"/>
      <c r="R49" s="541"/>
      <c r="S49" s="541"/>
      <c r="T49" s="541"/>
      <c r="U49" s="541"/>
      <c r="V49" s="541"/>
      <c r="W49" s="541"/>
      <c r="X49" s="541"/>
      <c r="Y49" s="541"/>
      <c r="Z49" s="541"/>
      <c r="AA49" s="541"/>
      <c r="AB49" s="541"/>
      <c r="AC49" s="541"/>
      <c r="AD49" s="541"/>
      <c r="AE49" s="541"/>
      <c r="AF49" s="541"/>
      <c r="AG49" s="541"/>
      <c r="AH49" s="541"/>
      <c r="AI49" s="541"/>
      <c r="AJ49" s="541"/>
      <c r="AK49" s="541"/>
      <c r="AL49" s="541"/>
      <c r="AM49" s="541"/>
      <c r="AN49" s="536"/>
      <c r="AO49" s="557"/>
    </row>
    <row r="50" spans="1:50" s="537" customFormat="1" ht="12.75" customHeight="1">
      <c r="A50" s="541"/>
      <c r="B50" s="541"/>
      <c r="C50" s="1143" t="s">
        <v>2013</v>
      </c>
      <c r="D50" s="541"/>
      <c r="E50" s="541"/>
      <c r="F50" s="541"/>
      <c r="G50" s="541"/>
      <c r="H50" s="541"/>
      <c r="I50" s="541"/>
      <c r="J50" s="541"/>
      <c r="K50" s="541"/>
      <c r="L50" s="541"/>
      <c r="M50" s="541"/>
      <c r="N50" s="541"/>
      <c r="O50" s="541"/>
      <c r="P50" s="541"/>
      <c r="Q50" s="541"/>
      <c r="R50" s="541"/>
      <c r="S50" s="541"/>
      <c r="T50" s="541"/>
      <c r="U50" s="541"/>
      <c r="V50" s="541"/>
      <c r="W50" s="541"/>
      <c r="X50" s="541"/>
      <c r="Y50" s="541"/>
      <c r="Z50" s="541"/>
      <c r="AA50" s="541"/>
      <c r="AB50" s="541"/>
      <c r="AC50" s="541"/>
      <c r="AD50" s="541"/>
      <c r="AE50" s="541"/>
      <c r="AF50" s="541"/>
      <c r="AG50" s="541"/>
      <c r="AH50" s="541"/>
      <c r="AI50" s="541"/>
      <c r="AJ50" s="541"/>
      <c r="AK50" s="541"/>
      <c r="AL50" s="541"/>
      <c r="AM50" s="541"/>
      <c r="AN50" s="536"/>
      <c r="AO50" s="557"/>
    </row>
    <row r="51" spans="1:50" s="537" customFormat="1" ht="12.75" customHeight="1">
      <c r="A51" s="548"/>
      <c r="B51" s="548"/>
      <c r="C51" s="548"/>
      <c r="D51" s="548"/>
      <c r="E51" s="559"/>
      <c r="F51" s="541"/>
      <c r="G51" s="541"/>
      <c r="H51" s="541"/>
      <c r="I51" s="541"/>
      <c r="J51" s="541"/>
      <c r="K51" s="541"/>
      <c r="L51" s="541"/>
      <c r="M51" s="541"/>
      <c r="N51" s="541"/>
      <c r="O51" s="541"/>
      <c r="P51" s="541"/>
      <c r="Q51" s="541"/>
      <c r="R51" s="541"/>
      <c r="S51" s="541"/>
      <c r="T51" s="541"/>
      <c r="U51" s="541"/>
      <c r="V51" s="541"/>
      <c r="W51" s="541"/>
      <c r="X51" s="541"/>
      <c r="Y51" s="541"/>
      <c r="Z51" s="541"/>
      <c r="AA51" s="541"/>
      <c r="AB51" s="541"/>
      <c r="AC51" s="541"/>
      <c r="AD51" s="541"/>
      <c r="AE51" s="541"/>
      <c r="AF51" s="541"/>
      <c r="AG51" s="541"/>
      <c r="AH51" s="541"/>
      <c r="AI51" s="541"/>
      <c r="AJ51" s="541"/>
      <c r="AK51" s="541"/>
      <c r="AL51" s="541"/>
      <c r="AM51" s="541"/>
      <c r="AN51" s="536"/>
      <c r="AO51" s="557"/>
    </row>
    <row r="52" spans="1:50" s="537" customFormat="1" ht="12.75" customHeight="1">
      <c r="A52" s="541"/>
      <c r="B52" s="2336" t="s">
        <v>591</v>
      </c>
      <c r="C52" s="2336"/>
      <c r="D52" s="541"/>
      <c r="E52" s="2337" t="s">
        <v>2014</v>
      </c>
      <c r="F52" s="2338"/>
      <c r="G52" s="2338"/>
      <c r="H52" s="2338"/>
      <c r="I52" s="2338"/>
      <c r="J52" s="2338"/>
      <c r="K52" s="2338"/>
      <c r="L52" s="2338"/>
      <c r="M52" s="2338"/>
      <c r="N52" s="2338"/>
      <c r="O52" s="2338"/>
      <c r="P52" s="2338"/>
      <c r="Q52" s="2338"/>
      <c r="R52" s="2338"/>
      <c r="S52" s="2338"/>
      <c r="T52" s="2338"/>
      <c r="U52" s="2338"/>
      <c r="V52" s="2338"/>
      <c r="W52" s="2338"/>
      <c r="X52" s="2338"/>
      <c r="Y52" s="2338"/>
      <c r="Z52" s="2338"/>
      <c r="AA52" s="2338"/>
      <c r="AB52" s="2338"/>
      <c r="AC52" s="2338"/>
      <c r="AD52" s="2338"/>
      <c r="AE52" s="2338"/>
      <c r="AF52" s="2338"/>
      <c r="AG52" s="2338"/>
      <c r="AH52" s="2338"/>
      <c r="AI52" s="2338"/>
      <c r="AJ52" s="2339"/>
      <c r="AK52" s="541"/>
      <c r="AL52" s="541"/>
      <c r="AM52" s="541"/>
      <c r="AN52" s="536"/>
      <c r="AO52" s="560"/>
    </row>
    <row r="53" spans="1:50" s="537" customFormat="1" ht="12.75" customHeight="1">
      <c r="A53" s="541"/>
      <c r="D53" s="548"/>
      <c r="E53" s="2343"/>
      <c r="F53" s="2344"/>
      <c r="G53" s="2344"/>
      <c r="H53" s="2344"/>
      <c r="I53" s="2344"/>
      <c r="J53" s="2344"/>
      <c r="K53" s="2344"/>
      <c r="L53" s="2344"/>
      <c r="M53" s="2344"/>
      <c r="N53" s="2344"/>
      <c r="O53" s="2344"/>
      <c r="P53" s="2344"/>
      <c r="Q53" s="2344"/>
      <c r="R53" s="2344"/>
      <c r="S53" s="2344"/>
      <c r="T53" s="2344"/>
      <c r="U53" s="2344"/>
      <c r="V53" s="2344"/>
      <c r="W53" s="2344"/>
      <c r="X53" s="2344"/>
      <c r="Y53" s="2344"/>
      <c r="Z53" s="2344"/>
      <c r="AA53" s="2344"/>
      <c r="AB53" s="2344"/>
      <c r="AC53" s="2344"/>
      <c r="AD53" s="2344"/>
      <c r="AE53" s="2344"/>
      <c r="AF53" s="2344"/>
      <c r="AG53" s="2344"/>
      <c r="AH53" s="2344"/>
      <c r="AI53" s="2344"/>
      <c r="AJ53" s="2345"/>
      <c r="AK53" s="541"/>
      <c r="AL53" s="541"/>
      <c r="AM53" s="541"/>
      <c r="AN53" s="536"/>
      <c r="AO53" s="560"/>
    </row>
    <row r="54" spans="1:50" s="537" customFormat="1" ht="12.75" customHeight="1">
      <c r="A54" s="541"/>
      <c r="D54" s="541"/>
      <c r="E54" s="2340"/>
      <c r="F54" s="2341"/>
      <c r="G54" s="2341"/>
      <c r="H54" s="2341"/>
      <c r="I54" s="2341"/>
      <c r="J54" s="2341"/>
      <c r="K54" s="2341"/>
      <c r="L54" s="2341"/>
      <c r="M54" s="2341"/>
      <c r="N54" s="2341"/>
      <c r="O54" s="2341"/>
      <c r="P54" s="2341"/>
      <c r="Q54" s="2341"/>
      <c r="R54" s="2341"/>
      <c r="S54" s="2341"/>
      <c r="T54" s="2341"/>
      <c r="U54" s="2341"/>
      <c r="V54" s="2341"/>
      <c r="W54" s="2341"/>
      <c r="X54" s="2341"/>
      <c r="Y54" s="2341"/>
      <c r="Z54" s="2341"/>
      <c r="AA54" s="2341"/>
      <c r="AB54" s="2341"/>
      <c r="AC54" s="2341"/>
      <c r="AD54" s="2341"/>
      <c r="AE54" s="2341"/>
      <c r="AF54" s="2341"/>
      <c r="AG54" s="2341"/>
      <c r="AH54" s="2341"/>
      <c r="AI54" s="2341"/>
      <c r="AJ54" s="2342"/>
      <c r="AK54" s="541"/>
      <c r="AL54" s="541"/>
      <c r="AM54" s="541"/>
      <c r="AN54" s="536"/>
    </row>
    <row r="55" spans="1:50" s="537" customFormat="1" ht="12.75" customHeight="1">
      <c r="A55" s="541"/>
      <c r="B55" s="541"/>
      <c r="C55" s="541"/>
      <c r="D55" s="548"/>
      <c r="E55" s="559"/>
      <c r="F55" s="557"/>
      <c r="G55" s="557"/>
      <c r="H55" s="541"/>
      <c r="I55" s="541"/>
      <c r="J55" s="541"/>
      <c r="K55" s="541"/>
      <c r="L55" s="541"/>
      <c r="M55" s="541"/>
      <c r="N55" s="541"/>
      <c r="O55" s="541"/>
      <c r="P55" s="541"/>
      <c r="Q55" s="541"/>
      <c r="R55" s="541"/>
      <c r="S55" s="541"/>
      <c r="T55" s="541"/>
      <c r="U55" s="541"/>
      <c r="V55" s="541"/>
      <c r="W55" s="541"/>
      <c r="X55" s="541"/>
      <c r="Y55" s="541"/>
      <c r="Z55" s="541"/>
      <c r="AA55" s="541"/>
      <c r="AB55" s="541"/>
      <c r="AC55" s="541"/>
      <c r="AD55" s="541"/>
      <c r="AE55" s="541"/>
      <c r="AF55" s="541"/>
      <c r="AG55" s="541"/>
      <c r="AH55" s="541"/>
      <c r="AI55" s="541"/>
      <c r="AJ55" s="541"/>
      <c r="AK55" s="541"/>
      <c r="AL55" s="541"/>
      <c r="AM55" s="541"/>
      <c r="AN55" s="536"/>
    </row>
    <row r="56" spans="1:50" s="537" customFormat="1" ht="12.75" customHeight="1">
      <c r="A56" s="541"/>
      <c r="B56" s="2336" t="s">
        <v>591</v>
      </c>
      <c r="C56" s="2336"/>
      <c r="D56" s="541"/>
      <c r="E56" s="2357" t="s">
        <v>2015</v>
      </c>
      <c r="F56" s="2358"/>
      <c r="G56" s="2358"/>
      <c r="H56" s="2358"/>
      <c r="I56" s="2358"/>
      <c r="J56" s="2358"/>
      <c r="K56" s="2358"/>
      <c r="L56" s="2358"/>
      <c r="M56" s="2358"/>
      <c r="N56" s="2358"/>
      <c r="O56" s="2358"/>
      <c r="P56" s="2358"/>
      <c r="Q56" s="2358"/>
      <c r="R56" s="2358"/>
      <c r="S56" s="2358"/>
      <c r="T56" s="2358"/>
      <c r="U56" s="2358"/>
      <c r="V56" s="2358"/>
      <c r="W56" s="2358"/>
      <c r="X56" s="2358"/>
      <c r="Y56" s="2358"/>
      <c r="Z56" s="2358"/>
      <c r="AA56" s="2358"/>
      <c r="AB56" s="2358"/>
      <c r="AC56" s="2358"/>
      <c r="AD56" s="2358"/>
      <c r="AE56" s="2358"/>
      <c r="AF56" s="2358"/>
      <c r="AG56" s="2358"/>
      <c r="AH56" s="2358"/>
      <c r="AI56" s="2358"/>
      <c r="AJ56" s="2359"/>
      <c r="AK56" s="541"/>
      <c r="AL56" s="541"/>
      <c r="AM56" s="541"/>
      <c r="AN56" s="536"/>
    </row>
    <row r="57" spans="1:50" s="537" customFormat="1" ht="12.75" customHeight="1">
      <c r="A57" s="541"/>
      <c r="B57" s="541"/>
      <c r="C57" s="541"/>
      <c r="D57" s="548"/>
      <c r="E57" s="561"/>
      <c r="F57" s="557"/>
      <c r="G57" s="557"/>
      <c r="H57" s="541"/>
      <c r="I57" s="541"/>
      <c r="J57" s="541"/>
      <c r="K57" s="541"/>
      <c r="L57" s="541"/>
      <c r="M57" s="541"/>
      <c r="N57" s="541"/>
      <c r="O57" s="541"/>
      <c r="P57" s="541"/>
      <c r="Q57" s="541"/>
      <c r="R57" s="541"/>
      <c r="S57" s="541"/>
      <c r="T57" s="541"/>
      <c r="U57" s="541"/>
      <c r="V57" s="541"/>
      <c r="W57" s="541"/>
      <c r="X57" s="541"/>
      <c r="Y57" s="541"/>
      <c r="Z57" s="541"/>
      <c r="AA57" s="541"/>
      <c r="AB57" s="541"/>
      <c r="AC57" s="541"/>
      <c r="AD57" s="541"/>
      <c r="AE57" s="541"/>
      <c r="AF57" s="541"/>
      <c r="AG57" s="541"/>
      <c r="AH57" s="541"/>
      <c r="AI57" s="541"/>
      <c r="AJ57" s="541"/>
      <c r="AK57" s="541"/>
      <c r="AL57" s="541"/>
      <c r="AM57" s="541"/>
      <c r="AN57" s="536"/>
    </row>
    <row r="58" spans="1:50" s="537" customFormat="1" ht="12.75" customHeight="1">
      <c r="A58" s="541"/>
      <c r="B58" s="2336" t="s">
        <v>591</v>
      </c>
      <c r="C58" s="2336"/>
      <c r="D58" s="541"/>
      <c r="E58" s="2337" t="s">
        <v>2016</v>
      </c>
      <c r="F58" s="2338"/>
      <c r="G58" s="2338"/>
      <c r="H58" s="2338"/>
      <c r="I58" s="2338"/>
      <c r="J58" s="2338"/>
      <c r="K58" s="2338"/>
      <c r="L58" s="2338"/>
      <c r="M58" s="2338"/>
      <c r="N58" s="2338"/>
      <c r="O58" s="2338"/>
      <c r="P58" s="2338"/>
      <c r="Q58" s="2338"/>
      <c r="R58" s="2338"/>
      <c r="S58" s="2338"/>
      <c r="T58" s="2338"/>
      <c r="U58" s="2338"/>
      <c r="V58" s="2338"/>
      <c r="W58" s="2338"/>
      <c r="X58" s="2338"/>
      <c r="Y58" s="2338"/>
      <c r="Z58" s="2338"/>
      <c r="AA58" s="2338"/>
      <c r="AB58" s="2338"/>
      <c r="AC58" s="2338"/>
      <c r="AD58" s="2338"/>
      <c r="AE58" s="2338"/>
      <c r="AF58" s="2338"/>
      <c r="AG58" s="2338"/>
      <c r="AH58" s="2338"/>
      <c r="AI58" s="2338"/>
      <c r="AJ58" s="2339"/>
      <c r="AK58" s="541"/>
      <c r="AL58" s="541"/>
      <c r="AM58" s="541"/>
      <c r="AN58" s="536"/>
    </row>
    <row r="59" spans="1:50" s="537" customFormat="1" ht="12.75" customHeight="1">
      <c r="A59" s="541"/>
      <c r="B59" s="548"/>
      <c r="C59" s="548"/>
      <c r="D59" s="548"/>
      <c r="E59" s="2340"/>
      <c r="F59" s="2341"/>
      <c r="G59" s="2341"/>
      <c r="H59" s="2341"/>
      <c r="I59" s="2341"/>
      <c r="J59" s="2341"/>
      <c r="K59" s="2341"/>
      <c r="L59" s="2341"/>
      <c r="M59" s="2341"/>
      <c r="N59" s="2341"/>
      <c r="O59" s="2341"/>
      <c r="P59" s="2341"/>
      <c r="Q59" s="2341"/>
      <c r="R59" s="2341"/>
      <c r="S59" s="2341"/>
      <c r="T59" s="2341"/>
      <c r="U59" s="2341"/>
      <c r="V59" s="2341"/>
      <c r="W59" s="2341"/>
      <c r="X59" s="2341"/>
      <c r="Y59" s="2341"/>
      <c r="Z59" s="2341"/>
      <c r="AA59" s="2341"/>
      <c r="AB59" s="2341"/>
      <c r="AC59" s="2341"/>
      <c r="AD59" s="2341"/>
      <c r="AE59" s="2341"/>
      <c r="AF59" s="2341"/>
      <c r="AG59" s="2341"/>
      <c r="AH59" s="2341"/>
      <c r="AI59" s="2341"/>
      <c r="AJ59" s="2342"/>
      <c r="AK59" s="541"/>
      <c r="AL59" s="541"/>
      <c r="AM59" s="541"/>
      <c r="AN59" s="536"/>
      <c r="AX59" s="540"/>
    </row>
    <row r="60" spans="1:50" s="537" customFormat="1" ht="12.75" customHeight="1">
      <c r="A60" s="541"/>
      <c r="B60" s="548"/>
      <c r="C60" s="548"/>
      <c r="D60" s="548"/>
      <c r="E60" s="561"/>
      <c r="F60" s="541"/>
      <c r="G60" s="541"/>
      <c r="H60" s="541"/>
      <c r="I60" s="541"/>
      <c r="J60" s="541"/>
      <c r="K60" s="541"/>
      <c r="L60" s="541"/>
      <c r="M60" s="541"/>
      <c r="N60" s="541"/>
      <c r="O60" s="541"/>
      <c r="P60" s="541"/>
      <c r="Q60" s="541"/>
      <c r="R60" s="541"/>
      <c r="S60" s="541"/>
      <c r="T60" s="541"/>
      <c r="U60" s="541"/>
      <c r="V60" s="541"/>
      <c r="W60" s="541"/>
      <c r="X60" s="541"/>
      <c r="Y60" s="541"/>
      <c r="Z60" s="541"/>
      <c r="AA60" s="541"/>
      <c r="AB60" s="541"/>
      <c r="AC60" s="541"/>
      <c r="AD60" s="541"/>
      <c r="AE60" s="541"/>
      <c r="AF60" s="541"/>
      <c r="AG60" s="541"/>
      <c r="AH60" s="541"/>
      <c r="AI60" s="541"/>
      <c r="AJ60" s="541"/>
      <c r="AK60" s="541"/>
      <c r="AL60" s="541"/>
      <c r="AM60" s="541"/>
      <c r="AN60" s="536"/>
      <c r="AX60" s="540"/>
    </row>
    <row r="61" spans="1:50" s="537" customFormat="1" ht="12.75" customHeight="1">
      <c r="A61" s="541"/>
      <c r="B61" s="541"/>
      <c r="C61" s="541"/>
      <c r="D61" s="541"/>
      <c r="E61" s="541"/>
      <c r="F61" s="541"/>
      <c r="G61" s="541"/>
      <c r="H61" s="541"/>
      <c r="I61" s="541"/>
      <c r="J61" s="541"/>
      <c r="K61" s="541"/>
      <c r="L61" s="541"/>
      <c r="M61" s="541"/>
      <c r="N61" s="541"/>
      <c r="O61" s="541"/>
      <c r="P61" s="541"/>
      <c r="Q61" s="541"/>
      <c r="R61" s="541"/>
      <c r="S61" s="541"/>
      <c r="T61" s="541"/>
      <c r="U61" s="541"/>
      <c r="V61" s="541"/>
      <c r="W61" s="541"/>
      <c r="X61" s="541"/>
      <c r="Y61" s="541"/>
      <c r="Z61" s="541"/>
      <c r="AA61" s="541"/>
      <c r="AB61" s="541"/>
      <c r="AC61" s="541"/>
      <c r="AD61" s="541"/>
      <c r="AE61" s="541"/>
      <c r="AF61" s="541"/>
      <c r="AG61" s="541"/>
      <c r="AH61" s="541"/>
      <c r="AI61" s="541"/>
      <c r="AJ61" s="541"/>
      <c r="AK61" s="541"/>
      <c r="AL61" s="541"/>
      <c r="AM61" s="541"/>
      <c r="AN61" s="536"/>
    </row>
    <row r="62" spans="1:50" s="537" customFormat="1" ht="12.75" customHeight="1">
      <c r="A62" s="562"/>
      <c r="B62" s="563"/>
      <c r="C62" s="563"/>
      <c r="D62" s="563"/>
      <c r="E62" s="563"/>
      <c r="F62" s="563"/>
      <c r="G62" s="564"/>
      <c r="H62" s="565"/>
      <c r="I62" s="565"/>
      <c r="J62" s="565"/>
      <c r="K62" s="565"/>
      <c r="L62" s="565"/>
      <c r="M62" s="565"/>
      <c r="N62" s="565"/>
      <c r="O62" s="565"/>
      <c r="P62" s="565"/>
      <c r="Q62" s="565"/>
      <c r="R62" s="565"/>
      <c r="S62" s="565"/>
      <c r="T62" s="565"/>
      <c r="U62" s="565"/>
      <c r="V62" s="565"/>
      <c r="W62" s="565"/>
      <c r="X62" s="565"/>
      <c r="Y62" s="565"/>
      <c r="Z62" s="565"/>
      <c r="AA62" s="565"/>
      <c r="AB62" s="565"/>
      <c r="AC62" s="565"/>
      <c r="AD62" s="565"/>
      <c r="AE62" s="565"/>
      <c r="AF62" s="565"/>
      <c r="AG62" s="565"/>
      <c r="AH62" s="565"/>
      <c r="AI62" s="566"/>
      <c r="AJ62" s="566" t="s">
        <v>1310</v>
      </c>
      <c r="AK62" s="2369">
        <f>AO39</f>
        <v>0</v>
      </c>
      <c r="AL62" s="2370"/>
      <c r="AM62" s="2371"/>
      <c r="AN62" s="536"/>
    </row>
    <row r="63" spans="1:50" s="537" customFormat="1" ht="12.75" customHeight="1" thickBot="1">
      <c r="A63" s="567"/>
      <c r="B63" s="568"/>
      <c r="C63" s="569"/>
      <c r="D63" s="569"/>
      <c r="E63" s="569"/>
      <c r="F63" s="569"/>
      <c r="G63" s="569"/>
      <c r="H63" s="569"/>
      <c r="I63" s="569"/>
      <c r="J63" s="569"/>
      <c r="K63" s="569"/>
      <c r="L63" s="569"/>
      <c r="M63" s="569"/>
      <c r="N63" s="569"/>
      <c r="O63" s="569"/>
      <c r="P63" s="569"/>
      <c r="Q63" s="569"/>
      <c r="R63" s="569"/>
      <c r="S63" s="569"/>
      <c r="T63" s="569"/>
      <c r="U63" s="569"/>
      <c r="V63" s="569"/>
      <c r="W63" s="569"/>
      <c r="X63" s="569"/>
      <c r="Y63" s="569"/>
      <c r="Z63" s="569"/>
      <c r="AA63" s="569"/>
      <c r="AB63" s="569"/>
      <c r="AC63" s="569"/>
      <c r="AD63" s="569"/>
      <c r="AE63" s="569"/>
      <c r="AF63" s="569"/>
      <c r="AG63" s="569"/>
      <c r="AH63" s="569"/>
      <c r="AI63" s="569"/>
      <c r="AJ63" s="569"/>
      <c r="AK63" s="569"/>
      <c r="AL63" s="569"/>
      <c r="AM63" s="570"/>
      <c r="AN63" s="536"/>
    </row>
    <row r="64" spans="1:50" s="537" customFormat="1" ht="12.75" customHeight="1" thickTop="1">
      <c r="A64" s="571"/>
      <c r="B64" s="572"/>
      <c r="C64" s="573"/>
      <c r="D64" s="573"/>
      <c r="E64" s="573"/>
      <c r="F64" s="573"/>
      <c r="G64" s="573"/>
      <c r="H64" s="573"/>
      <c r="I64" s="574"/>
      <c r="J64" s="574"/>
      <c r="K64" s="574"/>
      <c r="L64" s="574"/>
      <c r="M64" s="574"/>
      <c r="N64" s="574"/>
      <c r="O64" s="574"/>
      <c r="P64" s="574"/>
      <c r="Q64" s="574"/>
      <c r="R64" s="571"/>
      <c r="S64" s="540"/>
      <c r="T64" s="540"/>
      <c r="U64" s="540"/>
      <c r="V64" s="540"/>
      <c r="W64" s="540"/>
      <c r="X64" s="540"/>
      <c r="Y64" s="540"/>
      <c r="Z64" s="540"/>
      <c r="AA64" s="540"/>
      <c r="AB64" s="540"/>
      <c r="AC64" s="540"/>
      <c r="AD64" s="540"/>
      <c r="AE64" s="540"/>
      <c r="AF64" s="571"/>
      <c r="AG64" s="540"/>
      <c r="AH64" s="540"/>
      <c r="AI64" s="540"/>
      <c r="AJ64" s="540"/>
      <c r="AK64" s="551"/>
      <c r="AL64" s="551"/>
      <c r="AM64" s="551"/>
      <c r="AN64" s="536"/>
    </row>
    <row r="65" spans="1:42" s="537" customFormat="1" ht="12.75" customHeight="1">
      <c r="A65" s="539" t="s">
        <v>1311</v>
      </c>
      <c r="B65" s="540" t="s">
        <v>1312</v>
      </c>
      <c r="C65" s="540"/>
      <c r="D65" s="540"/>
      <c r="E65" s="540"/>
      <c r="F65" s="540"/>
      <c r="G65" s="540"/>
      <c r="H65" s="540"/>
      <c r="I65" s="540"/>
      <c r="J65" s="540"/>
      <c r="K65" s="540"/>
      <c r="L65" s="540"/>
      <c r="M65" s="540"/>
      <c r="N65" s="540"/>
      <c r="O65" s="540"/>
      <c r="P65" s="540"/>
      <c r="Q65" s="540"/>
      <c r="R65" s="540"/>
      <c r="S65" s="540"/>
      <c r="T65" s="540"/>
      <c r="U65" s="540"/>
      <c r="V65" s="540"/>
      <c r="W65" s="540"/>
      <c r="X65" s="540"/>
      <c r="Y65" s="540"/>
      <c r="Z65" s="540"/>
      <c r="AA65" s="540"/>
      <c r="AB65" s="540"/>
      <c r="AC65" s="540"/>
      <c r="AD65" s="540"/>
      <c r="AE65" s="2346" t="s">
        <v>1313</v>
      </c>
      <c r="AF65" s="2346"/>
      <c r="AG65" s="2346"/>
      <c r="AH65" s="2346"/>
      <c r="AI65" s="2346"/>
      <c r="AJ65" s="2346"/>
      <c r="AK65" s="2346"/>
      <c r="AL65" s="541"/>
      <c r="AM65" s="541"/>
      <c r="AN65" s="536"/>
    </row>
    <row r="66" spans="1:42" s="537" customFormat="1" ht="12.75" customHeight="1">
      <c r="A66" s="539"/>
      <c r="B66" s="540" t="s">
        <v>1727</v>
      </c>
      <c r="C66" s="540"/>
      <c r="D66" s="540"/>
      <c r="E66" s="540"/>
      <c r="F66" s="540"/>
      <c r="G66" s="540"/>
      <c r="H66" s="540"/>
      <c r="I66" s="540"/>
      <c r="J66" s="540"/>
      <c r="K66" s="540"/>
      <c r="L66" s="540"/>
      <c r="M66" s="540"/>
      <c r="N66" s="540"/>
      <c r="O66" s="540"/>
      <c r="P66" s="540"/>
      <c r="Q66" s="540"/>
      <c r="R66" s="540"/>
      <c r="S66" s="540"/>
      <c r="T66" s="540"/>
      <c r="U66" s="540"/>
      <c r="V66" s="540"/>
      <c r="W66" s="540"/>
      <c r="X66" s="540"/>
      <c r="Y66" s="540"/>
      <c r="Z66" s="540"/>
      <c r="AA66" s="540"/>
      <c r="AB66" s="540"/>
      <c r="AC66" s="540"/>
      <c r="AD66" s="540"/>
      <c r="AE66" s="544"/>
      <c r="AF66" s="544"/>
      <c r="AG66" s="544"/>
      <c r="AH66" s="544"/>
      <c r="AI66" s="544"/>
      <c r="AJ66" s="544"/>
      <c r="AK66" s="544"/>
      <c r="AL66" s="541"/>
      <c r="AM66" s="541"/>
      <c r="AN66" s="536"/>
    </row>
    <row r="67" spans="1:42" s="537" customFormat="1" ht="12.75" customHeight="1">
      <c r="A67" s="539"/>
      <c r="B67" s="540"/>
      <c r="C67" s="540"/>
      <c r="D67" s="540"/>
      <c r="E67" s="540"/>
      <c r="F67" s="540"/>
      <c r="G67" s="540"/>
      <c r="H67" s="540"/>
      <c r="I67" s="540"/>
      <c r="J67" s="540"/>
      <c r="K67" s="540"/>
      <c r="L67" s="540"/>
      <c r="M67" s="540"/>
      <c r="N67" s="540"/>
      <c r="O67" s="540"/>
      <c r="P67" s="540"/>
      <c r="Q67" s="540"/>
      <c r="R67" s="540"/>
      <c r="S67" s="540"/>
      <c r="T67" s="540"/>
      <c r="U67" s="540"/>
      <c r="V67" s="540"/>
      <c r="W67" s="540"/>
      <c r="X67" s="540"/>
      <c r="Y67" s="540"/>
      <c r="Z67" s="540"/>
      <c r="AA67" s="540"/>
      <c r="AB67" s="540"/>
      <c r="AC67" s="540"/>
      <c r="AD67" s="540"/>
      <c r="AE67" s="544"/>
      <c r="AF67" s="544"/>
      <c r="AG67" s="544"/>
      <c r="AH67" s="544"/>
      <c r="AI67" s="544"/>
      <c r="AJ67" s="544"/>
      <c r="AK67" s="544"/>
      <c r="AL67" s="541"/>
      <c r="AM67" s="541"/>
      <c r="AN67" s="536"/>
    </row>
    <row r="68" spans="1:42" s="537" customFormat="1" ht="12.75" customHeight="1">
      <c r="A68" s="539"/>
      <c r="B68" s="2336" t="s">
        <v>591</v>
      </c>
      <c r="C68" s="2336"/>
      <c r="D68" s="548" t="s">
        <v>1314</v>
      </c>
      <c r="E68" s="2347" t="s">
        <v>2017</v>
      </c>
      <c r="F68" s="2348"/>
      <c r="G68" s="2348"/>
      <c r="H68" s="2348"/>
      <c r="I68" s="2348"/>
      <c r="J68" s="2348"/>
      <c r="K68" s="2348"/>
      <c r="L68" s="2348"/>
      <c r="M68" s="2348"/>
      <c r="N68" s="2348"/>
      <c r="O68" s="2348"/>
      <c r="P68" s="2348"/>
      <c r="Q68" s="2348"/>
      <c r="R68" s="2348"/>
      <c r="S68" s="2348"/>
      <c r="T68" s="2348"/>
      <c r="U68" s="2348"/>
      <c r="V68" s="2348"/>
      <c r="W68" s="2348"/>
      <c r="X68" s="2348"/>
      <c r="Y68" s="2348"/>
      <c r="Z68" s="2348"/>
      <c r="AA68" s="2348"/>
      <c r="AB68" s="2348"/>
      <c r="AC68" s="2348"/>
      <c r="AD68" s="2348"/>
      <c r="AE68" s="2348"/>
      <c r="AF68" s="2348"/>
      <c r="AG68" s="2348"/>
      <c r="AH68" s="2348"/>
      <c r="AI68" s="2348"/>
      <c r="AJ68" s="2349"/>
      <c r="AK68" s="544"/>
      <c r="AL68" s="541"/>
      <c r="AM68" s="541"/>
      <c r="AN68" s="536"/>
      <c r="AO68" s="551">
        <f>IF($B68="yes",10,0)</f>
        <v>0</v>
      </c>
    </row>
    <row r="69" spans="1:42" s="537" customFormat="1" ht="12.75" customHeight="1">
      <c r="A69" s="539"/>
      <c r="B69" s="541"/>
      <c r="C69" s="541"/>
      <c r="D69" s="552"/>
      <c r="E69" s="2350"/>
      <c r="F69" s="2351"/>
      <c r="G69" s="2351"/>
      <c r="H69" s="2351"/>
      <c r="I69" s="2351"/>
      <c r="J69" s="2351"/>
      <c r="K69" s="2351"/>
      <c r="L69" s="2351"/>
      <c r="M69" s="2351"/>
      <c r="N69" s="2351"/>
      <c r="O69" s="2351"/>
      <c r="P69" s="2351"/>
      <c r="Q69" s="2351"/>
      <c r="R69" s="2351"/>
      <c r="S69" s="2351"/>
      <c r="T69" s="2351"/>
      <c r="U69" s="2351"/>
      <c r="V69" s="2351"/>
      <c r="W69" s="2351"/>
      <c r="X69" s="2351"/>
      <c r="Y69" s="2351"/>
      <c r="Z69" s="2351"/>
      <c r="AA69" s="2351"/>
      <c r="AB69" s="2351"/>
      <c r="AC69" s="2351"/>
      <c r="AD69" s="2351"/>
      <c r="AE69" s="2351"/>
      <c r="AF69" s="2351"/>
      <c r="AG69" s="2351"/>
      <c r="AH69" s="2351"/>
      <c r="AI69" s="2351"/>
      <c r="AJ69" s="2352"/>
      <c r="AK69" s="544"/>
      <c r="AL69" s="541"/>
      <c r="AM69" s="541"/>
      <c r="AN69" s="536"/>
      <c r="AO69" s="551">
        <f>IF($B74="yes",10,0)</f>
        <v>10</v>
      </c>
    </row>
    <row r="70" spans="1:42" s="537" customFormat="1" ht="12.75" customHeight="1">
      <c r="A70" s="539"/>
      <c r="B70" s="541"/>
      <c r="C70" s="541"/>
      <c r="D70" s="552"/>
      <c r="E70" s="2350"/>
      <c r="F70" s="2351"/>
      <c r="G70" s="2351"/>
      <c r="H70" s="2351"/>
      <c r="I70" s="2351"/>
      <c r="J70" s="2351"/>
      <c r="K70" s="2351"/>
      <c r="L70" s="2351"/>
      <c r="M70" s="2351"/>
      <c r="N70" s="2351"/>
      <c r="O70" s="2351"/>
      <c r="P70" s="2351"/>
      <c r="Q70" s="2351"/>
      <c r="R70" s="2351"/>
      <c r="S70" s="2351"/>
      <c r="T70" s="2351"/>
      <c r="U70" s="2351"/>
      <c r="V70" s="2351"/>
      <c r="W70" s="2351"/>
      <c r="X70" s="2351"/>
      <c r="Y70" s="2351"/>
      <c r="Z70" s="2351"/>
      <c r="AA70" s="2351"/>
      <c r="AB70" s="2351"/>
      <c r="AC70" s="2351"/>
      <c r="AD70" s="2351"/>
      <c r="AE70" s="2351"/>
      <c r="AF70" s="2351"/>
      <c r="AG70" s="2351"/>
      <c r="AH70" s="2351"/>
      <c r="AI70" s="2351"/>
      <c r="AJ70" s="2352"/>
      <c r="AK70" s="544"/>
      <c r="AL70" s="541"/>
      <c r="AM70" s="541"/>
      <c r="AN70" s="536"/>
      <c r="AO70" s="551">
        <f>IF($B81="yes",10,0)</f>
        <v>0</v>
      </c>
    </row>
    <row r="71" spans="1:42" s="537" customFormat="1" ht="12.75" customHeight="1">
      <c r="A71" s="539"/>
      <c r="B71" s="541"/>
      <c r="C71" s="541"/>
      <c r="D71" s="552"/>
      <c r="E71" s="2350"/>
      <c r="F71" s="2351"/>
      <c r="G71" s="2351"/>
      <c r="H71" s="2351"/>
      <c r="I71" s="2351"/>
      <c r="J71" s="2351"/>
      <c r="K71" s="2351"/>
      <c r="L71" s="2351"/>
      <c r="M71" s="2351"/>
      <c r="N71" s="2351"/>
      <c r="O71" s="2351"/>
      <c r="P71" s="2351"/>
      <c r="Q71" s="2351"/>
      <c r="R71" s="2351"/>
      <c r="S71" s="2351"/>
      <c r="T71" s="2351"/>
      <c r="U71" s="2351"/>
      <c r="V71" s="2351"/>
      <c r="W71" s="2351"/>
      <c r="X71" s="2351"/>
      <c r="Y71" s="2351"/>
      <c r="Z71" s="2351"/>
      <c r="AA71" s="2351"/>
      <c r="AB71" s="2351"/>
      <c r="AC71" s="2351"/>
      <c r="AD71" s="2351"/>
      <c r="AE71" s="2351"/>
      <c r="AF71" s="2351"/>
      <c r="AG71" s="2351"/>
      <c r="AH71" s="2351"/>
      <c r="AI71" s="2351"/>
      <c r="AJ71" s="2352"/>
      <c r="AK71" s="544"/>
      <c r="AL71" s="541"/>
      <c r="AM71" s="541"/>
      <c r="AN71" s="536"/>
      <c r="AO71" s="537">
        <f>IF(SUM(AO68:AO70)&gt;10,10,(SUM(AO68:AO70)))</f>
        <v>10</v>
      </c>
      <c r="AP71" s="575" t="s">
        <v>1315</v>
      </c>
    </row>
    <row r="72" spans="1:42" s="537" customFormat="1" ht="12.75" customHeight="1">
      <c r="A72" s="539"/>
      <c r="B72" s="541"/>
      <c r="C72" s="541"/>
      <c r="D72" s="552"/>
      <c r="E72" s="2353"/>
      <c r="F72" s="2354"/>
      <c r="G72" s="2354"/>
      <c r="H72" s="2354"/>
      <c r="I72" s="2354"/>
      <c r="J72" s="2354"/>
      <c r="K72" s="2354"/>
      <c r="L72" s="2354"/>
      <c r="M72" s="2354"/>
      <c r="N72" s="2354"/>
      <c r="O72" s="2354"/>
      <c r="P72" s="2354"/>
      <c r="Q72" s="2354"/>
      <c r="R72" s="2354"/>
      <c r="S72" s="2354"/>
      <c r="T72" s="2354"/>
      <c r="U72" s="2354"/>
      <c r="V72" s="2354"/>
      <c r="W72" s="2354"/>
      <c r="X72" s="2354"/>
      <c r="Y72" s="2354"/>
      <c r="Z72" s="2354"/>
      <c r="AA72" s="2354"/>
      <c r="AB72" s="2354"/>
      <c r="AC72" s="2354"/>
      <c r="AD72" s="2354"/>
      <c r="AE72" s="2354"/>
      <c r="AF72" s="2354"/>
      <c r="AG72" s="2354"/>
      <c r="AH72" s="2354"/>
      <c r="AI72" s="2354"/>
      <c r="AJ72" s="2355"/>
      <c r="AK72" s="544"/>
      <c r="AL72" s="541"/>
      <c r="AM72" s="541"/>
      <c r="AN72" s="536"/>
    </row>
    <row r="73" spans="1:42" s="537" customFormat="1" ht="12.75" customHeight="1">
      <c r="A73" s="539"/>
      <c r="B73" s="541"/>
      <c r="C73" s="541"/>
      <c r="E73" s="541"/>
      <c r="F73" s="541"/>
      <c r="G73" s="541"/>
      <c r="H73" s="541"/>
      <c r="I73" s="541"/>
      <c r="J73" s="541"/>
      <c r="K73" s="541"/>
      <c r="L73" s="541"/>
      <c r="M73" s="541"/>
      <c r="N73" s="541"/>
      <c r="O73" s="541"/>
      <c r="P73" s="541"/>
      <c r="Q73" s="541"/>
      <c r="R73" s="541"/>
      <c r="S73" s="541"/>
      <c r="T73" s="541"/>
      <c r="U73" s="541"/>
      <c r="V73" s="541"/>
      <c r="W73" s="541"/>
      <c r="X73" s="541"/>
      <c r="Y73" s="541"/>
      <c r="Z73" s="541"/>
      <c r="AA73" s="541"/>
      <c r="AB73" s="541"/>
      <c r="AC73" s="541"/>
      <c r="AD73" s="541"/>
      <c r="AE73" s="541"/>
      <c r="AF73" s="541"/>
      <c r="AG73" s="541"/>
      <c r="AH73" s="541"/>
      <c r="AI73" s="541"/>
      <c r="AJ73" s="541"/>
      <c r="AK73" s="544"/>
      <c r="AL73" s="541"/>
      <c r="AM73" s="541"/>
      <c r="AN73" s="536"/>
    </row>
    <row r="74" spans="1:42" s="537" customFormat="1" ht="12.75" customHeight="1">
      <c r="A74" s="539"/>
      <c r="B74" s="2336" t="s">
        <v>545</v>
      </c>
      <c r="C74" s="2336"/>
      <c r="D74" s="548" t="s">
        <v>1316</v>
      </c>
      <c r="E74" s="972" t="s">
        <v>1723</v>
      </c>
      <c r="F74" s="973"/>
      <c r="G74" s="973"/>
      <c r="H74" s="973"/>
      <c r="I74" s="973"/>
      <c r="J74" s="973"/>
      <c r="K74" s="973"/>
      <c r="L74" s="973"/>
      <c r="M74" s="973"/>
      <c r="N74" s="973"/>
      <c r="O74" s="973"/>
      <c r="P74" s="973"/>
      <c r="Q74" s="973"/>
      <c r="R74" s="973"/>
      <c r="S74" s="973"/>
      <c r="T74" s="973"/>
      <c r="U74" s="973"/>
      <c r="V74" s="973"/>
      <c r="W74" s="973"/>
      <c r="X74" s="973"/>
      <c r="Y74" s="973"/>
      <c r="Z74" s="973"/>
      <c r="AA74" s="973"/>
      <c r="AB74" s="973"/>
      <c r="AC74" s="973"/>
      <c r="AD74" s="973"/>
      <c r="AE74" s="973"/>
      <c r="AF74" s="973"/>
      <c r="AG74" s="973"/>
      <c r="AH74" s="973"/>
      <c r="AI74" s="973"/>
      <c r="AJ74" s="974"/>
      <c r="AK74" s="544"/>
      <c r="AL74" s="541"/>
      <c r="AM74" s="541"/>
      <c r="AN74" s="536"/>
    </row>
    <row r="75" spans="1:42" s="537" customFormat="1" ht="12.75" customHeight="1">
      <c r="A75" s="539"/>
      <c r="B75" s="541"/>
      <c r="C75" s="541"/>
      <c r="D75" s="551"/>
      <c r="E75" s="2356" t="s">
        <v>545</v>
      </c>
      <c r="F75" s="2336"/>
      <c r="G75" s="576"/>
      <c r="H75" s="559" t="s">
        <v>1317</v>
      </c>
      <c r="I75" s="909"/>
      <c r="J75" s="576"/>
      <c r="K75" s="576"/>
      <c r="L75" s="576"/>
      <c r="M75" s="576"/>
      <c r="N75" s="576"/>
      <c r="O75" s="576"/>
      <c r="P75" s="576"/>
      <c r="Q75" s="576"/>
      <c r="R75" s="576"/>
      <c r="S75" s="576"/>
      <c r="T75" s="576"/>
      <c r="U75" s="576"/>
      <c r="V75" s="576"/>
      <c r="W75" s="576"/>
      <c r="X75" s="576"/>
      <c r="Y75" s="576"/>
      <c r="Z75" s="576"/>
      <c r="AA75" s="576"/>
      <c r="AB75" s="576"/>
      <c r="AC75" s="576"/>
      <c r="AD75" s="576"/>
      <c r="AE75" s="576"/>
      <c r="AF75" s="576"/>
      <c r="AG75" s="576"/>
      <c r="AH75" s="576"/>
      <c r="AI75" s="576"/>
      <c r="AJ75" s="975"/>
      <c r="AK75" s="544"/>
      <c r="AL75" s="541"/>
      <c r="AM75" s="541"/>
      <c r="AN75" s="536"/>
    </row>
    <row r="76" spans="1:42" s="537" customFormat="1" ht="12.75" customHeight="1">
      <c r="A76" s="539"/>
      <c r="B76" s="541"/>
      <c r="C76" s="541"/>
      <c r="D76" s="551"/>
      <c r="E76" s="2334" t="s">
        <v>591</v>
      </c>
      <c r="F76" s="2335"/>
      <c r="G76" s="576"/>
      <c r="H76" s="559" t="s">
        <v>1318</v>
      </c>
      <c r="I76" s="576"/>
      <c r="J76" s="576"/>
      <c r="K76" s="576"/>
      <c r="L76" s="576"/>
      <c r="M76" s="576"/>
      <c r="N76" s="576"/>
      <c r="O76" s="576"/>
      <c r="P76" s="576"/>
      <c r="Q76" s="576"/>
      <c r="R76" s="576"/>
      <c r="S76" s="576"/>
      <c r="T76" s="576"/>
      <c r="U76" s="576"/>
      <c r="V76" s="576"/>
      <c r="W76" s="576"/>
      <c r="X76" s="576"/>
      <c r="Y76" s="576"/>
      <c r="Z76" s="576"/>
      <c r="AA76" s="576"/>
      <c r="AB76" s="576"/>
      <c r="AC76" s="576"/>
      <c r="AD76" s="576"/>
      <c r="AE76" s="576"/>
      <c r="AF76" s="576"/>
      <c r="AG76" s="576"/>
      <c r="AH76" s="576"/>
      <c r="AI76" s="576"/>
      <c r="AJ76" s="975"/>
      <c r="AK76" s="544"/>
      <c r="AL76" s="541"/>
      <c r="AM76" s="541"/>
      <c r="AN76" s="536"/>
    </row>
    <row r="77" spans="1:42" s="537" customFormat="1" ht="12.75" customHeight="1">
      <c r="A77" s="539"/>
      <c r="B77" s="541"/>
      <c r="C77" s="541"/>
      <c r="D77" s="551"/>
      <c r="E77" s="2334" t="s">
        <v>591</v>
      </c>
      <c r="F77" s="2335"/>
      <c r="G77" s="576"/>
      <c r="H77" s="559" t="s">
        <v>1738</v>
      </c>
      <c r="I77" s="576"/>
      <c r="J77" s="576"/>
      <c r="K77" s="576"/>
      <c r="L77" s="576"/>
      <c r="M77" s="576"/>
      <c r="N77" s="576"/>
      <c r="O77" s="576"/>
      <c r="P77" s="576"/>
      <c r="Q77" s="576"/>
      <c r="R77" s="576"/>
      <c r="S77" s="576"/>
      <c r="T77" s="576"/>
      <c r="U77" s="576"/>
      <c r="V77" s="576"/>
      <c r="W77" s="576"/>
      <c r="X77" s="576"/>
      <c r="Y77" s="576"/>
      <c r="Z77" s="576"/>
      <c r="AA77" s="576"/>
      <c r="AB77" s="576"/>
      <c r="AC77" s="576"/>
      <c r="AD77" s="576"/>
      <c r="AE77" s="576"/>
      <c r="AF77" s="576"/>
      <c r="AG77" s="576"/>
      <c r="AH77" s="576"/>
      <c r="AI77" s="576"/>
      <c r="AJ77" s="975"/>
      <c r="AK77" s="544"/>
      <c r="AL77" s="541"/>
      <c r="AM77" s="541"/>
      <c r="AN77" s="536"/>
    </row>
    <row r="78" spans="1:42" s="537" customFormat="1" ht="12.75" customHeight="1">
      <c r="A78" s="539"/>
      <c r="B78" s="541"/>
      <c r="C78" s="541"/>
      <c r="D78" s="551"/>
      <c r="E78" s="657"/>
      <c r="F78" s="576"/>
      <c r="G78" s="576"/>
      <c r="H78" s="576"/>
      <c r="I78" s="576"/>
      <c r="J78" s="576"/>
      <c r="K78" s="576"/>
      <c r="L78" s="576"/>
      <c r="M78" s="576"/>
      <c r="N78" s="576"/>
      <c r="O78" s="576"/>
      <c r="P78" s="576"/>
      <c r="Q78" s="576"/>
      <c r="R78" s="576"/>
      <c r="S78" s="576"/>
      <c r="T78" s="576"/>
      <c r="U78" s="576"/>
      <c r="V78" s="576"/>
      <c r="W78" s="576"/>
      <c r="X78" s="576"/>
      <c r="Y78" s="576"/>
      <c r="Z78" s="576"/>
      <c r="AA78" s="576"/>
      <c r="AB78" s="576"/>
      <c r="AC78" s="576"/>
      <c r="AD78" s="576"/>
      <c r="AE78" s="576"/>
      <c r="AF78" s="576"/>
      <c r="AG78" s="576"/>
      <c r="AH78" s="576"/>
      <c r="AI78" s="576"/>
      <c r="AJ78" s="975"/>
      <c r="AK78" s="544"/>
      <c r="AL78" s="541"/>
      <c r="AM78" s="541"/>
      <c r="AN78" s="536"/>
    </row>
    <row r="79" spans="1:42" s="537" customFormat="1" ht="12.75" customHeight="1">
      <c r="A79" s="539"/>
      <c r="B79" s="541"/>
      <c r="C79" s="541"/>
      <c r="D79" s="551"/>
      <c r="E79" s="2356" t="s">
        <v>591</v>
      </c>
      <c r="F79" s="2336"/>
      <c r="G79" s="907"/>
      <c r="H79" s="977" t="s">
        <v>1737</v>
      </c>
      <c r="I79" s="907"/>
      <c r="J79" s="907"/>
      <c r="K79" s="907"/>
      <c r="L79" s="907"/>
      <c r="M79" s="907"/>
      <c r="N79" s="907"/>
      <c r="O79" s="907"/>
      <c r="P79" s="907"/>
      <c r="Q79" s="907"/>
      <c r="R79" s="907"/>
      <c r="S79" s="907"/>
      <c r="T79" s="907"/>
      <c r="U79" s="907"/>
      <c r="V79" s="907"/>
      <c r="W79" s="907"/>
      <c r="X79" s="907"/>
      <c r="Y79" s="907"/>
      <c r="Z79" s="907"/>
      <c r="AA79" s="907"/>
      <c r="AB79" s="907"/>
      <c r="AC79" s="907"/>
      <c r="AD79" s="907"/>
      <c r="AE79" s="907"/>
      <c r="AF79" s="907"/>
      <c r="AG79" s="907"/>
      <c r="AH79" s="907"/>
      <c r="AI79" s="907"/>
      <c r="AJ79" s="908"/>
      <c r="AK79" s="544"/>
      <c r="AL79" s="541"/>
      <c r="AM79" s="541"/>
      <c r="AN79" s="536"/>
    </row>
    <row r="80" spans="1:42" s="537" customFormat="1" ht="12.75" customHeight="1">
      <c r="A80" s="539"/>
      <c r="B80" s="541"/>
      <c r="C80" s="541"/>
      <c r="D80" s="552"/>
      <c r="E80" s="541"/>
      <c r="F80" s="541"/>
      <c r="G80" s="541"/>
      <c r="H80" s="541"/>
      <c r="I80" s="541"/>
      <c r="J80" s="541"/>
      <c r="K80" s="541"/>
      <c r="L80" s="541"/>
      <c r="M80" s="541"/>
      <c r="N80" s="541"/>
      <c r="O80" s="541"/>
      <c r="P80" s="541"/>
      <c r="Q80" s="541"/>
      <c r="R80" s="541"/>
      <c r="S80" s="541"/>
      <c r="T80" s="541"/>
      <c r="U80" s="541"/>
      <c r="V80" s="541"/>
      <c r="W80" s="541"/>
      <c r="X80" s="541"/>
      <c r="Y80" s="541"/>
      <c r="Z80" s="541"/>
      <c r="AA80" s="541"/>
      <c r="AB80" s="541"/>
      <c r="AC80" s="541"/>
      <c r="AD80" s="541"/>
      <c r="AE80" s="541"/>
      <c r="AF80" s="541"/>
      <c r="AG80" s="541"/>
      <c r="AH80" s="541"/>
      <c r="AI80" s="541"/>
      <c r="AJ80" s="541"/>
      <c r="AK80" s="544"/>
      <c r="AL80" s="541"/>
      <c r="AM80" s="541"/>
      <c r="AN80" s="536"/>
    </row>
    <row r="81" spans="1:43" s="537" customFormat="1" ht="12.75" customHeight="1">
      <c r="A81" s="539"/>
      <c r="B81" s="2336" t="s">
        <v>591</v>
      </c>
      <c r="C81" s="2336"/>
      <c r="D81" s="548" t="s">
        <v>1319</v>
      </c>
      <c r="E81" s="2337" t="s">
        <v>1739</v>
      </c>
      <c r="F81" s="2338"/>
      <c r="G81" s="2338"/>
      <c r="H81" s="2338"/>
      <c r="I81" s="2338"/>
      <c r="J81" s="2338"/>
      <c r="K81" s="2338"/>
      <c r="L81" s="2338"/>
      <c r="M81" s="2338"/>
      <c r="N81" s="2338"/>
      <c r="O81" s="2338"/>
      <c r="P81" s="2338"/>
      <c r="Q81" s="2338"/>
      <c r="R81" s="2338"/>
      <c r="S81" s="2338"/>
      <c r="T81" s="2338"/>
      <c r="U81" s="2338"/>
      <c r="V81" s="2338"/>
      <c r="W81" s="2338"/>
      <c r="X81" s="2338"/>
      <c r="Y81" s="2338"/>
      <c r="Z81" s="2338"/>
      <c r="AA81" s="2338"/>
      <c r="AB81" s="2338"/>
      <c r="AC81" s="2338"/>
      <c r="AD81" s="2338"/>
      <c r="AE81" s="2338"/>
      <c r="AF81" s="2338"/>
      <c r="AG81" s="2338"/>
      <c r="AH81" s="2338"/>
      <c r="AI81" s="2338"/>
      <c r="AJ81" s="2339"/>
      <c r="AK81" s="544"/>
      <c r="AL81" s="541"/>
      <c r="AM81" s="541"/>
      <c r="AN81" s="536"/>
    </row>
    <row r="82" spans="1:43" s="537" customFormat="1" ht="12.75" customHeight="1">
      <c r="A82" s="539"/>
      <c r="B82" s="541"/>
      <c r="C82" s="541"/>
      <c r="D82" s="551"/>
      <c r="E82" s="2340"/>
      <c r="F82" s="2341"/>
      <c r="G82" s="2341"/>
      <c r="H82" s="2341"/>
      <c r="I82" s="2341"/>
      <c r="J82" s="2341"/>
      <c r="K82" s="2341"/>
      <c r="L82" s="2341"/>
      <c r="M82" s="2341"/>
      <c r="N82" s="2341"/>
      <c r="O82" s="2341"/>
      <c r="P82" s="2341"/>
      <c r="Q82" s="2341"/>
      <c r="R82" s="2341"/>
      <c r="S82" s="2341"/>
      <c r="T82" s="2341"/>
      <c r="U82" s="2341"/>
      <c r="V82" s="2341"/>
      <c r="W82" s="2341"/>
      <c r="X82" s="2341"/>
      <c r="Y82" s="2341"/>
      <c r="Z82" s="2341"/>
      <c r="AA82" s="2341"/>
      <c r="AB82" s="2341"/>
      <c r="AC82" s="2341"/>
      <c r="AD82" s="2341"/>
      <c r="AE82" s="2341"/>
      <c r="AF82" s="2341"/>
      <c r="AG82" s="2341"/>
      <c r="AH82" s="2341"/>
      <c r="AI82" s="2341"/>
      <c r="AJ82" s="2342"/>
      <c r="AK82" s="544"/>
      <c r="AL82" s="541"/>
      <c r="AM82" s="541"/>
      <c r="AN82" s="536"/>
    </row>
    <row r="83" spans="1:43" s="537" customFormat="1" ht="12.75" customHeight="1">
      <c r="A83" s="539"/>
      <c r="B83" s="541"/>
      <c r="C83" s="541"/>
      <c r="D83" s="551"/>
      <c r="E83" s="541"/>
      <c r="F83" s="541"/>
      <c r="G83" s="541"/>
      <c r="H83" s="541"/>
      <c r="I83" s="541"/>
      <c r="J83" s="541"/>
      <c r="K83" s="541"/>
      <c r="L83" s="541"/>
      <c r="M83" s="541"/>
      <c r="N83" s="541"/>
      <c r="O83" s="541"/>
      <c r="P83" s="541"/>
      <c r="Q83" s="541"/>
      <c r="R83" s="541"/>
      <c r="S83" s="541"/>
      <c r="T83" s="541"/>
      <c r="U83" s="541"/>
      <c r="V83" s="541"/>
      <c r="W83" s="541"/>
      <c r="X83" s="541"/>
      <c r="Y83" s="541"/>
      <c r="Z83" s="541"/>
      <c r="AA83" s="541"/>
      <c r="AB83" s="541"/>
      <c r="AC83" s="541"/>
      <c r="AD83" s="541"/>
      <c r="AE83" s="541"/>
      <c r="AF83" s="541"/>
      <c r="AG83" s="541"/>
      <c r="AH83" s="541"/>
      <c r="AI83" s="541"/>
      <c r="AJ83" s="541"/>
      <c r="AK83" s="544"/>
      <c r="AL83" s="541"/>
      <c r="AM83" s="541"/>
      <c r="AN83" s="536"/>
    </row>
    <row r="84" spans="1:43" s="537" customFormat="1" ht="12.75" customHeight="1">
      <c r="A84" s="562"/>
      <c r="B84" s="563"/>
      <c r="C84" s="563"/>
      <c r="D84" s="563"/>
      <c r="E84" s="563"/>
      <c r="F84" s="563"/>
      <c r="G84" s="564"/>
      <c r="H84" s="565"/>
      <c r="I84" s="565"/>
      <c r="J84" s="565"/>
      <c r="K84" s="565"/>
      <c r="L84" s="565"/>
      <c r="M84" s="565"/>
      <c r="N84" s="565"/>
      <c r="O84" s="565"/>
      <c r="P84" s="565"/>
      <c r="Q84" s="565"/>
      <c r="R84" s="565"/>
      <c r="S84" s="565"/>
      <c r="T84" s="565"/>
      <c r="U84" s="565"/>
      <c r="V84" s="565"/>
      <c r="W84" s="565"/>
      <c r="X84" s="565"/>
      <c r="Y84" s="565"/>
      <c r="Z84" s="565"/>
      <c r="AA84" s="565"/>
      <c r="AB84" s="565"/>
      <c r="AC84" s="565"/>
      <c r="AD84" s="565"/>
      <c r="AE84" s="565"/>
      <c r="AF84" s="565"/>
      <c r="AG84" s="565"/>
      <c r="AH84" s="565"/>
      <c r="AI84" s="566"/>
      <c r="AJ84" s="566" t="s">
        <v>1320</v>
      </c>
      <c r="AK84" s="2369">
        <f>IF(AK62&gt;0,0,AO71)</f>
        <v>10</v>
      </c>
      <c r="AL84" s="2370"/>
      <c r="AM84" s="2371"/>
      <c r="AN84" s="536"/>
    </row>
    <row r="85" spans="1:43" s="537" customFormat="1" ht="12.75" customHeight="1" thickBot="1">
      <c r="A85" s="567"/>
      <c r="B85" s="568"/>
      <c r="C85" s="569"/>
      <c r="D85" s="569"/>
      <c r="E85" s="569"/>
      <c r="F85" s="569"/>
      <c r="G85" s="569"/>
      <c r="H85" s="569"/>
      <c r="I85" s="569"/>
      <c r="J85" s="569"/>
      <c r="K85" s="569"/>
      <c r="L85" s="569"/>
      <c r="M85" s="569"/>
      <c r="N85" s="569"/>
      <c r="O85" s="569"/>
      <c r="P85" s="569"/>
      <c r="Q85" s="569"/>
      <c r="R85" s="569"/>
      <c r="S85" s="569"/>
      <c r="T85" s="569"/>
      <c r="U85" s="569"/>
      <c r="V85" s="569"/>
      <c r="W85" s="569"/>
      <c r="X85" s="569"/>
      <c r="Y85" s="569"/>
      <c r="Z85" s="569"/>
      <c r="AA85" s="569"/>
      <c r="AB85" s="569"/>
      <c r="AC85" s="569"/>
      <c r="AD85" s="569"/>
      <c r="AE85" s="569"/>
      <c r="AF85" s="569"/>
      <c r="AG85" s="569"/>
      <c r="AH85" s="569"/>
      <c r="AI85" s="569"/>
      <c r="AJ85" s="569"/>
      <c r="AK85" s="569"/>
      <c r="AL85" s="569"/>
      <c r="AM85" s="570"/>
      <c r="AN85" s="536"/>
    </row>
    <row r="86" spans="1:43" s="537" customFormat="1" ht="12.75" customHeight="1" thickTop="1">
      <c r="A86" s="571"/>
      <c r="B86" s="572"/>
      <c r="C86" s="573"/>
      <c r="D86" s="573"/>
      <c r="E86" s="573"/>
      <c r="F86" s="573"/>
      <c r="G86" s="573"/>
      <c r="H86" s="573"/>
      <c r="I86" s="574"/>
      <c r="J86" s="574"/>
      <c r="K86" s="574"/>
      <c r="L86" s="574"/>
      <c r="M86" s="574"/>
      <c r="N86" s="574"/>
      <c r="O86" s="574"/>
      <c r="P86" s="574"/>
      <c r="Q86" s="574"/>
      <c r="R86" s="571"/>
      <c r="S86" s="540"/>
      <c r="T86" s="540"/>
      <c r="U86" s="540"/>
      <c r="V86" s="540"/>
      <c r="W86" s="540"/>
      <c r="X86" s="540"/>
      <c r="Y86" s="540"/>
      <c r="Z86" s="540"/>
      <c r="AA86" s="540"/>
      <c r="AB86" s="540"/>
      <c r="AC86" s="540"/>
      <c r="AD86" s="540"/>
      <c r="AE86" s="540"/>
      <c r="AF86" s="571"/>
      <c r="AG86" s="540"/>
      <c r="AH86" s="540"/>
      <c r="AI86" s="540"/>
      <c r="AJ86" s="540"/>
      <c r="AK86" s="551"/>
      <c r="AL86" s="551"/>
      <c r="AM86" s="551"/>
      <c r="AN86" s="536"/>
    </row>
    <row r="87" spans="1:43" s="537" customFormat="1" ht="12.75" customHeight="1">
      <c r="A87" s="539" t="s">
        <v>1321</v>
      </c>
      <c r="B87" s="540" t="s">
        <v>1322</v>
      </c>
      <c r="C87" s="540"/>
      <c r="D87" s="540"/>
      <c r="E87" s="540"/>
      <c r="F87" s="540"/>
      <c r="G87" s="540"/>
      <c r="H87" s="540"/>
      <c r="I87" s="540"/>
      <c r="J87" s="540"/>
      <c r="K87" s="540"/>
      <c r="L87" s="540"/>
      <c r="M87" s="540"/>
      <c r="N87" s="540"/>
      <c r="O87" s="540"/>
      <c r="P87" s="540"/>
      <c r="Q87" s="540"/>
      <c r="R87" s="540"/>
      <c r="S87" s="540"/>
      <c r="T87" s="540"/>
      <c r="U87" s="540"/>
      <c r="V87" s="540"/>
      <c r="W87" s="540"/>
      <c r="X87" s="540"/>
      <c r="Y87" s="540"/>
      <c r="Z87" s="540"/>
      <c r="AA87" s="540"/>
      <c r="AB87" s="540"/>
      <c r="AC87" s="540"/>
      <c r="AD87" s="540"/>
      <c r="AE87" s="2346" t="s">
        <v>1304</v>
      </c>
      <c r="AF87" s="2346"/>
      <c r="AG87" s="2346"/>
      <c r="AH87" s="2346"/>
      <c r="AI87" s="2346"/>
      <c r="AJ87" s="2346"/>
      <c r="AK87" s="2346"/>
      <c r="AL87" s="541"/>
      <c r="AM87" s="541"/>
      <c r="AN87" s="536"/>
    </row>
    <row r="88" spans="1:43" s="537" customFormat="1" ht="12.75" customHeight="1">
      <c r="A88" s="539"/>
      <c r="B88" s="540" t="s">
        <v>1323</v>
      </c>
      <c r="C88" s="540"/>
      <c r="D88" s="540"/>
      <c r="E88" s="540"/>
      <c r="F88" s="540"/>
      <c r="G88" s="540"/>
      <c r="H88" s="540"/>
      <c r="I88" s="540"/>
      <c r="J88" s="540"/>
      <c r="K88" s="540"/>
      <c r="L88" s="540"/>
      <c r="M88" s="540"/>
      <c r="N88" s="540"/>
      <c r="O88" s="540"/>
      <c r="P88" s="540"/>
      <c r="Q88" s="540"/>
      <c r="R88" s="540"/>
      <c r="S88" s="540"/>
      <c r="T88" s="540"/>
      <c r="U88" s="540"/>
      <c r="V88" s="540"/>
      <c r="W88" s="540"/>
      <c r="X88" s="540"/>
      <c r="Y88" s="540"/>
      <c r="Z88" s="540"/>
      <c r="AA88" s="540"/>
      <c r="AB88" s="540"/>
      <c r="AC88" s="540"/>
      <c r="AD88" s="540"/>
      <c r="AE88" s="544"/>
      <c r="AF88" s="544"/>
      <c r="AG88" s="544"/>
      <c r="AH88" s="544"/>
      <c r="AI88" s="544"/>
      <c r="AJ88" s="544"/>
      <c r="AK88" s="544"/>
      <c r="AL88" s="541"/>
      <c r="AM88" s="541"/>
      <c r="AN88" s="536"/>
    </row>
    <row r="89" spans="1:43" s="537" customFormat="1" ht="12.75" customHeight="1">
      <c r="A89" s="539"/>
      <c r="B89" s="540"/>
      <c r="C89" s="540"/>
      <c r="D89" s="540"/>
      <c r="E89" s="540"/>
      <c r="F89" s="540"/>
      <c r="G89" s="540"/>
      <c r="H89" s="540"/>
      <c r="I89" s="540"/>
      <c r="J89" s="540"/>
      <c r="K89" s="540"/>
      <c r="L89" s="540"/>
      <c r="M89" s="540"/>
      <c r="N89" s="540"/>
      <c r="O89" s="540"/>
      <c r="P89" s="540"/>
      <c r="Q89" s="540"/>
      <c r="R89" s="540"/>
      <c r="S89" s="540"/>
      <c r="T89" s="540"/>
      <c r="U89" s="540"/>
      <c r="V89" s="540"/>
      <c r="W89" s="540"/>
      <c r="X89" s="540"/>
      <c r="Y89" s="540"/>
      <c r="Z89" s="540"/>
      <c r="AA89" s="540"/>
      <c r="AB89" s="540"/>
      <c r="AC89" s="540"/>
      <c r="AD89" s="540"/>
      <c r="AE89" s="544"/>
      <c r="AF89" s="544"/>
      <c r="AG89" s="544"/>
      <c r="AH89" s="544"/>
      <c r="AI89" s="544"/>
      <c r="AJ89" s="544"/>
      <c r="AK89" s="544"/>
      <c r="AL89" s="541"/>
      <c r="AM89" s="541"/>
      <c r="AN89" s="536"/>
    </row>
    <row r="90" spans="1:43" s="537" customFormat="1" ht="12.75" customHeight="1">
      <c r="A90" s="539"/>
      <c r="B90" s="2336" t="s">
        <v>591</v>
      </c>
      <c r="C90" s="2336"/>
      <c r="D90" s="548" t="s">
        <v>1314</v>
      </c>
      <c r="E90" s="2347" t="s">
        <v>1324</v>
      </c>
      <c r="F90" s="2348"/>
      <c r="G90" s="2348"/>
      <c r="H90" s="2348"/>
      <c r="I90" s="2348"/>
      <c r="J90" s="2348"/>
      <c r="K90" s="2348"/>
      <c r="L90" s="2348"/>
      <c r="M90" s="2348"/>
      <c r="N90" s="2348"/>
      <c r="O90" s="2348"/>
      <c r="P90" s="2348"/>
      <c r="Q90" s="2348"/>
      <c r="R90" s="2348"/>
      <c r="S90" s="2348"/>
      <c r="T90" s="2348"/>
      <c r="U90" s="2348"/>
      <c r="V90" s="2348"/>
      <c r="W90" s="2348"/>
      <c r="X90" s="2348"/>
      <c r="Y90" s="2348"/>
      <c r="Z90" s="2348"/>
      <c r="AA90" s="2348"/>
      <c r="AB90" s="2348"/>
      <c r="AC90" s="2348"/>
      <c r="AD90" s="2348"/>
      <c r="AE90" s="2348"/>
      <c r="AF90" s="2348"/>
      <c r="AG90" s="2348"/>
      <c r="AH90" s="2348"/>
      <c r="AI90" s="2348"/>
      <c r="AJ90" s="2349"/>
      <c r="AK90" s="544"/>
      <c r="AL90" s="541"/>
      <c r="AM90" s="541"/>
      <c r="AN90" s="536"/>
    </row>
    <row r="91" spans="1:43" s="537" customFormat="1" ht="12.75" customHeight="1">
      <c r="A91" s="539"/>
      <c r="B91" s="540"/>
      <c r="C91" s="540"/>
      <c r="D91" s="540"/>
      <c r="E91" s="2350"/>
      <c r="F91" s="2351"/>
      <c r="G91" s="2351"/>
      <c r="H91" s="2351"/>
      <c r="I91" s="2351"/>
      <c r="J91" s="2351"/>
      <c r="K91" s="2351"/>
      <c r="L91" s="2351"/>
      <c r="M91" s="2351"/>
      <c r="N91" s="2351"/>
      <c r="O91" s="2351"/>
      <c r="P91" s="2351"/>
      <c r="Q91" s="2351"/>
      <c r="R91" s="2351"/>
      <c r="S91" s="2351"/>
      <c r="T91" s="2351"/>
      <c r="U91" s="2351"/>
      <c r="V91" s="2351"/>
      <c r="W91" s="2351"/>
      <c r="X91" s="2351"/>
      <c r="Y91" s="2351"/>
      <c r="Z91" s="2351"/>
      <c r="AA91" s="2351"/>
      <c r="AB91" s="2351"/>
      <c r="AC91" s="2351"/>
      <c r="AD91" s="2351"/>
      <c r="AE91" s="2351"/>
      <c r="AF91" s="2351"/>
      <c r="AG91" s="2351"/>
      <c r="AH91" s="2351"/>
      <c r="AI91" s="2351"/>
      <c r="AJ91" s="2352"/>
      <c r="AK91" s="544"/>
      <c r="AL91" s="541"/>
      <c r="AM91" s="541"/>
      <c r="AN91" s="536"/>
    </row>
    <row r="92" spans="1:43" s="537" customFormat="1" ht="12.75" customHeight="1">
      <c r="A92" s="539"/>
      <c r="B92" s="540"/>
      <c r="C92" s="540"/>
      <c r="D92" s="540"/>
      <c r="E92" s="577"/>
      <c r="F92" s="578"/>
      <c r="G92" s="578"/>
      <c r="H92" s="578"/>
      <c r="I92" s="578"/>
      <c r="J92" s="578"/>
      <c r="K92" s="578"/>
      <c r="L92" s="578"/>
      <c r="M92" s="578"/>
      <c r="N92" s="578"/>
      <c r="O92" s="578"/>
      <c r="P92" s="578"/>
      <c r="Q92" s="578"/>
      <c r="R92" s="578"/>
      <c r="S92" s="578"/>
      <c r="T92" s="578"/>
      <c r="U92" s="578"/>
      <c r="V92" s="578"/>
      <c r="W92" s="578"/>
      <c r="X92" s="578"/>
      <c r="Y92" s="578"/>
      <c r="Z92" s="579"/>
      <c r="AA92" s="579"/>
      <c r="AB92" s="579"/>
      <c r="AC92" s="578"/>
      <c r="AD92" s="578"/>
      <c r="AE92" s="578"/>
      <c r="AF92" s="578"/>
      <c r="AG92" s="578"/>
      <c r="AH92" s="578"/>
      <c r="AI92" s="578"/>
      <c r="AJ92" s="580"/>
      <c r="AK92" s="544"/>
      <c r="AL92" s="541"/>
      <c r="AM92" s="541"/>
      <c r="AN92" s="536"/>
    </row>
    <row r="93" spans="1:43" s="537" customFormat="1" ht="12.75" customHeight="1">
      <c r="A93" s="539"/>
      <c r="B93" s="540"/>
      <c r="C93" s="540"/>
      <c r="D93" s="540"/>
      <c r="E93" s="2330">
        <f>Application!AC753</f>
        <v>0.58260869565217388</v>
      </c>
      <c r="F93" s="2331"/>
      <c r="G93" s="2331"/>
      <c r="H93" s="2331"/>
      <c r="I93" s="578"/>
      <c r="J93" s="581" t="s">
        <v>1325</v>
      </c>
      <c r="K93" s="578"/>
      <c r="L93" s="578"/>
      <c r="M93" s="578"/>
      <c r="N93" s="578"/>
      <c r="O93" s="578"/>
      <c r="P93" s="578"/>
      <c r="Q93" s="578"/>
      <c r="R93" s="578"/>
      <c r="S93" s="578"/>
      <c r="T93" s="578"/>
      <c r="U93" s="578"/>
      <c r="V93" s="578"/>
      <c r="W93" s="578"/>
      <c r="X93" s="578"/>
      <c r="Y93" s="578"/>
      <c r="Z93" s="582"/>
      <c r="AA93" s="582"/>
      <c r="AB93" s="582"/>
      <c r="AC93" s="578"/>
      <c r="AD93" s="578"/>
      <c r="AE93" s="578"/>
      <c r="AF93" s="578"/>
      <c r="AG93" s="578"/>
      <c r="AH93" s="578"/>
      <c r="AI93" s="578"/>
      <c r="AJ93" s="580"/>
      <c r="AK93" s="544"/>
      <c r="AL93" s="541"/>
      <c r="AM93" s="541"/>
      <c r="AN93" s="536"/>
    </row>
    <row r="94" spans="1:43" s="537" customFormat="1" ht="12.75" customHeight="1">
      <c r="A94" s="539"/>
      <c r="B94" s="540"/>
      <c r="C94" s="540"/>
      <c r="D94" s="540"/>
      <c r="E94" s="2332">
        <f>0.6-ROUNDUP(E93,2)</f>
        <v>1.0000000000000009E-2</v>
      </c>
      <c r="F94" s="2333"/>
      <c r="G94" s="2333"/>
      <c r="H94" s="2333"/>
      <c r="I94" s="578"/>
      <c r="J94" s="581" t="s">
        <v>1326</v>
      </c>
      <c r="K94" s="578"/>
      <c r="L94" s="578"/>
      <c r="M94" s="578"/>
      <c r="N94" s="578"/>
      <c r="O94" s="578"/>
      <c r="P94" s="578"/>
      <c r="Q94" s="578"/>
      <c r="R94" s="578"/>
      <c r="S94" s="578"/>
      <c r="T94" s="578"/>
      <c r="U94" s="578"/>
      <c r="V94" s="578"/>
      <c r="W94" s="578"/>
      <c r="X94" s="578"/>
      <c r="Y94" s="578"/>
      <c r="Z94" s="578"/>
      <c r="AA94" s="578"/>
      <c r="AB94" s="578"/>
      <c r="AC94" s="578"/>
      <c r="AD94" s="578"/>
      <c r="AE94" s="578"/>
      <c r="AF94" s="578"/>
      <c r="AG94" s="578"/>
      <c r="AH94" s="578"/>
      <c r="AI94" s="578"/>
      <c r="AJ94" s="580"/>
      <c r="AK94" s="544"/>
      <c r="AL94" s="541"/>
      <c r="AM94" s="541"/>
      <c r="AN94" s="536"/>
    </row>
    <row r="95" spans="1:43" s="537" customFormat="1" ht="12.75" customHeight="1">
      <c r="A95" s="539"/>
      <c r="B95" s="540"/>
      <c r="C95" s="540"/>
      <c r="D95" s="540"/>
      <c r="E95" s="2363">
        <f>IF(E94*200&gt;20,20,E94*200)</f>
        <v>2.0000000000000018</v>
      </c>
      <c r="F95" s="2364"/>
      <c r="G95" s="2364"/>
      <c r="H95" s="2364"/>
      <c r="I95" s="578"/>
      <c r="J95" s="581" t="s">
        <v>1327</v>
      </c>
      <c r="K95" s="578"/>
      <c r="L95" s="578"/>
      <c r="M95" s="578"/>
      <c r="N95" s="578"/>
      <c r="O95" s="578"/>
      <c r="P95" s="578"/>
      <c r="Q95" s="578"/>
      <c r="R95" s="578"/>
      <c r="S95" s="578"/>
      <c r="T95" s="578"/>
      <c r="U95" s="578"/>
      <c r="V95" s="578"/>
      <c r="W95" s="578"/>
      <c r="X95" s="578"/>
      <c r="Y95" s="578"/>
      <c r="Z95" s="578"/>
      <c r="AA95" s="578"/>
      <c r="AB95" s="578"/>
      <c r="AC95" s="578"/>
      <c r="AD95" s="578"/>
      <c r="AE95" s="578"/>
      <c r="AF95" s="578"/>
      <c r="AG95" s="578"/>
      <c r="AH95" s="578"/>
      <c r="AI95" s="578"/>
      <c r="AJ95" s="580"/>
      <c r="AK95" s="544"/>
      <c r="AL95" s="541"/>
      <c r="AM95" s="541"/>
      <c r="AN95" s="536"/>
      <c r="AP95" s="537">
        <f>IF(B90="yes",E95,0)</f>
        <v>0</v>
      </c>
      <c r="AQ95" s="537" t="s">
        <v>1307</v>
      </c>
    </row>
    <row r="96" spans="1:43" s="537" customFormat="1" ht="12.75" customHeight="1">
      <c r="A96" s="539"/>
      <c r="B96" s="540"/>
      <c r="C96" s="540"/>
      <c r="D96" s="540"/>
      <c r="E96" s="583"/>
      <c r="F96" s="584"/>
      <c r="G96" s="584"/>
      <c r="H96" s="584"/>
      <c r="I96" s="584"/>
      <c r="J96" s="584"/>
      <c r="K96" s="584"/>
      <c r="L96" s="584"/>
      <c r="M96" s="584"/>
      <c r="N96" s="584"/>
      <c r="O96" s="584"/>
      <c r="P96" s="584"/>
      <c r="Q96" s="584"/>
      <c r="R96" s="584"/>
      <c r="S96" s="584"/>
      <c r="T96" s="584"/>
      <c r="U96" s="584"/>
      <c r="V96" s="584"/>
      <c r="W96" s="584"/>
      <c r="X96" s="584"/>
      <c r="Y96" s="584"/>
      <c r="Z96" s="584"/>
      <c r="AA96" s="584"/>
      <c r="AB96" s="584"/>
      <c r="AC96" s="584"/>
      <c r="AD96" s="584"/>
      <c r="AE96" s="585"/>
      <c r="AF96" s="585"/>
      <c r="AG96" s="585"/>
      <c r="AH96" s="585"/>
      <c r="AI96" s="585"/>
      <c r="AJ96" s="586"/>
      <c r="AK96" s="544"/>
      <c r="AL96" s="541"/>
      <c r="AM96" s="541"/>
      <c r="AN96" s="536"/>
    </row>
    <row r="97" spans="1:47" s="537" customFormat="1" ht="12.75" customHeight="1">
      <c r="A97" s="539"/>
      <c r="B97" s="540"/>
      <c r="C97" s="540"/>
      <c r="D97" s="540"/>
      <c r="E97" s="540"/>
      <c r="F97" s="540"/>
      <c r="G97" s="540"/>
      <c r="H97" s="540"/>
      <c r="I97" s="540"/>
      <c r="J97" s="540"/>
      <c r="K97" s="540"/>
      <c r="L97" s="540"/>
      <c r="M97" s="540"/>
      <c r="N97" s="540"/>
      <c r="O97" s="540"/>
      <c r="P97" s="540"/>
      <c r="Q97" s="540"/>
      <c r="R97" s="540"/>
      <c r="S97" s="540"/>
      <c r="T97" s="540"/>
      <c r="U97" s="540"/>
      <c r="V97" s="540"/>
      <c r="W97" s="540"/>
      <c r="X97" s="540"/>
      <c r="Y97" s="540"/>
      <c r="Z97" s="540"/>
      <c r="AA97" s="540"/>
      <c r="AB97" s="540"/>
      <c r="AC97" s="540"/>
      <c r="AD97" s="540"/>
      <c r="AE97" s="544"/>
      <c r="AF97" s="544"/>
      <c r="AG97" s="544"/>
      <c r="AH97" s="544"/>
      <c r="AI97" s="544"/>
      <c r="AJ97" s="544"/>
      <c r="AK97" s="544"/>
      <c r="AL97" s="541"/>
      <c r="AM97" s="541"/>
      <c r="AN97" s="536"/>
    </row>
    <row r="98" spans="1:47" s="537" customFormat="1" ht="12.75" customHeight="1">
      <c r="A98" s="539"/>
      <c r="B98" s="2336" t="s">
        <v>545</v>
      </c>
      <c r="C98" s="2336"/>
      <c r="D98" s="548" t="s">
        <v>1316</v>
      </c>
      <c r="E98" s="2347" t="s">
        <v>1724</v>
      </c>
      <c r="F98" s="2348"/>
      <c r="G98" s="2348"/>
      <c r="H98" s="2348"/>
      <c r="I98" s="2348"/>
      <c r="J98" s="2348"/>
      <c r="K98" s="2348"/>
      <c r="L98" s="2348"/>
      <c r="M98" s="2348"/>
      <c r="N98" s="2348"/>
      <c r="O98" s="2348"/>
      <c r="P98" s="2348"/>
      <c r="Q98" s="2348"/>
      <c r="R98" s="2348"/>
      <c r="S98" s="2348"/>
      <c r="T98" s="2348"/>
      <c r="U98" s="2348"/>
      <c r="V98" s="2348"/>
      <c r="W98" s="2348"/>
      <c r="X98" s="2348"/>
      <c r="Y98" s="2348"/>
      <c r="Z98" s="2348"/>
      <c r="AA98" s="2348"/>
      <c r="AB98" s="2348"/>
      <c r="AC98" s="2348"/>
      <c r="AD98" s="2348"/>
      <c r="AE98" s="2348"/>
      <c r="AF98" s="2348"/>
      <c r="AG98" s="2348"/>
      <c r="AH98" s="2348"/>
      <c r="AI98" s="2348"/>
      <c r="AJ98" s="2349"/>
      <c r="AK98" s="544"/>
      <c r="AL98" s="541"/>
      <c r="AM98" s="541"/>
      <c r="AN98" s="536"/>
    </row>
    <row r="99" spans="1:47" s="537" customFormat="1" ht="12.75" customHeight="1">
      <c r="A99" s="539"/>
      <c r="B99" s="540"/>
      <c r="C99" s="540"/>
      <c r="D99" s="540"/>
      <c r="E99" s="2350"/>
      <c r="F99" s="2351"/>
      <c r="G99" s="2351"/>
      <c r="H99" s="2351"/>
      <c r="I99" s="2351"/>
      <c r="J99" s="2351"/>
      <c r="K99" s="2351"/>
      <c r="L99" s="2351"/>
      <c r="M99" s="2351"/>
      <c r="N99" s="2351"/>
      <c r="O99" s="2351"/>
      <c r="P99" s="2351"/>
      <c r="Q99" s="2351"/>
      <c r="R99" s="2351"/>
      <c r="S99" s="2351"/>
      <c r="T99" s="2351"/>
      <c r="U99" s="2351"/>
      <c r="V99" s="2351"/>
      <c r="W99" s="2351"/>
      <c r="X99" s="2351"/>
      <c r="Y99" s="2351"/>
      <c r="Z99" s="2351"/>
      <c r="AA99" s="2351"/>
      <c r="AB99" s="2351"/>
      <c r="AC99" s="2351"/>
      <c r="AD99" s="2351"/>
      <c r="AE99" s="2351"/>
      <c r="AF99" s="2351"/>
      <c r="AG99" s="2351"/>
      <c r="AH99" s="2351"/>
      <c r="AI99" s="2351"/>
      <c r="AJ99" s="2352"/>
      <c r="AK99" s="544"/>
      <c r="AL99" s="541"/>
      <c r="AM99" s="541"/>
      <c r="AN99" s="536"/>
    </row>
    <row r="100" spans="1:47" s="537" customFormat="1" ht="12.75" customHeight="1">
      <c r="A100" s="539"/>
      <c r="B100" s="540"/>
      <c r="C100" s="540"/>
      <c r="D100" s="540"/>
      <c r="E100" s="2350"/>
      <c r="F100" s="2351"/>
      <c r="G100" s="2351"/>
      <c r="H100" s="2351"/>
      <c r="I100" s="2351"/>
      <c r="J100" s="2351"/>
      <c r="K100" s="2351"/>
      <c r="L100" s="2351"/>
      <c r="M100" s="2351"/>
      <c r="N100" s="2351"/>
      <c r="O100" s="2351"/>
      <c r="P100" s="2351"/>
      <c r="Q100" s="2351"/>
      <c r="R100" s="2351"/>
      <c r="S100" s="2351"/>
      <c r="T100" s="2351"/>
      <c r="U100" s="2351"/>
      <c r="V100" s="2351"/>
      <c r="W100" s="2351"/>
      <c r="X100" s="2351"/>
      <c r="Y100" s="2351"/>
      <c r="Z100" s="2351"/>
      <c r="AA100" s="2351"/>
      <c r="AB100" s="2351"/>
      <c r="AC100" s="2351"/>
      <c r="AD100" s="2351"/>
      <c r="AE100" s="2351"/>
      <c r="AF100" s="2351"/>
      <c r="AG100" s="2351"/>
      <c r="AH100" s="2351"/>
      <c r="AI100" s="2351"/>
      <c r="AJ100" s="2352"/>
      <c r="AK100" s="544"/>
      <c r="AL100" s="541"/>
      <c r="AM100" s="541"/>
      <c r="AN100" s="536"/>
    </row>
    <row r="101" spans="1:47" s="537" customFormat="1" ht="12.75" customHeight="1">
      <c r="A101" s="539"/>
      <c r="B101" s="540"/>
      <c r="C101" s="540"/>
      <c r="D101" s="540"/>
      <c r="E101" s="2350"/>
      <c r="F101" s="2351"/>
      <c r="G101" s="2351"/>
      <c r="H101" s="2351"/>
      <c r="I101" s="2351"/>
      <c r="J101" s="2351"/>
      <c r="K101" s="2351"/>
      <c r="L101" s="2351"/>
      <c r="M101" s="2351"/>
      <c r="N101" s="2351"/>
      <c r="O101" s="2351"/>
      <c r="P101" s="2351"/>
      <c r="Q101" s="2351"/>
      <c r="R101" s="2351"/>
      <c r="S101" s="2351"/>
      <c r="T101" s="2351"/>
      <c r="U101" s="2351"/>
      <c r="V101" s="2351"/>
      <c r="W101" s="2351"/>
      <c r="X101" s="2351"/>
      <c r="Y101" s="2351"/>
      <c r="Z101" s="2351"/>
      <c r="AA101" s="2351"/>
      <c r="AB101" s="2351"/>
      <c r="AC101" s="2351"/>
      <c r="AD101" s="2351"/>
      <c r="AE101" s="2351"/>
      <c r="AF101" s="2351"/>
      <c r="AG101" s="2351"/>
      <c r="AH101" s="2351"/>
      <c r="AI101" s="2351"/>
      <c r="AJ101" s="2352"/>
      <c r="AK101" s="544"/>
      <c r="AL101" s="541"/>
      <c r="AM101" s="541"/>
      <c r="AN101" s="536"/>
    </row>
    <row r="102" spans="1:47" s="537" customFormat="1" ht="12.75" customHeight="1">
      <c r="A102" s="539"/>
      <c r="B102" s="540"/>
      <c r="C102" s="540"/>
      <c r="D102" s="540"/>
      <c r="E102" s="587"/>
      <c r="F102" s="554"/>
      <c r="G102" s="554"/>
      <c r="H102" s="554"/>
      <c r="I102" s="554"/>
      <c r="J102" s="554"/>
      <c r="K102" s="554"/>
      <c r="L102" s="554"/>
      <c r="M102" s="554"/>
      <c r="N102" s="554"/>
      <c r="O102" s="554"/>
      <c r="P102" s="554"/>
      <c r="Q102" s="554"/>
      <c r="R102" s="554"/>
      <c r="S102" s="554"/>
      <c r="T102" s="554"/>
      <c r="U102" s="554"/>
      <c r="V102" s="554"/>
      <c r="W102" s="554"/>
      <c r="X102" s="554"/>
      <c r="Y102" s="554"/>
      <c r="Z102" s="554"/>
      <c r="AA102" s="554"/>
      <c r="AB102" s="554"/>
      <c r="AC102" s="554"/>
      <c r="AD102" s="554"/>
      <c r="AE102" s="554"/>
      <c r="AF102" s="554"/>
      <c r="AG102" s="554"/>
      <c r="AH102" s="554"/>
      <c r="AI102" s="554"/>
      <c r="AJ102" s="555"/>
      <c r="AK102" s="544"/>
      <c r="AL102" s="541"/>
      <c r="AM102" s="541"/>
      <c r="AN102" s="536"/>
    </row>
    <row r="103" spans="1:47" s="537" customFormat="1" ht="12.75" customHeight="1">
      <c r="A103" s="539"/>
      <c r="B103" s="540"/>
      <c r="C103" s="540"/>
      <c r="D103" s="540"/>
      <c r="E103" s="2330">
        <f>Application!AC753</f>
        <v>0.58260869565217388</v>
      </c>
      <c r="F103" s="2331"/>
      <c r="G103" s="2331"/>
      <c r="H103" s="2331"/>
      <c r="I103" s="578"/>
      <c r="J103" s="581" t="s">
        <v>1325</v>
      </c>
      <c r="K103" s="578"/>
      <c r="L103" s="578"/>
      <c r="M103" s="578"/>
      <c r="N103" s="578"/>
      <c r="O103" s="578"/>
      <c r="P103" s="578"/>
      <c r="Q103" s="578"/>
      <c r="R103" s="554"/>
      <c r="S103" s="554"/>
      <c r="T103" s="554"/>
      <c r="U103" s="554"/>
      <c r="V103" s="554"/>
      <c r="W103" s="554"/>
      <c r="X103" s="554"/>
      <c r="Y103" s="554"/>
      <c r="Z103" s="554"/>
      <c r="AA103" s="554"/>
      <c r="AB103" s="554"/>
      <c r="AC103" s="554"/>
      <c r="AD103" s="554"/>
      <c r="AE103" s="554"/>
      <c r="AF103" s="554"/>
      <c r="AG103" s="554"/>
      <c r="AH103" s="554"/>
      <c r="AI103" s="554"/>
      <c r="AJ103" s="555"/>
      <c r="AK103" s="544"/>
      <c r="AL103" s="541"/>
      <c r="AM103" s="541"/>
      <c r="AN103" s="536"/>
    </row>
    <row r="104" spans="1:47" s="537" customFormat="1" ht="12.75" customHeight="1">
      <c r="A104" s="539"/>
      <c r="B104" s="540"/>
      <c r="C104" s="540"/>
      <c r="D104" s="540"/>
      <c r="E104" s="2330">
        <f ca="1">SUMIF(Application!AC718:AG752,0.2,Application!G718:J752)/Application!G753+SUMIF(Application!AC718:AG752,0.25,Application!G718:J752)/Application!G753+SUMIF(Application!AC718:AG752,0.3,Application!G718:J752)/Application!G753</f>
        <v>0.10434782608695652</v>
      </c>
      <c r="F104" s="2331"/>
      <c r="G104" s="2331"/>
      <c r="H104" s="2331"/>
      <c r="I104" s="578"/>
      <c r="J104" s="581" t="s">
        <v>1328</v>
      </c>
      <c r="K104" s="578"/>
      <c r="L104" s="578"/>
      <c r="M104" s="578"/>
      <c r="N104" s="578"/>
      <c r="O104" s="578"/>
      <c r="P104" s="578"/>
      <c r="Q104" s="578"/>
      <c r="R104" s="554"/>
      <c r="S104" s="554"/>
      <c r="T104" s="554"/>
      <c r="U104" s="554"/>
      <c r="V104" s="554"/>
      <c r="W104" s="554"/>
      <c r="X104" s="554"/>
      <c r="Y104" s="554"/>
      <c r="Z104" s="554"/>
      <c r="AA104" s="554"/>
      <c r="AB104" s="554"/>
      <c r="AC104" s="554"/>
      <c r="AD104" s="554"/>
      <c r="AE104" s="554"/>
      <c r="AF104" s="554"/>
      <c r="AG104" s="554"/>
      <c r="AH104" s="554"/>
      <c r="AI104" s="554"/>
      <c r="AJ104" s="555"/>
      <c r="AK104" s="544"/>
      <c r="AL104" s="541"/>
      <c r="AM104" s="541"/>
      <c r="AN104" s="536"/>
      <c r="AU104" s="863"/>
    </row>
    <row r="105" spans="1:47" s="537" customFormat="1" ht="12.75" customHeight="1">
      <c r="A105" s="539"/>
      <c r="B105" s="540"/>
      <c r="C105" s="540"/>
      <c r="D105" s="540"/>
      <c r="E105" s="2330">
        <f ca="1">SUMIF(Application!AC718:AG752,0.35,Application!G718:J752)/Application!G753+SUMIF(Application!AC718:AG752,0.4,Application!G718:J752)/Application!G753+SUMIF(Application!AC718:AG752,0.45,Application!G718:J752)/Application!G753+SUMIF(Application!AC718:AG752,0.5,Application!G718:J752)/Application!G753</f>
        <v>0.10434782608695652</v>
      </c>
      <c r="F105" s="2331"/>
      <c r="G105" s="2331"/>
      <c r="H105" s="2331"/>
      <c r="I105" s="578"/>
      <c r="J105" s="581" t="s">
        <v>1329</v>
      </c>
      <c r="K105" s="578"/>
      <c r="L105" s="578"/>
      <c r="M105" s="578"/>
      <c r="N105" s="578"/>
      <c r="O105" s="578"/>
      <c r="P105" s="578"/>
      <c r="Q105" s="578"/>
      <c r="R105" s="554"/>
      <c r="S105" s="554"/>
      <c r="T105" s="554"/>
      <c r="U105" s="554"/>
      <c r="V105" s="554"/>
      <c r="W105" s="554"/>
      <c r="X105" s="554"/>
      <c r="Y105" s="554"/>
      <c r="Z105" s="554"/>
      <c r="AA105" s="554"/>
      <c r="AB105" s="554"/>
      <c r="AC105" s="554"/>
      <c r="AD105" s="554"/>
      <c r="AE105" s="554"/>
      <c r="AF105" s="554"/>
      <c r="AG105" s="554"/>
      <c r="AH105" s="554"/>
      <c r="AI105" s="554"/>
      <c r="AJ105" s="555"/>
      <c r="AK105" s="544"/>
      <c r="AL105" s="541"/>
      <c r="AM105" s="541"/>
      <c r="AN105" s="536"/>
      <c r="AU105" s="863"/>
    </row>
    <row r="106" spans="1:47" s="537" customFormat="1" ht="12.75" customHeight="1">
      <c r="A106" s="539"/>
      <c r="B106" s="540"/>
      <c r="C106" s="540"/>
      <c r="D106" s="540"/>
      <c r="E106" s="2388">
        <f ca="1">IF(AND(E103&lt;=0.6,OR(AND(E104&gt;=0.1,E105&gt;=0.1),AND(E104&gt;0.1,(E104+E105)&gt;=0.2))),20,0)</f>
        <v>20</v>
      </c>
      <c r="F106" s="2389"/>
      <c r="G106" s="2389"/>
      <c r="H106" s="2389"/>
      <c r="I106" s="554"/>
      <c r="J106" s="588" t="s">
        <v>1327</v>
      </c>
      <c r="K106" s="554"/>
      <c r="L106" s="554"/>
      <c r="M106" s="554"/>
      <c r="N106" s="554"/>
      <c r="O106" s="554"/>
      <c r="P106" s="554"/>
      <c r="Q106" s="554"/>
      <c r="R106" s="554"/>
      <c r="S106" s="554"/>
      <c r="T106" s="554"/>
      <c r="U106" s="554"/>
      <c r="V106" s="554"/>
      <c r="W106" s="554"/>
      <c r="X106" s="554"/>
      <c r="Y106" s="554"/>
      <c r="Z106" s="554"/>
      <c r="AA106" s="554"/>
      <c r="AB106" s="554"/>
      <c r="AC106" s="554"/>
      <c r="AD106" s="554"/>
      <c r="AE106" s="554"/>
      <c r="AF106" s="554"/>
      <c r="AG106" s="554"/>
      <c r="AH106" s="554"/>
      <c r="AI106" s="554"/>
      <c r="AJ106" s="555"/>
      <c r="AK106" s="544"/>
      <c r="AL106" s="541"/>
      <c r="AM106" s="541"/>
      <c r="AN106" s="536"/>
      <c r="AP106" s="537">
        <f ca="1">IF(B98="yes",E106,0)</f>
        <v>20</v>
      </c>
      <c r="AQ106" s="537" t="s">
        <v>1307</v>
      </c>
    </row>
    <row r="107" spans="1:47" s="537" customFormat="1" ht="12.75" customHeight="1">
      <c r="A107" s="539"/>
      <c r="B107" s="540"/>
      <c r="C107" s="540"/>
      <c r="D107" s="540"/>
      <c r="E107" s="583"/>
      <c r="F107" s="584"/>
      <c r="G107" s="584"/>
      <c r="H107" s="584"/>
      <c r="I107" s="584"/>
      <c r="J107" s="584"/>
      <c r="K107" s="584"/>
      <c r="L107" s="584"/>
      <c r="M107" s="584"/>
      <c r="N107" s="584"/>
      <c r="O107" s="584"/>
      <c r="P107" s="584"/>
      <c r="Q107" s="584"/>
      <c r="R107" s="584"/>
      <c r="S107" s="584"/>
      <c r="T107" s="584"/>
      <c r="U107" s="584"/>
      <c r="V107" s="584"/>
      <c r="W107" s="584"/>
      <c r="X107" s="584"/>
      <c r="Y107" s="584"/>
      <c r="Z107" s="584"/>
      <c r="AA107" s="584"/>
      <c r="AB107" s="584"/>
      <c r="AC107" s="584"/>
      <c r="AD107" s="584"/>
      <c r="AE107" s="585"/>
      <c r="AF107" s="585"/>
      <c r="AG107" s="585"/>
      <c r="AH107" s="585"/>
      <c r="AI107" s="585"/>
      <c r="AJ107" s="586"/>
      <c r="AK107" s="544"/>
      <c r="AL107" s="541"/>
      <c r="AM107" s="541"/>
      <c r="AN107" s="536"/>
    </row>
    <row r="108" spans="1:47" s="537" customFormat="1" ht="12.75" customHeight="1">
      <c r="A108" s="539"/>
      <c r="B108" s="540"/>
      <c r="C108" s="540"/>
      <c r="D108" s="540"/>
      <c r="E108" s="540"/>
      <c r="F108" s="540"/>
      <c r="G108" s="540"/>
      <c r="H108" s="540"/>
      <c r="I108" s="540"/>
      <c r="J108" s="540"/>
      <c r="K108" s="540"/>
      <c r="L108" s="540"/>
      <c r="M108" s="540"/>
      <c r="N108" s="540"/>
      <c r="O108" s="540"/>
      <c r="P108" s="540"/>
      <c r="Q108" s="540"/>
      <c r="R108" s="540"/>
      <c r="S108" s="540"/>
      <c r="T108" s="540"/>
      <c r="U108" s="540"/>
      <c r="V108" s="540"/>
      <c r="W108" s="540"/>
      <c r="X108" s="540"/>
      <c r="Y108" s="540"/>
      <c r="Z108" s="540"/>
      <c r="AA108" s="540"/>
      <c r="AB108" s="540"/>
      <c r="AC108" s="540"/>
      <c r="AD108" s="540"/>
      <c r="AE108" s="544"/>
      <c r="AF108" s="544"/>
      <c r="AG108" s="544"/>
      <c r="AH108" s="544"/>
      <c r="AI108" s="544"/>
      <c r="AJ108" s="544"/>
      <c r="AK108" s="544"/>
      <c r="AL108" s="541"/>
      <c r="AM108" s="541"/>
      <c r="AN108" s="536"/>
    </row>
    <row r="109" spans="1:47" s="537" customFormat="1" ht="12.75" customHeight="1">
      <c r="A109" s="562"/>
      <c r="B109" s="563"/>
      <c r="C109" s="563"/>
      <c r="D109" s="563"/>
      <c r="E109" s="563"/>
      <c r="F109" s="563"/>
      <c r="G109" s="564"/>
      <c r="H109" s="565"/>
      <c r="I109" s="565"/>
      <c r="J109" s="565"/>
      <c r="K109" s="565"/>
      <c r="L109" s="565"/>
      <c r="M109" s="565"/>
      <c r="N109" s="565"/>
      <c r="O109" s="565"/>
      <c r="P109" s="565"/>
      <c r="Q109" s="565"/>
      <c r="R109" s="565"/>
      <c r="S109" s="565"/>
      <c r="T109" s="565"/>
      <c r="U109" s="565"/>
      <c r="V109" s="565"/>
      <c r="W109" s="565"/>
      <c r="X109" s="565"/>
      <c r="Y109" s="565"/>
      <c r="Z109" s="565"/>
      <c r="AA109" s="565"/>
      <c r="AB109" s="565"/>
      <c r="AC109" s="565"/>
      <c r="AD109" s="565"/>
      <c r="AE109" s="565"/>
      <c r="AF109" s="565"/>
      <c r="AG109" s="565"/>
      <c r="AH109" s="565"/>
      <c r="AI109" s="566"/>
      <c r="AJ109" s="566" t="s">
        <v>1330</v>
      </c>
      <c r="AK109" s="2369">
        <f ca="1">MAX(AP95,AP106)</f>
        <v>20</v>
      </c>
      <c r="AL109" s="2370"/>
      <c r="AM109" s="2371"/>
      <c r="AN109" s="536"/>
    </row>
    <row r="110" spans="1:47" s="537" customFormat="1" ht="12.75" customHeight="1" thickBot="1">
      <c r="A110" s="567"/>
      <c r="B110" s="568"/>
      <c r="C110" s="569"/>
      <c r="D110" s="569"/>
      <c r="E110" s="569"/>
      <c r="F110" s="569"/>
      <c r="G110" s="569"/>
      <c r="H110" s="569"/>
      <c r="I110" s="569"/>
      <c r="J110" s="569"/>
      <c r="K110" s="569"/>
      <c r="L110" s="569"/>
      <c r="M110" s="569"/>
      <c r="N110" s="569"/>
      <c r="O110" s="569"/>
      <c r="P110" s="569"/>
      <c r="Q110" s="569"/>
      <c r="R110" s="569"/>
      <c r="S110" s="569"/>
      <c r="T110" s="569"/>
      <c r="U110" s="569"/>
      <c r="V110" s="569"/>
      <c r="W110" s="569"/>
      <c r="X110" s="569"/>
      <c r="Y110" s="569"/>
      <c r="Z110" s="569"/>
      <c r="AA110" s="569"/>
      <c r="AB110" s="569"/>
      <c r="AC110" s="569"/>
      <c r="AD110" s="569"/>
      <c r="AE110" s="569"/>
      <c r="AF110" s="569"/>
      <c r="AG110" s="569"/>
      <c r="AH110" s="569"/>
      <c r="AI110" s="569"/>
      <c r="AJ110" s="569"/>
      <c r="AK110" s="569"/>
      <c r="AL110" s="569"/>
      <c r="AM110" s="570"/>
      <c r="AN110" s="536"/>
    </row>
    <row r="111" spans="1:47" s="537" customFormat="1" ht="12.75" customHeight="1" thickTop="1">
      <c r="A111" s="571"/>
      <c r="B111" s="572"/>
      <c r="C111" s="573"/>
      <c r="D111" s="573"/>
      <c r="E111" s="573"/>
      <c r="F111" s="573"/>
      <c r="G111" s="573"/>
      <c r="H111" s="573"/>
      <c r="I111" s="574"/>
      <c r="J111" s="574"/>
      <c r="K111" s="574"/>
      <c r="L111" s="574"/>
      <c r="M111" s="574"/>
      <c r="N111" s="574"/>
      <c r="O111" s="574"/>
      <c r="P111" s="574"/>
      <c r="Q111" s="574"/>
      <c r="R111" s="571"/>
      <c r="S111" s="540"/>
      <c r="T111" s="540"/>
      <c r="U111" s="540"/>
      <c r="V111" s="540"/>
      <c r="W111" s="540"/>
      <c r="X111" s="540"/>
      <c r="Y111" s="540"/>
      <c r="Z111" s="540"/>
      <c r="AA111" s="540"/>
      <c r="AB111" s="540"/>
      <c r="AC111" s="540"/>
      <c r="AD111" s="540"/>
      <c r="AE111" s="540"/>
      <c r="AF111" s="571"/>
      <c r="AG111" s="540"/>
      <c r="AH111" s="540"/>
      <c r="AI111" s="540"/>
      <c r="AJ111" s="540"/>
      <c r="AK111" s="551"/>
      <c r="AL111" s="551"/>
      <c r="AM111" s="551"/>
      <c r="AN111" s="536"/>
    </row>
    <row r="112" spans="1:47" s="537" customFormat="1" ht="12.75" customHeight="1">
      <c r="A112" s="539" t="s">
        <v>1331</v>
      </c>
      <c r="B112" s="540" t="s">
        <v>1332</v>
      </c>
      <c r="C112" s="540"/>
      <c r="D112" s="540"/>
      <c r="E112" s="540"/>
      <c r="F112" s="540"/>
      <c r="G112" s="540"/>
      <c r="H112" s="540"/>
      <c r="I112" s="540"/>
      <c r="J112" s="540"/>
      <c r="K112" s="540"/>
      <c r="L112" s="540"/>
      <c r="M112" s="540"/>
      <c r="N112" s="540"/>
      <c r="O112" s="540"/>
      <c r="P112" s="540"/>
      <c r="Q112" s="540"/>
      <c r="R112" s="540"/>
      <c r="S112" s="540"/>
      <c r="T112" s="540"/>
      <c r="U112" s="540"/>
      <c r="V112" s="540"/>
      <c r="W112" s="540"/>
      <c r="X112" s="540"/>
      <c r="Y112" s="540"/>
      <c r="Z112" s="540"/>
      <c r="AA112" s="540"/>
      <c r="AB112" s="540"/>
      <c r="AC112" s="540"/>
      <c r="AD112" s="540"/>
      <c r="AE112" s="2346" t="s">
        <v>1313</v>
      </c>
      <c r="AF112" s="2346"/>
      <c r="AG112" s="2346"/>
      <c r="AH112" s="2346"/>
      <c r="AI112" s="2346"/>
      <c r="AJ112" s="2346"/>
      <c r="AK112" s="2346"/>
      <c r="AL112" s="541"/>
      <c r="AM112" s="541"/>
      <c r="AN112" s="536"/>
      <c r="AO112" s="537" t="str">
        <f>Application!B718</f>
        <v>SRO/Studio</v>
      </c>
      <c r="AQ112" s="537">
        <f>Application!O718</f>
        <v>728</v>
      </c>
    </row>
    <row r="113" spans="1:52" s="537" customFormat="1" ht="12.75" customHeight="1">
      <c r="A113" s="541"/>
      <c r="B113" s="540" t="s">
        <v>1323</v>
      </c>
      <c r="C113" s="540"/>
      <c r="D113" s="540"/>
      <c r="E113" s="540"/>
      <c r="F113" s="540"/>
      <c r="G113" s="540"/>
      <c r="H113" s="540"/>
      <c r="I113" s="540"/>
      <c r="J113" s="540"/>
      <c r="K113" s="540"/>
      <c r="L113" s="540"/>
      <c r="M113" s="540"/>
      <c r="N113" s="540"/>
      <c r="O113" s="540"/>
      <c r="P113" s="540"/>
      <c r="Q113" s="540"/>
      <c r="R113" s="540"/>
      <c r="S113" s="540"/>
      <c r="T113" s="540"/>
      <c r="U113" s="540"/>
      <c r="V113" s="540"/>
      <c r="W113" s="540"/>
      <c r="X113" s="540"/>
      <c r="Y113" s="540"/>
      <c r="Z113" s="540"/>
      <c r="AA113" s="540"/>
      <c r="AB113" s="540"/>
      <c r="AC113" s="540"/>
      <c r="AD113" s="540"/>
      <c r="AE113" s="544"/>
      <c r="AF113" s="544"/>
      <c r="AG113" s="544"/>
      <c r="AH113" s="544"/>
      <c r="AI113" s="544"/>
      <c r="AJ113" s="544"/>
      <c r="AK113" s="541"/>
      <c r="AL113" s="541"/>
      <c r="AM113" s="541"/>
      <c r="AN113" s="536"/>
      <c r="AO113" s="537" t="str">
        <f>Application!B719</f>
        <v>SRO/Studio</v>
      </c>
      <c r="AQ113" s="537">
        <f>Application!O719</f>
        <v>1213</v>
      </c>
    </row>
    <row r="114" spans="1:52" s="537" customFormat="1" ht="12.75" customHeight="1">
      <c r="A114" s="541"/>
      <c r="B114" s="540"/>
      <c r="C114" s="540"/>
      <c r="D114" s="540"/>
      <c r="E114" s="578"/>
      <c r="F114" s="578"/>
      <c r="G114" s="578"/>
      <c r="H114" s="578"/>
      <c r="I114" s="578"/>
      <c r="J114" s="578"/>
      <c r="K114" s="578"/>
      <c r="L114" s="578"/>
      <c r="M114" s="578"/>
      <c r="N114" s="578"/>
      <c r="O114" s="578"/>
      <c r="P114" s="578"/>
      <c r="Q114" s="578"/>
      <c r="R114" s="578"/>
      <c r="S114" s="578"/>
      <c r="T114" s="578"/>
      <c r="U114" s="578"/>
      <c r="V114" s="578"/>
      <c r="W114" s="578"/>
      <c r="X114" s="578"/>
      <c r="Y114" s="578"/>
      <c r="Z114" s="578"/>
      <c r="AA114" s="578"/>
      <c r="AB114" s="578"/>
      <c r="AC114" s="578"/>
      <c r="AD114" s="578"/>
      <c r="AE114" s="578"/>
      <c r="AF114" s="578"/>
      <c r="AG114" s="578"/>
      <c r="AH114" s="578"/>
      <c r="AI114" s="578"/>
      <c r="AJ114" s="578"/>
      <c r="AK114" s="541"/>
      <c r="AL114" s="541"/>
      <c r="AM114" s="541"/>
      <c r="AN114" s="536"/>
      <c r="AO114" s="537" t="str">
        <f>Application!B720</f>
        <v>SRO/Studio</v>
      </c>
      <c r="AQ114" s="537">
        <f>Application!O720</f>
        <v>1456</v>
      </c>
    </row>
    <row r="115" spans="1:52" s="537" customFormat="1" ht="12.75" customHeight="1">
      <c r="A115" s="541"/>
      <c r="B115" s="2336" t="s">
        <v>591</v>
      </c>
      <c r="C115" s="2336"/>
      <c r="D115" s="548" t="s">
        <v>1314</v>
      </c>
      <c r="E115" s="2347" t="s">
        <v>1857</v>
      </c>
      <c r="F115" s="2348"/>
      <c r="G115" s="2348"/>
      <c r="H115" s="2348"/>
      <c r="I115" s="2348"/>
      <c r="J115" s="2348"/>
      <c r="K115" s="2348"/>
      <c r="L115" s="2348"/>
      <c r="M115" s="2348"/>
      <c r="N115" s="2348"/>
      <c r="O115" s="2348"/>
      <c r="P115" s="2348"/>
      <c r="Q115" s="2348"/>
      <c r="R115" s="2348"/>
      <c r="S115" s="2348"/>
      <c r="T115" s="2348"/>
      <c r="U115" s="2348"/>
      <c r="V115" s="2348"/>
      <c r="W115" s="2348"/>
      <c r="X115" s="2348"/>
      <c r="Y115" s="2348"/>
      <c r="Z115" s="2348"/>
      <c r="AA115" s="2348"/>
      <c r="AB115" s="2348"/>
      <c r="AC115" s="2348"/>
      <c r="AD115" s="2348"/>
      <c r="AE115" s="2348"/>
      <c r="AF115" s="2348"/>
      <c r="AG115" s="2348"/>
      <c r="AH115" s="2348"/>
      <c r="AI115" s="2348"/>
      <c r="AJ115" s="2349"/>
      <c r="AK115" s="541"/>
      <c r="AL115" s="541"/>
      <c r="AM115" s="541"/>
      <c r="AN115" s="536"/>
      <c r="AO115" s="537" t="str">
        <f>Application!B721</f>
        <v>1 Bedroom</v>
      </c>
      <c r="AQ115" s="537">
        <f>Application!O721</f>
        <v>1560</v>
      </c>
      <c r="AU115" s="537" t="s">
        <v>1839</v>
      </c>
      <c r="AV115" s="596" t="s">
        <v>1840</v>
      </c>
      <c r="AW115" s="537" t="s">
        <v>1841</v>
      </c>
    </row>
    <row r="116" spans="1:52" s="537" customFormat="1" ht="12.75" customHeight="1">
      <c r="A116" s="541"/>
      <c r="B116" s="540"/>
      <c r="C116" s="540"/>
      <c r="D116" s="540"/>
      <c r="E116" s="2350"/>
      <c r="F116" s="2351"/>
      <c r="G116" s="2351"/>
      <c r="H116" s="2351"/>
      <c r="I116" s="2351"/>
      <c r="J116" s="2351"/>
      <c r="K116" s="2351"/>
      <c r="L116" s="2351"/>
      <c r="M116" s="2351"/>
      <c r="N116" s="2351"/>
      <c r="O116" s="2351"/>
      <c r="P116" s="2351"/>
      <c r="Q116" s="2351"/>
      <c r="R116" s="2351"/>
      <c r="S116" s="2351"/>
      <c r="T116" s="2351"/>
      <c r="U116" s="2351"/>
      <c r="V116" s="2351"/>
      <c r="W116" s="2351"/>
      <c r="X116" s="2351"/>
      <c r="Y116" s="2351"/>
      <c r="Z116" s="2351"/>
      <c r="AA116" s="2351"/>
      <c r="AB116" s="2351"/>
      <c r="AC116" s="2351"/>
      <c r="AD116" s="2351"/>
      <c r="AE116" s="2351"/>
      <c r="AF116" s="2351"/>
      <c r="AG116" s="2351"/>
      <c r="AH116" s="2351"/>
      <c r="AI116" s="2351"/>
      <c r="AJ116" s="2352"/>
      <c r="AK116" s="541"/>
      <c r="AL116" s="541"/>
      <c r="AM116" s="541"/>
      <c r="AN116" s="536"/>
      <c r="AO116" s="537" t="str">
        <f>Application!B722</f>
        <v>2 Bedrooms</v>
      </c>
      <c r="AQ116" s="537">
        <f>Application!O722</f>
        <v>1872</v>
      </c>
      <c r="AU116" s="857" t="str">
        <f>E124</f>
        <v>Studio/SRO</v>
      </c>
      <c r="AV116" s="537">
        <f t="array" ref="AV116">SUM(IF(Application!B718:F752="SRO/Studio",Application!G718:J752))</f>
        <v>101</v>
      </c>
      <c r="AW116" s="1012">
        <f>AV116/AV122</f>
        <v>0.43913043478260871</v>
      </c>
    </row>
    <row r="117" spans="1:52" s="537" customFormat="1" ht="12.75" customHeight="1">
      <c r="A117" s="541"/>
      <c r="B117" s="540"/>
      <c r="C117" s="540"/>
      <c r="D117" s="540"/>
      <c r="E117" s="2350"/>
      <c r="F117" s="2351"/>
      <c r="G117" s="2351"/>
      <c r="H117" s="2351"/>
      <c r="I117" s="2351"/>
      <c r="J117" s="2351"/>
      <c r="K117" s="2351"/>
      <c r="L117" s="2351"/>
      <c r="M117" s="2351"/>
      <c r="N117" s="2351"/>
      <c r="O117" s="2351"/>
      <c r="P117" s="2351"/>
      <c r="Q117" s="2351"/>
      <c r="R117" s="2351"/>
      <c r="S117" s="2351"/>
      <c r="T117" s="2351"/>
      <c r="U117" s="2351"/>
      <c r="V117" s="2351"/>
      <c r="W117" s="2351"/>
      <c r="X117" s="2351"/>
      <c r="Y117" s="2351"/>
      <c r="Z117" s="2351"/>
      <c r="AA117" s="2351"/>
      <c r="AB117" s="2351"/>
      <c r="AC117" s="2351"/>
      <c r="AD117" s="2351"/>
      <c r="AE117" s="2351"/>
      <c r="AF117" s="2351"/>
      <c r="AG117" s="2351"/>
      <c r="AH117" s="2351"/>
      <c r="AI117" s="2351"/>
      <c r="AJ117" s="2352"/>
      <c r="AK117" s="541"/>
      <c r="AL117" s="541"/>
      <c r="AM117" s="541"/>
      <c r="AN117" s="536"/>
      <c r="AO117" s="537" t="str">
        <f>Application!B723</f>
        <v>2 Bedrooms</v>
      </c>
      <c r="AQ117" s="537">
        <f>Application!O723</f>
        <v>2184</v>
      </c>
      <c r="AU117" s="857" t="str">
        <f>J124</f>
        <v>1-bedroom</v>
      </c>
      <c r="AV117" s="537">
        <f t="array" ref="AV117">SUM(IF(Application!B718:F752="1 Bedroom",Application!G718:J752))</f>
        <v>36</v>
      </c>
      <c r="AW117" s="1012">
        <f>AV117/AV122</f>
        <v>0.15652173913043479</v>
      </c>
    </row>
    <row r="118" spans="1:52" s="537" customFormat="1" ht="12.75" customHeight="1">
      <c r="A118" s="541"/>
      <c r="B118" s="540"/>
      <c r="C118" s="540"/>
      <c r="D118" s="540"/>
      <c r="E118" s="2350"/>
      <c r="F118" s="2351"/>
      <c r="G118" s="2351"/>
      <c r="H118" s="2351"/>
      <c r="I118" s="2351"/>
      <c r="J118" s="2351"/>
      <c r="K118" s="2351"/>
      <c r="L118" s="2351"/>
      <c r="M118" s="2351"/>
      <c r="N118" s="2351"/>
      <c r="O118" s="2351"/>
      <c r="P118" s="2351"/>
      <c r="Q118" s="2351"/>
      <c r="R118" s="2351"/>
      <c r="S118" s="2351"/>
      <c r="T118" s="2351"/>
      <c r="U118" s="2351"/>
      <c r="V118" s="2351"/>
      <c r="W118" s="2351"/>
      <c r="X118" s="2351"/>
      <c r="Y118" s="2351"/>
      <c r="Z118" s="2351"/>
      <c r="AA118" s="2351"/>
      <c r="AB118" s="2351"/>
      <c r="AC118" s="2351"/>
      <c r="AD118" s="2351"/>
      <c r="AE118" s="2351"/>
      <c r="AF118" s="2351"/>
      <c r="AG118" s="2351"/>
      <c r="AH118" s="2351"/>
      <c r="AI118" s="2351"/>
      <c r="AJ118" s="2352"/>
      <c r="AK118" s="541"/>
      <c r="AL118" s="541"/>
      <c r="AM118" s="541"/>
      <c r="AN118" s="536"/>
      <c r="AO118" s="537">
        <f>Application!B724</f>
        <v>0</v>
      </c>
      <c r="AQ118" s="537">
        <f>Application!O724</f>
        <v>0</v>
      </c>
      <c r="AU118" s="857" t="str">
        <f>O124</f>
        <v>2-bedroom</v>
      </c>
      <c r="AV118" s="537">
        <f t="array" ref="AV118">SUM(IF(Application!B718:F752="2 Bedrooms",Application!G718:J752))</f>
        <v>93</v>
      </c>
      <c r="AW118" s="1012">
        <f>AV118/AV122</f>
        <v>0.40434782608695652</v>
      </c>
    </row>
    <row r="119" spans="1:52" s="537" customFormat="1" ht="12.75" customHeight="1">
      <c r="A119" s="541"/>
      <c r="B119" s="540"/>
      <c r="C119" s="540"/>
      <c r="D119" s="540"/>
      <c r="E119" s="2350"/>
      <c r="F119" s="2351"/>
      <c r="G119" s="2351"/>
      <c r="H119" s="2351"/>
      <c r="I119" s="2351"/>
      <c r="J119" s="2351"/>
      <c r="K119" s="2351"/>
      <c r="L119" s="2351"/>
      <c r="M119" s="2351"/>
      <c r="N119" s="2351"/>
      <c r="O119" s="2351"/>
      <c r="P119" s="2351"/>
      <c r="Q119" s="2351"/>
      <c r="R119" s="2351"/>
      <c r="S119" s="2351"/>
      <c r="T119" s="2351"/>
      <c r="U119" s="2351"/>
      <c r="V119" s="2351"/>
      <c r="W119" s="2351"/>
      <c r="X119" s="2351"/>
      <c r="Y119" s="2351"/>
      <c r="Z119" s="2351"/>
      <c r="AA119" s="2351"/>
      <c r="AB119" s="2351"/>
      <c r="AC119" s="2351"/>
      <c r="AD119" s="2351"/>
      <c r="AE119" s="2351"/>
      <c r="AF119" s="2351"/>
      <c r="AG119" s="2351"/>
      <c r="AH119" s="2351"/>
      <c r="AI119" s="2351"/>
      <c r="AJ119" s="2352"/>
      <c r="AK119" s="541"/>
      <c r="AL119" s="541"/>
      <c r="AM119" s="541"/>
      <c r="AN119" s="536"/>
      <c r="AO119" s="537">
        <f>Application!B725</f>
        <v>0</v>
      </c>
      <c r="AQ119" s="537">
        <f>Application!O725</f>
        <v>0</v>
      </c>
      <c r="AU119" s="857" t="str">
        <f>T124</f>
        <v>3-bedroom</v>
      </c>
      <c r="AV119" s="537">
        <f t="array" ref="AV119">SUM(IF(Application!B718:F752="3 Bedrooms",Application!G718:J752))</f>
        <v>0</v>
      </c>
      <c r="AW119" s="1012">
        <f>AV119/AV122</f>
        <v>0</v>
      </c>
    </row>
    <row r="120" spans="1:52" s="537" customFormat="1" ht="12.75" customHeight="1">
      <c r="A120" s="541"/>
      <c r="B120" s="540"/>
      <c r="C120" s="540"/>
      <c r="D120" s="540"/>
      <c r="E120" s="2350"/>
      <c r="F120" s="2351"/>
      <c r="G120" s="2351"/>
      <c r="H120" s="2351"/>
      <c r="I120" s="2351"/>
      <c r="J120" s="2351"/>
      <c r="K120" s="2351"/>
      <c r="L120" s="2351"/>
      <c r="M120" s="2351"/>
      <c r="N120" s="2351"/>
      <c r="O120" s="2351"/>
      <c r="P120" s="2351"/>
      <c r="Q120" s="2351"/>
      <c r="R120" s="2351"/>
      <c r="S120" s="2351"/>
      <c r="T120" s="2351"/>
      <c r="U120" s="2351"/>
      <c r="V120" s="2351"/>
      <c r="W120" s="2351"/>
      <c r="X120" s="2351"/>
      <c r="Y120" s="2351"/>
      <c r="Z120" s="2351"/>
      <c r="AA120" s="2351"/>
      <c r="AB120" s="2351"/>
      <c r="AC120" s="2351"/>
      <c r="AD120" s="2351"/>
      <c r="AE120" s="2351"/>
      <c r="AF120" s="2351"/>
      <c r="AG120" s="2351"/>
      <c r="AH120" s="2351"/>
      <c r="AI120" s="2351"/>
      <c r="AJ120" s="2352"/>
      <c r="AK120" s="541"/>
      <c r="AL120" s="541"/>
      <c r="AM120" s="541"/>
      <c r="AN120" s="536"/>
      <c r="AO120" s="537">
        <f>Application!B726</f>
        <v>0</v>
      </c>
      <c r="AQ120" s="537">
        <f>Application!O726</f>
        <v>0</v>
      </c>
      <c r="AU120" s="857" t="str">
        <f>Y124</f>
        <v>4-bedroom</v>
      </c>
      <c r="AV120" s="537">
        <f t="array" ref="AV120">SUM(IF(Application!B718:F752="4 Bedrooms",Application!G718:J752))</f>
        <v>0</v>
      </c>
      <c r="AW120" s="1012">
        <f>AV120/AV122</f>
        <v>0</v>
      </c>
    </row>
    <row r="121" spans="1:52" s="537" customFormat="1" ht="12.75" customHeight="1">
      <c r="A121" s="541"/>
      <c r="B121" s="540"/>
      <c r="C121" s="540"/>
      <c r="D121" s="540"/>
      <c r="E121" s="2350"/>
      <c r="F121" s="2351"/>
      <c r="G121" s="2351"/>
      <c r="H121" s="2351"/>
      <c r="I121" s="2351"/>
      <c r="J121" s="2351"/>
      <c r="K121" s="2351"/>
      <c r="L121" s="2351"/>
      <c r="M121" s="2351"/>
      <c r="N121" s="2351"/>
      <c r="O121" s="2351"/>
      <c r="P121" s="2351"/>
      <c r="Q121" s="2351"/>
      <c r="R121" s="2351"/>
      <c r="S121" s="2351"/>
      <c r="T121" s="2351"/>
      <c r="U121" s="2351"/>
      <c r="V121" s="2351"/>
      <c r="W121" s="2351"/>
      <c r="X121" s="2351"/>
      <c r="Y121" s="2351"/>
      <c r="Z121" s="2351"/>
      <c r="AA121" s="2351"/>
      <c r="AB121" s="2351"/>
      <c r="AC121" s="2351"/>
      <c r="AD121" s="2351"/>
      <c r="AE121" s="2351"/>
      <c r="AF121" s="2351"/>
      <c r="AG121" s="2351"/>
      <c r="AH121" s="2351"/>
      <c r="AI121" s="2351"/>
      <c r="AJ121" s="2352"/>
      <c r="AK121" s="541"/>
      <c r="AL121" s="541"/>
      <c r="AM121" s="541"/>
      <c r="AN121" s="536"/>
      <c r="AO121" s="537">
        <f>Application!B727</f>
        <v>0</v>
      </c>
      <c r="AQ121" s="537">
        <f>Application!O727</f>
        <v>0</v>
      </c>
      <c r="AU121" s="857" t="str">
        <f>AD124</f>
        <v>5-bedroom</v>
      </c>
      <c r="AV121" s="537">
        <f t="array" ref="AV121">SUM(IF(Application!B718:F752="5 Bedrooms",Application!G718:J752))</f>
        <v>0</v>
      </c>
      <c r="AW121" s="1012">
        <f>AV121/AV122</f>
        <v>0</v>
      </c>
    </row>
    <row r="122" spans="1:52" s="537" customFormat="1" ht="12.75" customHeight="1">
      <c r="A122" s="541"/>
      <c r="B122" s="540"/>
      <c r="C122" s="540"/>
      <c r="D122" s="540"/>
      <c r="E122" s="2350"/>
      <c r="F122" s="2351"/>
      <c r="G122" s="2351"/>
      <c r="H122" s="2351"/>
      <c r="I122" s="2351"/>
      <c r="J122" s="2351"/>
      <c r="K122" s="2351"/>
      <c r="L122" s="2351"/>
      <c r="M122" s="2351"/>
      <c r="N122" s="2351"/>
      <c r="O122" s="2351"/>
      <c r="P122" s="2351"/>
      <c r="Q122" s="2351"/>
      <c r="R122" s="2351"/>
      <c r="S122" s="2351"/>
      <c r="T122" s="2351"/>
      <c r="U122" s="2351"/>
      <c r="V122" s="2351"/>
      <c r="W122" s="2351"/>
      <c r="X122" s="2351"/>
      <c r="Y122" s="2351"/>
      <c r="Z122" s="2351"/>
      <c r="AA122" s="2351"/>
      <c r="AB122" s="2351"/>
      <c r="AC122" s="2351"/>
      <c r="AD122" s="2351"/>
      <c r="AE122" s="2351"/>
      <c r="AF122" s="2351"/>
      <c r="AG122" s="2351"/>
      <c r="AH122" s="2351"/>
      <c r="AI122" s="2351"/>
      <c r="AJ122" s="2352"/>
      <c r="AK122" s="541"/>
      <c r="AL122" s="541"/>
      <c r="AM122" s="541"/>
      <c r="AN122" s="536"/>
      <c r="AO122" s="537">
        <f>Application!B728</f>
        <v>0</v>
      </c>
      <c r="AQ122" s="537">
        <f>Application!O728</f>
        <v>0</v>
      </c>
      <c r="AV122" s="537">
        <f>SUM(AV116:AV121)</f>
        <v>230</v>
      </c>
      <c r="AW122" s="1012">
        <f>SUM(AW116:AW121)</f>
        <v>1</v>
      </c>
    </row>
    <row r="123" spans="1:52" s="537" customFormat="1" ht="12.75" customHeight="1">
      <c r="A123" s="541"/>
      <c r="B123" s="540"/>
      <c r="C123" s="540"/>
      <c r="D123" s="540"/>
      <c r="E123" s="587"/>
      <c r="F123" s="554"/>
      <c r="G123" s="554"/>
      <c r="H123" s="554"/>
      <c r="I123" s="554"/>
      <c r="J123" s="554"/>
      <c r="K123" s="554"/>
      <c r="L123" s="554"/>
      <c r="M123" s="554"/>
      <c r="N123" s="554"/>
      <c r="O123" s="554"/>
      <c r="P123" s="554"/>
      <c r="Q123" s="554"/>
      <c r="R123" s="554"/>
      <c r="S123" s="554"/>
      <c r="T123" s="554"/>
      <c r="U123" s="554"/>
      <c r="V123" s="554"/>
      <c r="W123" s="554"/>
      <c r="X123" s="554"/>
      <c r="Y123" s="554"/>
      <c r="Z123" s="554"/>
      <c r="AA123" s="554"/>
      <c r="AB123" s="554"/>
      <c r="AC123" s="554"/>
      <c r="AD123" s="554"/>
      <c r="AE123" s="554"/>
      <c r="AF123" s="554"/>
      <c r="AG123" s="554"/>
      <c r="AH123" s="554"/>
      <c r="AI123" s="554"/>
      <c r="AJ123" s="555"/>
      <c r="AK123" s="541"/>
      <c r="AL123" s="541"/>
      <c r="AM123" s="541"/>
      <c r="AN123" s="536"/>
      <c r="AO123" s="537">
        <f>Application!B729</f>
        <v>0</v>
      </c>
      <c r="AQ123" s="537">
        <f>Application!O729</f>
        <v>0</v>
      </c>
    </row>
    <row r="124" spans="1:52" s="537" customFormat="1" ht="12.75" customHeight="1">
      <c r="A124" s="541"/>
      <c r="B124" s="540"/>
      <c r="C124" s="541"/>
      <c r="D124" s="541"/>
      <c r="E124" s="2330" t="s">
        <v>1587</v>
      </c>
      <c r="F124" s="2331"/>
      <c r="G124" s="2331"/>
      <c r="H124" s="2331"/>
      <c r="I124" s="578"/>
      <c r="J124" s="2331" t="s">
        <v>1630</v>
      </c>
      <c r="K124" s="2331"/>
      <c r="L124" s="2331"/>
      <c r="M124" s="2331"/>
      <c r="N124" s="578"/>
      <c r="O124" s="2331" t="s">
        <v>1631</v>
      </c>
      <c r="P124" s="2331"/>
      <c r="Q124" s="2331"/>
      <c r="R124" s="2331"/>
      <c r="S124" s="578"/>
      <c r="T124" s="2331" t="s">
        <v>1333</v>
      </c>
      <c r="U124" s="2331"/>
      <c r="V124" s="2331"/>
      <c r="W124" s="2331"/>
      <c r="X124" s="578"/>
      <c r="Y124" s="2331" t="s">
        <v>1632</v>
      </c>
      <c r="Z124" s="2331"/>
      <c r="AA124" s="2331"/>
      <c r="AB124" s="2331"/>
      <c r="AC124" s="578"/>
      <c r="AD124" s="2331" t="s">
        <v>1633</v>
      </c>
      <c r="AE124" s="2331"/>
      <c r="AF124" s="2331"/>
      <c r="AG124" s="2331"/>
      <c r="AH124" s="578"/>
      <c r="AI124" s="578"/>
      <c r="AJ124" s="580"/>
      <c r="AK124" s="541"/>
      <c r="AL124" s="541"/>
      <c r="AM124" s="541"/>
      <c r="AN124" s="536"/>
      <c r="AO124" s="537">
        <f>Application!B730</f>
        <v>0</v>
      </c>
      <c r="AQ124" s="537">
        <f>Application!O730</f>
        <v>0</v>
      </c>
    </row>
    <row r="125" spans="1:52" s="537" customFormat="1" ht="12.75" customHeight="1">
      <c r="A125" s="541"/>
      <c r="B125" s="540"/>
      <c r="C125" s="541"/>
      <c r="D125" s="541"/>
      <c r="E125" s="866"/>
      <c r="F125" s="864"/>
      <c r="G125" s="864"/>
      <c r="H125" s="864"/>
      <c r="I125" s="578"/>
      <c r="J125" s="864"/>
      <c r="K125" s="864"/>
      <c r="L125" s="864"/>
      <c r="M125" s="864"/>
      <c r="N125" s="578"/>
      <c r="O125" s="864"/>
      <c r="P125" s="864"/>
      <c r="Q125" s="864"/>
      <c r="R125" s="864"/>
      <c r="S125" s="578"/>
      <c r="T125" s="864"/>
      <c r="U125" s="864"/>
      <c r="V125" s="864"/>
      <c r="W125" s="864"/>
      <c r="X125" s="578"/>
      <c r="Y125" s="864"/>
      <c r="Z125" s="864"/>
      <c r="AA125" s="864"/>
      <c r="AB125" s="864"/>
      <c r="AC125" s="578"/>
      <c r="AD125" s="864"/>
      <c r="AE125" s="864"/>
      <c r="AF125" s="864"/>
      <c r="AG125" s="864"/>
      <c r="AH125" s="578"/>
      <c r="AI125" s="578"/>
      <c r="AJ125" s="580"/>
      <c r="AK125" s="541"/>
      <c r="AL125" s="541"/>
      <c r="AM125" s="541"/>
      <c r="AN125" s="536"/>
      <c r="AO125" s="537">
        <f>Application!B731</f>
        <v>0</v>
      </c>
      <c r="AQ125" s="537">
        <f>Application!O731</f>
        <v>0</v>
      </c>
    </row>
    <row r="126" spans="1:52" s="537" customFormat="1" ht="12.75" customHeight="1">
      <c r="A126" s="541"/>
      <c r="B126" s="540"/>
      <c r="C126" s="541"/>
      <c r="D126" s="541"/>
      <c r="E126" s="867" t="s">
        <v>1634</v>
      </c>
      <c r="F126" s="864"/>
      <c r="G126" s="864"/>
      <c r="H126" s="864"/>
      <c r="I126" s="578"/>
      <c r="J126" s="864"/>
      <c r="K126" s="864"/>
      <c r="L126" s="864"/>
      <c r="M126" s="864"/>
      <c r="N126" s="578"/>
      <c r="O126" s="864"/>
      <c r="P126" s="864"/>
      <c r="Q126" s="864"/>
      <c r="R126" s="864"/>
      <c r="S126" s="578"/>
      <c r="T126" s="864"/>
      <c r="U126" s="864"/>
      <c r="V126" s="864"/>
      <c r="W126" s="864"/>
      <c r="X126" s="578"/>
      <c r="Y126" s="864"/>
      <c r="Z126" s="864"/>
      <c r="AA126" s="864"/>
      <c r="AB126" s="864"/>
      <c r="AC126" s="578"/>
      <c r="AD126" s="864"/>
      <c r="AE126" s="864"/>
      <c r="AF126" s="864"/>
      <c r="AG126" s="864"/>
      <c r="AH126" s="578"/>
      <c r="AI126" s="578"/>
      <c r="AJ126" s="580"/>
      <c r="AK126" s="541"/>
      <c r="AL126" s="541"/>
      <c r="AM126" s="541"/>
      <c r="AN126" s="536"/>
      <c r="AO126" s="537">
        <f>Application!B732</f>
        <v>0</v>
      </c>
      <c r="AQ126" s="537">
        <f>Application!O732</f>
        <v>0</v>
      </c>
    </row>
    <row r="127" spans="1:52" s="537" customFormat="1" ht="12.75" customHeight="1">
      <c r="A127" s="541"/>
      <c r="B127" s="540"/>
      <c r="C127" s="541"/>
      <c r="D127" s="541"/>
      <c r="E127" s="2390">
        <v>2293</v>
      </c>
      <c r="F127" s="2391"/>
      <c r="G127" s="2391"/>
      <c r="H127" s="2391"/>
      <c r="I127" s="865"/>
      <c r="J127" s="2391">
        <v>2873</v>
      </c>
      <c r="K127" s="2391"/>
      <c r="L127" s="2391"/>
      <c r="M127" s="2391"/>
      <c r="N127" s="865"/>
      <c r="O127" s="2391">
        <v>3541</v>
      </c>
      <c r="P127" s="2391"/>
      <c r="Q127" s="2391"/>
      <c r="R127" s="2391"/>
      <c r="S127" s="865"/>
      <c r="T127" s="2391"/>
      <c r="U127" s="2391"/>
      <c r="V127" s="2391"/>
      <c r="W127" s="2391"/>
      <c r="X127" s="865"/>
      <c r="Y127" s="2391"/>
      <c r="Z127" s="2391"/>
      <c r="AA127" s="2391"/>
      <c r="AB127" s="2391"/>
      <c r="AC127" s="865"/>
      <c r="AD127" s="2391"/>
      <c r="AE127" s="2391"/>
      <c r="AF127" s="2391"/>
      <c r="AG127" s="2391"/>
      <c r="AH127" s="578"/>
      <c r="AI127" s="578"/>
      <c r="AJ127" s="580"/>
      <c r="AK127" s="541"/>
      <c r="AL127" s="541"/>
      <c r="AM127" s="541"/>
      <c r="AN127" s="536"/>
      <c r="AO127" s="537">
        <f>Application!B733</f>
        <v>0</v>
      </c>
      <c r="AQ127" s="537">
        <f>Application!O733</f>
        <v>0</v>
      </c>
    </row>
    <row r="128" spans="1:52" s="537" customFormat="1" ht="12.75" customHeight="1">
      <c r="A128" s="541"/>
      <c r="B128" s="540"/>
      <c r="C128" s="541"/>
      <c r="D128" s="541"/>
      <c r="E128" s="866"/>
      <c r="F128" s="864"/>
      <c r="G128" s="864"/>
      <c r="H128" s="864"/>
      <c r="I128" s="578"/>
      <c r="J128" s="864"/>
      <c r="K128" s="864"/>
      <c r="L128" s="864"/>
      <c r="M128" s="864"/>
      <c r="N128" s="578"/>
      <c r="O128" s="864"/>
      <c r="P128" s="864"/>
      <c r="Q128" s="864"/>
      <c r="R128" s="864"/>
      <c r="S128" s="578"/>
      <c r="T128" s="864"/>
      <c r="U128" s="864"/>
      <c r="V128" s="864"/>
      <c r="W128" s="864"/>
      <c r="X128" s="578"/>
      <c r="Y128" s="864"/>
      <c r="Z128" s="864"/>
      <c r="AA128" s="864"/>
      <c r="AB128" s="864"/>
      <c r="AC128" s="578"/>
      <c r="AD128" s="864"/>
      <c r="AE128" s="864"/>
      <c r="AF128" s="864"/>
      <c r="AG128" s="864"/>
      <c r="AH128" s="578"/>
      <c r="AI128" s="578"/>
      <c r="AJ128" s="580"/>
      <c r="AK128" s="541"/>
      <c r="AL128" s="541"/>
      <c r="AM128" s="541"/>
      <c r="AN128" s="536"/>
      <c r="AO128" s="537">
        <f>Application!B734</f>
        <v>0</v>
      </c>
      <c r="AQ128" s="537">
        <f>Application!O734</f>
        <v>0</v>
      </c>
      <c r="AU128" s="1010"/>
      <c r="AV128" s="1010"/>
      <c r="AW128" s="1010"/>
      <c r="AX128" s="1010"/>
      <c r="AY128" s="1010"/>
      <c r="AZ128" s="1010"/>
    </row>
    <row r="129" spans="1:52" s="537" customFormat="1" ht="12.75" customHeight="1">
      <c r="A129" s="541"/>
      <c r="B129" s="540"/>
      <c r="C129" s="541"/>
      <c r="D129" s="541"/>
      <c r="E129" s="867" t="s">
        <v>1843</v>
      </c>
      <c r="F129" s="864"/>
      <c r="G129" s="864"/>
      <c r="H129" s="864"/>
      <c r="I129" s="578"/>
      <c r="J129" s="864"/>
      <c r="K129" s="864"/>
      <c r="L129" s="864"/>
      <c r="M129" s="864"/>
      <c r="N129" s="578"/>
      <c r="O129" s="864"/>
      <c r="P129" s="864"/>
      <c r="Q129" s="864"/>
      <c r="R129" s="864"/>
      <c r="S129" s="578"/>
      <c r="T129" s="864"/>
      <c r="U129" s="864"/>
      <c r="V129" s="864"/>
      <c r="W129" s="864"/>
      <c r="X129" s="578"/>
      <c r="Y129" s="864"/>
      <c r="Z129" s="864"/>
      <c r="AA129" s="864"/>
      <c r="AB129" s="864"/>
      <c r="AC129" s="578"/>
      <c r="AD129" s="864"/>
      <c r="AE129" s="864"/>
      <c r="AF129" s="864"/>
      <c r="AG129" s="864"/>
      <c r="AH129" s="578"/>
      <c r="AI129" s="578"/>
      <c r="AJ129" s="580"/>
      <c r="AK129" s="541"/>
      <c r="AL129" s="541"/>
      <c r="AM129" s="541"/>
      <c r="AN129" s="536"/>
      <c r="AO129" s="537">
        <f>Application!B735</f>
        <v>0</v>
      </c>
      <c r="AQ129" s="537">
        <f>Application!O735</f>
        <v>0</v>
      </c>
      <c r="AU129" s="1010"/>
      <c r="AV129" s="1010"/>
      <c r="AW129" s="1010"/>
      <c r="AX129" s="1010"/>
      <c r="AY129" s="1010"/>
      <c r="AZ129" s="1010"/>
    </row>
    <row r="130" spans="1:52" s="537" customFormat="1" ht="12.75" customHeight="1">
      <c r="A130" s="541"/>
      <c r="B130" s="540"/>
      <c r="C130" s="541"/>
      <c r="D130" s="541"/>
      <c r="E130" s="2383">
        <f>Application!DX670</f>
        <v>1225.2673267326734</v>
      </c>
      <c r="F130" s="2384"/>
      <c r="G130" s="2384"/>
      <c r="H130" s="2384"/>
      <c r="I130" s="865"/>
      <c r="J130" s="2384">
        <f>Application!EC670</f>
        <v>1560</v>
      </c>
      <c r="K130" s="2384"/>
      <c r="L130" s="2384"/>
      <c r="M130" s="2384"/>
      <c r="N130" s="865"/>
      <c r="O130" s="2384">
        <f>Application!EH670</f>
        <v>2059.8709677419356</v>
      </c>
      <c r="P130" s="2384"/>
      <c r="Q130" s="2384"/>
      <c r="R130" s="2384"/>
      <c r="S130" s="869"/>
      <c r="T130" s="2384">
        <f>Application!EM670</f>
        <v>0</v>
      </c>
      <c r="U130" s="2384"/>
      <c r="V130" s="2384"/>
      <c r="W130" s="2384"/>
      <c r="X130" s="869"/>
      <c r="Y130" s="2384">
        <f>Application!ER670</f>
        <v>0</v>
      </c>
      <c r="Z130" s="2384"/>
      <c r="AA130" s="2384"/>
      <c r="AB130" s="2384"/>
      <c r="AC130" s="869"/>
      <c r="AD130" s="2384">
        <f>Application!EW670</f>
        <v>0</v>
      </c>
      <c r="AE130" s="2384"/>
      <c r="AF130" s="2384"/>
      <c r="AG130" s="2384"/>
      <c r="AH130" s="578"/>
      <c r="AI130" s="578"/>
      <c r="AJ130" s="580"/>
      <c r="AK130" s="541"/>
      <c r="AL130" s="541"/>
      <c r="AM130" s="541"/>
      <c r="AN130" s="536"/>
      <c r="AO130" s="537">
        <f>Application!B736</f>
        <v>0</v>
      </c>
      <c r="AQ130" s="537">
        <f>Application!O736</f>
        <v>0</v>
      </c>
      <c r="AU130" s="1010"/>
      <c r="AV130" s="1010"/>
      <c r="AW130" s="1011"/>
      <c r="AX130" s="1011"/>
      <c r="AY130" s="1010"/>
      <c r="AZ130" s="1010"/>
    </row>
    <row r="131" spans="1:52" s="537" customFormat="1" ht="12.75" customHeight="1">
      <c r="A131" s="541"/>
      <c r="B131" s="540"/>
      <c r="C131" s="541"/>
      <c r="D131" s="541"/>
      <c r="E131" s="868"/>
      <c r="F131" s="864"/>
      <c r="G131" s="864"/>
      <c r="H131" s="864"/>
      <c r="I131" s="578"/>
      <c r="J131" s="581"/>
      <c r="K131" s="578"/>
      <c r="L131" s="578"/>
      <c r="M131" s="578"/>
      <c r="N131" s="578"/>
      <c r="O131" s="578"/>
      <c r="P131" s="578"/>
      <c r="Q131" s="578"/>
      <c r="R131" s="578"/>
      <c r="S131" s="578"/>
      <c r="T131" s="578"/>
      <c r="U131" s="578"/>
      <c r="V131" s="578"/>
      <c r="W131" s="578"/>
      <c r="X131" s="578"/>
      <c r="Y131" s="578"/>
      <c r="Z131" s="578"/>
      <c r="AA131" s="578"/>
      <c r="AB131" s="578"/>
      <c r="AC131" s="578"/>
      <c r="AD131" s="578"/>
      <c r="AE131" s="578"/>
      <c r="AF131" s="578"/>
      <c r="AG131" s="578"/>
      <c r="AH131" s="578"/>
      <c r="AI131" s="578"/>
      <c r="AJ131" s="580"/>
      <c r="AK131" s="541"/>
      <c r="AL131" s="541"/>
      <c r="AM131" s="541"/>
      <c r="AN131" s="536"/>
      <c r="AO131" s="537">
        <f>Application!B737</f>
        <v>0</v>
      </c>
      <c r="AQ131" s="537">
        <f>Application!O737</f>
        <v>0</v>
      </c>
      <c r="AU131" s="1010"/>
      <c r="AV131" s="1010"/>
      <c r="AW131" s="1011"/>
      <c r="AX131" s="1011"/>
      <c r="AY131" s="1010"/>
      <c r="AZ131" s="1010"/>
    </row>
    <row r="132" spans="1:52" s="537" customFormat="1" ht="12.75" customHeight="1">
      <c r="A132" s="541"/>
      <c r="B132" s="540"/>
      <c r="C132" s="541"/>
      <c r="D132" s="541"/>
      <c r="E132" s="867" t="s">
        <v>1844</v>
      </c>
      <c r="F132" s="864"/>
      <c r="G132" s="864"/>
      <c r="H132" s="864"/>
      <c r="I132" s="578"/>
      <c r="J132" s="581"/>
      <c r="K132" s="578"/>
      <c r="L132" s="578"/>
      <c r="M132" s="578"/>
      <c r="N132" s="578"/>
      <c r="O132" s="578"/>
      <c r="P132" s="578"/>
      <c r="Q132" s="578"/>
      <c r="R132" s="578"/>
      <c r="S132" s="578"/>
      <c r="T132" s="578"/>
      <c r="U132" s="578"/>
      <c r="V132" s="578"/>
      <c r="W132" s="578"/>
      <c r="X132" s="578"/>
      <c r="Y132" s="578"/>
      <c r="Z132" s="578"/>
      <c r="AA132" s="578"/>
      <c r="AB132" s="578"/>
      <c r="AC132" s="578"/>
      <c r="AD132" s="578"/>
      <c r="AE132" s="578"/>
      <c r="AF132" s="578"/>
      <c r="AG132" s="578"/>
      <c r="AH132" s="578"/>
      <c r="AI132" s="578"/>
      <c r="AJ132" s="580"/>
      <c r="AK132" s="541"/>
      <c r="AL132" s="541"/>
      <c r="AM132" s="541"/>
      <c r="AN132" s="536"/>
      <c r="AO132" s="537">
        <f>Application!B738</f>
        <v>0</v>
      </c>
      <c r="AQ132" s="537">
        <f>Application!O738</f>
        <v>0</v>
      </c>
      <c r="AU132" s="1010"/>
      <c r="AV132" s="1010"/>
      <c r="AW132" s="1011"/>
      <c r="AX132" s="1011"/>
      <c r="AY132" s="1010"/>
      <c r="AZ132" s="1010"/>
    </row>
    <row r="133" spans="1:52" s="537" customFormat="1" ht="12.75" customHeight="1">
      <c r="A133" s="541"/>
      <c r="B133" s="540"/>
      <c r="C133" s="541"/>
      <c r="D133" s="541"/>
      <c r="E133" s="2582">
        <f>(E127-E130)/E127</f>
        <v>0.46564878903939233</v>
      </c>
      <c r="F133" s="2333"/>
      <c r="G133" s="2333"/>
      <c r="H133" s="2583"/>
      <c r="I133" s="578"/>
      <c r="J133" s="2582">
        <f>(J127-J130)/J127</f>
        <v>0.45701357466063347</v>
      </c>
      <c r="K133" s="2333"/>
      <c r="L133" s="2333"/>
      <c r="M133" s="2583"/>
      <c r="N133" s="578"/>
      <c r="O133" s="2582">
        <f>(O127-O130)/O127</f>
        <v>0.41827987355494617</v>
      </c>
      <c r="P133" s="2333"/>
      <c r="Q133" s="2333"/>
      <c r="R133" s="2583"/>
      <c r="S133" s="578"/>
      <c r="T133" s="2582" t="e">
        <f>(T127-T130)/T127</f>
        <v>#DIV/0!</v>
      </c>
      <c r="U133" s="2333"/>
      <c r="V133" s="2333"/>
      <c r="W133" s="2583"/>
      <c r="X133" s="578"/>
      <c r="Y133" s="2582" t="e">
        <f>(Y127-Y130)/Y127</f>
        <v>#DIV/0!</v>
      </c>
      <c r="Z133" s="2333"/>
      <c r="AA133" s="2333"/>
      <c r="AB133" s="2583"/>
      <c r="AC133" s="578"/>
      <c r="AD133" s="2582" t="e">
        <f>(AD127-AD130)/AD127</f>
        <v>#DIV/0!</v>
      </c>
      <c r="AE133" s="2333"/>
      <c r="AF133" s="2333"/>
      <c r="AG133" s="2583"/>
      <c r="AH133" s="578"/>
      <c r="AI133" s="578"/>
      <c r="AJ133" s="580"/>
      <c r="AK133" s="541"/>
      <c r="AL133" s="541"/>
      <c r="AM133" s="541"/>
      <c r="AN133" s="536"/>
      <c r="AO133" s="537">
        <f>Application!B739</f>
        <v>0</v>
      </c>
      <c r="AQ133" s="537">
        <f>Application!O739</f>
        <v>0</v>
      </c>
      <c r="AU133" s="1010"/>
      <c r="AV133" s="1010"/>
      <c r="AW133" s="1011"/>
      <c r="AX133" s="1011"/>
      <c r="AY133" s="1010"/>
      <c r="AZ133" s="1010"/>
    </row>
    <row r="134" spans="1:52" s="537" customFormat="1" ht="12.75" customHeight="1">
      <c r="A134" s="541"/>
      <c r="B134" s="540"/>
      <c r="C134" s="541"/>
      <c r="D134" s="541"/>
      <c r="E134" s="1005"/>
      <c r="F134" s="1004"/>
      <c r="G134" s="1004"/>
      <c r="H134" s="1004"/>
      <c r="I134" s="578"/>
      <c r="J134" s="1004"/>
      <c r="K134" s="1004"/>
      <c r="L134" s="1004"/>
      <c r="M134" s="1004"/>
      <c r="N134" s="578"/>
      <c r="O134" s="1004"/>
      <c r="P134" s="1004"/>
      <c r="Q134" s="1004"/>
      <c r="R134" s="1004"/>
      <c r="S134" s="578"/>
      <c r="T134" s="1004"/>
      <c r="U134" s="1004"/>
      <c r="V134" s="1004"/>
      <c r="W134" s="1004"/>
      <c r="X134" s="578"/>
      <c r="Y134" s="1004"/>
      <c r="Z134" s="1004"/>
      <c r="AA134" s="1004"/>
      <c r="AB134" s="1004"/>
      <c r="AC134" s="578"/>
      <c r="AD134" s="1004"/>
      <c r="AE134" s="1004"/>
      <c r="AF134" s="1004"/>
      <c r="AG134" s="1004"/>
      <c r="AH134" s="578"/>
      <c r="AI134" s="578"/>
      <c r="AJ134" s="580"/>
      <c r="AK134" s="541"/>
      <c r="AL134" s="541"/>
      <c r="AM134" s="541"/>
      <c r="AN134" s="536"/>
      <c r="AO134" s="537">
        <f>Application!B740</f>
        <v>0</v>
      </c>
      <c r="AQ134" s="537">
        <f>Application!O740</f>
        <v>0</v>
      </c>
      <c r="AU134" s="1010"/>
      <c r="AV134" s="1010"/>
      <c r="AW134" s="1011"/>
      <c r="AX134" s="1011"/>
      <c r="AY134" s="1010"/>
      <c r="AZ134" s="1010"/>
    </row>
    <row r="135" spans="1:52" s="537" customFormat="1" ht="12.75" customHeight="1">
      <c r="A135" s="541"/>
      <c r="B135" s="540"/>
      <c r="C135" s="541"/>
      <c r="D135" s="541"/>
      <c r="E135" s="1006" t="s">
        <v>1845</v>
      </c>
      <c r="F135" s="1004"/>
      <c r="G135" s="1004"/>
      <c r="H135" s="1004"/>
      <c r="I135" s="578"/>
      <c r="J135" s="1004"/>
      <c r="K135" s="1004"/>
      <c r="L135" s="1004"/>
      <c r="M135" s="1004"/>
      <c r="N135" s="578"/>
      <c r="O135" s="1004"/>
      <c r="P135" s="1004"/>
      <c r="Q135" s="1004"/>
      <c r="R135" s="1004"/>
      <c r="S135" s="578"/>
      <c r="T135" s="1004"/>
      <c r="U135" s="1004"/>
      <c r="V135" s="1004"/>
      <c r="W135" s="1004"/>
      <c r="X135" s="578"/>
      <c r="Y135" s="1004"/>
      <c r="Z135" s="1004"/>
      <c r="AA135" s="1004"/>
      <c r="AB135" s="1004"/>
      <c r="AC135" s="578"/>
      <c r="AD135" s="1004"/>
      <c r="AE135" s="1004"/>
      <c r="AF135" s="1004"/>
      <c r="AG135" s="1004"/>
      <c r="AH135" s="578"/>
      <c r="AI135" s="578"/>
      <c r="AJ135" s="580"/>
      <c r="AK135" s="541"/>
      <c r="AL135" s="541"/>
      <c r="AM135" s="541"/>
      <c r="AN135" s="536"/>
      <c r="AO135" s="537">
        <f>Application!B741</f>
        <v>0</v>
      </c>
      <c r="AQ135" s="537">
        <f>Application!O741</f>
        <v>0</v>
      </c>
      <c r="AU135" s="1011"/>
      <c r="AV135" s="1010"/>
      <c r="AW135" s="1011"/>
      <c r="AX135" s="1011"/>
      <c r="AY135" s="1010"/>
      <c r="AZ135" s="1010"/>
    </row>
    <row r="136" spans="1:52" s="537" customFormat="1" ht="12.75" customHeight="1">
      <c r="A136" s="541"/>
      <c r="B136" s="540"/>
      <c r="C136" s="541"/>
      <c r="D136" s="541"/>
      <c r="E136" s="2385">
        <f>IF(((E133-0.1)*AW116)&gt;0,((E133-0.1)*AW116),0)</f>
        <v>0.16056751170860273</v>
      </c>
      <c r="F136" s="2386"/>
      <c r="G136" s="2386"/>
      <c r="H136" s="2387"/>
      <c r="I136" s="578"/>
      <c r="J136" s="2385">
        <f>IF(((J133-0.1)*AW117)&gt;0,((J133-0.1)*AW117),0)</f>
        <v>5.5880385599055671E-2</v>
      </c>
      <c r="K136" s="2386"/>
      <c r="L136" s="2386"/>
      <c r="M136" s="2387"/>
      <c r="N136" s="578"/>
      <c r="O136" s="2385">
        <f>IF(((O133-0.1)*AW118)&gt;0,((O133-0.1)*AW118),0)</f>
        <v>0.12869577495917386</v>
      </c>
      <c r="P136" s="2386"/>
      <c r="Q136" s="2386"/>
      <c r="R136" s="2387"/>
      <c r="S136" s="578"/>
      <c r="T136" s="2385" t="e">
        <f>IF(((T133-0.1)*AW119)&gt;0,((T133-0.1)*AW119),0)</f>
        <v>#DIV/0!</v>
      </c>
      <c r="U136" s="2386"/>
      <c r="V136" s="2386"/>
      <c r="W136" s="2387"/>
      <c r="X136" s="578"/>
      <c r="Y136" s="2385" t="e">
        <f>IF(((Y133-0.1)*AW120)&gt;0,((Y133-0.1)*AW120),0)</f>
        <v>#DIV/0!</v>
      </c>
      <c r="Z136" s="2386"/>
      <c r="AA136" s="2386"/>
      <c r="AB136" s="2387"/>
      <c r="AC136" s="578"/>
      <c r="AD136" s="2385" t="e">
        <f>IF(((AD133-0.1)*AW121)&gt;0,((AD133-0.1)*AW121),0)</f>
        <v>#DIV/0!</v>
      </c>
      <c r="AE136" s="2386"/>
      <c r="AF136" s="2386"/>
      <c r="AG136" s="2387"/>
      <c r="AH136" s="578"/>
      <c r="AI136" s="578"/>
      <c r="AJ136" s="580"/>
      <c r="AK136" s="541"/>
      <c r="AL136" s="541"/>
      <c r="AM136" s="541"/>
      <c r="AN136" s="536"/>
      <c r="AO136" s="537">
        <f>Application!B752</f>
        <v>0</v>
      </c>
      <c r="AQ136" s="537">
        <f>Application!O752</f>
        <v>0</v>
      </c>
      <c r="AU136" s="1010"/>
      <c r="AV136" s="1010"/>
      <c r="AW136" s="1010"/>
      <c r="AX136" s="1011"/>
      <c r="AY136" s="1010"/>
      <c r="AZ136" s="1010"/>
    </row>
    <row r="137" spans="1:52" s="537" customFormat="1" ht="12.75" customHeight="1">
      <c r="A137" s="541"/>
      <c r="B137" s="540"/>
      <c r="C137" s="541"/>
      <c r="D137" s="541"/>
      <c r="E137" s="868"/>
      <c r="F137" s="864"/>
      <c r="G137" s="864"/>
      <c r="H137" s="864"/>
      <c r="I137" s="578"/>
      <c r="J137" s="581"/>
      <c r="K137" s="578"/>
      <c r="L137" s="578"/>
      <c r="M137" s="578"/>
      <c r="N137" s="578"/>
      <c r="O137" s="578"/>
      <c r="P137" s="578"/>
      <c r="Q137" s="578"/>
      <c r="R137" s="578"/>
      <c r="S137" s="578"/>
      <c r="T137" s="578"/>
      <c r="U137" s="578"/>
      <c r="V137" s="578"/>
      <c r="W137" s="578"/>
      <c r="X137" s="578"/>
      <c r="Y137" s="578"/>
      <c r="Z137" s="578"/>
      <c r="AA137" s="578"/>
      <c r="AB137" s="578"/>
      <c r="AC137" s="578"/>
      <c r="AD137" s="578"/>
      <c r="AE137" s="578"/>
      <c r="AF137" s="578"/>
      <c r="AG137" s="578"/>
      <c r="AH137" s="578"/>
      <c r="AI137" s="578"/>
      <c r="AJ137" s="580"/>
      <c r="AK137" s="541"/>
      <c r="AL137" s="541"/>
      <c r="AM137" s="541"/>
      <c r="AN137" s="536"/>
      <c r="AU137" s="1010"/>
      <c r="AV137" s="1010"/>
      <c r="AW137" s="1010"/>
      <c r="AX137" s="1010"/>
      <c r="AY137" s="1010"/>
      <c r="AZ137" s="1010"/>
    </row>
    <row r="138" spans="1:52" s="537" customFormat="1" ht="12.75" customHeight="1">
      <c r="A138" s="541"/>
      <c r="B138" s="540"/>
      <c r="C138" s="541"/>
      <c r="D138" s="541"/>
      <c r="E138" s="2582">
        <f>ROUNDDOWN(SUMIF(E136:AG136,"&gt;0"),2)</f>
        <v>0.34</v>
      </c>
      <c r="F138" s="2333"/>
      <c r="G138" s="2333"/>
      <c r="H138" s="2583"/>
      <c r="I138" s="578"/>
      <c r="J138" s="581" t="s">
        <v>1846</v>
      </c>
      <c r="K138" s="578"/>
      <c r="L138" s="578"/>
      <c r="M138" s="578"/>
      <c r="N138" s="578"/>
      <c r="O138" s="578"/>
      <c r="P138" s="578"/>
      <c r="Q138" s="578"/>
      <c r="R138" s="578"/>
      <c r="S138" s="578"/>
      <c r="T138" s="578"/>
      <c r="U138" s="578"/>
      <c r="V138" s="578"/>
      <c r="W138" s="578"/>
      <c r="X138" s="578"/>
      <c r="Y138" s="578"/>
      <c r="Z138" s="578"/>
      <c r="AA138" s="578"/>
      <c r="AB138" s="578"/>
      <c r="AC138" s="578"/>
      <c r="AD138" s="870"/>
      <c r="AE138" s="870"/>
      <c r="AF138" s="870"/>
      <c r="AG138" s="870"/>
      <c r="AH138" s="578"/>
      <c r="AI138" s="578"/>
      <c r="AJ138" s="580"/>
      <c r="AK138" s="541"/>
      <c r="AL138" s="541"/>
      <c r="AM138" s="541"/>
      <c r="AN138" s="536"/>
      <c r="AU138" s="1010"/>
      <c r="AV138" s="1010"/>
      <c r="AW138" s="1010"/>
      <c r="AX138" s="1011"/>
      <c r="AY138" s="1010"/>
      <c r="AZ138" s="1010"/>
    </row>
    <row r="139" spans="1:52" s="537" customFormat="1" ht="12.75" customHeight="1">
      <c r="A139" s="541"/>
      <c r="B139" s="540"/>
      <c r="C139" s="541"/>
      <c r="D139" s="541"/>
      <c r="E139" s="2369">
        <f>IF((E138*100)&gt;10,10,E138*100)</f>
        <v>10</v>
      </c>
      <c r="F139" s="2370"/>
      <c r="G139" s="2370"/>
      <c r="H139" s="2371"/>
      <c r="I139" s="578"/>
      <c r="J139" s="581" t="s">
        <v>1327</v>
      </c>
      <c r="K139" s="578"/>
      <c r="L139" s="578"/>
      <c r="M139" s="578"/>
      <c r="N139" s="578"/>
      <c r="O139" s="578"/>
      <c r="P139" s="578"/>
      <c r="Q139" s="578"/>
      <c r="R139" s="578"/>
      <c r="S139" s="578"/>
      <c r="T139" s="578"/>
      <c r="U139" s="578"/>
      <c r="V139" s="578"/>
      <c r="W139" s="578"/>
      <c r="X139" s="578"/>
      <c r="Y139" s="578"/>
      <c r="Z139" s="578"/>
      <c r="AA139" s="578"/>
      <c r="AB139" s="578"/>
      <c r="AC139" s="578"/>
      <c r="AD139" s="578"/>
      <c r="AE139" s="578"/>
      <c r="AF139" s="578"/>
      <c r="AG139" s="578"/>
      <c r="AH139" s="578"/>
      <c r="AI139" s="578"/>
      <c r="AJ139" s="580"/>
      <c r="AK139" s="541"/>
      <c r="AL139" s="541"/>
      <c r="AM139" s="541"/>
      <c r="AN139" s="536"/>
      <c r="AU139" s="1010"/>
      <c r="AV139" s="1010"/>
      <c r="AW139" s="1010"/>
      <c r="AX139" s="1010"/>
      <c r="AY139" s="1010"/>
      <c r="AZ139" s="1010"/>
    </row>
    <row r="140" spans="1:52" s="537" customFormat="1" ht="12.75" customHeight="1">
      <c r="A140" s="541"/>
      <c r="B140" s="541"/>
      <c r="C140" s="541"/>
      <c r="D140" s="541"/>
      <c r="E140" s="589"/>
      <c r="F140" s="590"/>
      <c r="G140" s="590"/>
      <c r="H140" s="590"/>
      <c r="I140" s="590"/>
      <c r="J140" s="590"/>
      <c r="K140" s="590"/>
      <c r="L140" s="590"/>
      <c r="M140" s="590"/>
      <c r="N140" s="590"/>
      <c r="O140" s="590"/>
      <c r="P140" s="590"/>
      <c r="Q140" s="590"/>
      <c r="R140" s="590"/>
      <c r="S140" s="590"/>
      <c r="T140" s="590"/>
      <c r="U140" s="590"/>
      <c r="V140" s="590"/>
      <c r="W140" s="590"/>
      <c r="X140" s="590"/>
      <c r="Y140" s="590"/>
      <c r="Z140" s="590"/>
      <c r="AA140" s="590"/>
      <c r="AB140" s="590"/>
      <c r="AC140" s="590"/>
      <c r="AD140" s="590"/>
      <c r="AE140" s="590"/>
      <c r="AF140" s="590"/>
      <c r="AG140" s="590"/>
      <c r="AH140" s="590"/>
      <c r="AI140" s="590"/>
      <c r="AJ140" s="591"/>
      <c r="AK140" s="541"/>
      <c r="AL140" s="541"/>
      <c r="AM140" s="541"/>
      <c r="AN140" s="536"/>
      <c r="AT140" s="1003"/>
      <c r="AU140" s="1010"/>
      <c r="AV140" s="1010"/>
      <c r="AW140" s="1011"/>
      <c r="AX140" s="1010"/>
      <c r="AY140" s="1010"/>
      <c r="AZ140" s="1010"/>
    </row>
    <row r="141" spans="1:52" s="537" customFormat="1" ht="12.75" customHeight="1">
      <c r="A141" s="541"/>
      <c r="B141" s="541"/>
      <c r="C141" s="541"/>
      <c r="D141" s="541"/>
      <c r="E141" s="541"/>
      <c r="F141" s="541"/>
      <c r="G141" s="541"/>
      <c r="H141" s="541"/>
      <c r="I141" s="541"/>
      <c r="J141" s="541"/>
      <c r="K141" s="541"/>
      <c r="L141" s="541"/>
      <c r="M141" s="541"/>
      <c r="N141" s="541"/>
      <c r="O141" s="541"/>
      <c r="P141" s="541"/>
      <c r="Q141" s="541"/>
      <c r="R141" s="541"/>
      <c r="S141" s="541"/>
      <c r="T141" s="541"/>
      <c r="U141" s="541"/>
      <c r="V141" s="541"/>
      <c r="W141" s="541"/>
      <c r="X141" s="541"/>
      <c r="Y141" s="541"/>
      <c r="Z141" s="541"/>
      <c r="AA141" s="541"/>
      <c r="AB141" s="541"/>
      <c r="AC141" s="541"/>
      <c r="AD141" s="541"/>
      <c r="AE141" s="541"/>
      <c r="AF141" s="541"/>
      <c r="AG141" s="541"/>
      <c r="AH141" s="541"/>
      <c r="AI141" s="541"/>
      <c r="AJ141" s="541"/>
      <c r="AK141" s="541"/>
      <c r="AL141" s="541"/>
      <c r="AM141" s="541"/>
      <c r="AN141" s="536"/>
      <c r="AU141" s="1010"/>
      <c r="AV141" s="1010"/>
      <c r="AW141" s="1010"/>
      <c r="AX141" s="1010"/>
      <c r="AY141" s="1010"/>
      <c r="AZ141" s="1010"/>
    </row>
    <row r="142" spans="1:52" s="537" customFormat="1" ht="12.75" customHeight="1">
      <c r="A142" s="541"/>
      <c r="B142" s="541"/>
      <c r="C142" s="541"/>
      <c r="D142" s="541"/>
      <c r="E142" s="541"/>
      <c r="F142" s="541"/>
      <c r="G142" s="541"/>
      <c r="H142" s="541"/>
      <c r="I142" s="541"/>
      <c r="J142" s="541"/>
      <c r="K142" s="541"/>
      <c r="L142" s="541"/>
      <c r="M142" s="541"/>
      <c r="N142" s="541"/>
      <c r="O142" s="541"/>
      <c r="P142" s="541"/>
      <c r="Q142" s="541"/>
      <c r="R142" s="541"/>
      <c r="S142" s="541"/>
      <c r="T142" s="541"/>
      <c r="U142" s="541"/>
      <c r="V142" s="541"/>
      <c r="W142" s="541"/>
      <c r="X142" s="541"/>
      <c r="Y142" s="541"/>
      <c r="Z142" s="541"/>
      <c r="AA142" s="541"/>
      <c r="AB142" s="541"/>
      <c r="AC142" s="541"/>
      <c r="AD142" s="541"/>
      <c r="AE142" s="541"/>
      <c r="AF142" s="541"/>
      <c r="AG142" s="541"/>
      <c r="AH142" s="541"/>
      <c r="AI142" s="541"/>
      <c r="AJ142" s="541"/>
      <c r="AK142" s="541"/>
      <c r="AL142" s="541"/>
      <c r="AM142" s="541"/>
      <c r="AN142" s="536"/>
    </row>
    <row r="143" spans="1:52" s="537" customFormat="1" ht="12.75" customHeight="1">
      <c r="A143" s="562"/>
      <c r="B143" s="563"/>
      <c r="C143" s="563"/>
      <c r="D143" s="563"/>
      <c r="E143" s="563"/>
      <c r="F143" s="563"/>
      <c r="G143" s="564"/>
      <c r="H143" s="565"/>
      <c r="I143" s="565"/>
      <c r="J143" s="565"/>
      <c r="K143" s="565"/>
      <c r="L143" s="565"/>
      <c r="M143" s="565"/>
      <c r="N143" s="565"/>
      <c r="O143" s="565"/>
      <c r="P143" s="565"/>
      <c r="Q143" s="565"/>
      <c r="R143" s="565"/>
      <c r="S143" s="565"/>
      <c r="T143" s="565"/>
      <c r="U143" s="565"/>
      <c r="V143" s="565"/>
      <c r="W143" s="565"/>
      <c r="X143" s="565"/>
      <c r="Y143" s="565"/>
      <c r="Z143" s="565"/>
      <c r="AA143" s="565"/>
      <c r="AB143" s="565"/>
      <c r="AC143" s="565"/>
      <c r="AD143" s="565"/>
      <c r="AE143" s="565"/>
      <c r="AF143" s="565"/>
      <c r="AG143" s="565"/>
      <c r="AH143" s="565"/>
      <c r="AI143" s="566"/>
      <c r="AJ143" s="566" t="s">
        <v>1334</v>
      </c>
      <c r="AK143" s="2369">
        <f>E139</f>
        <v>10</v>
      </c>
      <c r="AL143" s="2370"/>
      <c r="AM143" s="2371"/>
      <c r="AN143" s="536"/>
    </row>
    <row r="144" spans="1:52" s="537" customFormat="1" ht="12.75" customHeight="1" thickBot="1">
      <c r="A144" s="567"/>
      <c r="B144" s="568"/>
      <c r="C144" s="569"/>
      <c r="D144" s="569"/>
      <c r="E144" s="569"/>
      <c r="F144" s="569"/>
      <c r="G144" s="569"/>
      <c r="H144" s="569"/>
      <c r="I144" s="569"/>
      <c r="J144" s="569"/>
      <c r="K144" s="569"/>
      <c r="L144" s="569"/>
      <c r="M144" s="569"/>
      <c r="N144" s="569"/>
      <c r="O144" s="569"/>
      <c r="P144" s="569"/>
      <c r="Q144" s="569"/>
      <c r="R144" s="569"/>
      <c r="S144" s="569"/>
      <c r="T144" s="569"/>
      <c r="U144" s="569"/>
      <c r="V144" s="569"/>
      <c r="W144" s="569"/>
      <c r="X144" s="569"/>
      <c r="Y144" s="569"/>
      <c r="Z144" s="569"/>
      <c r="AA144" s="569"/>
      <c r="AB144" s="569"/>
      <c r="AC144" s="569"/>
      <c r="AD144" s="569"/>
      <c r="AE144" s="569"/>
      <c r="AF144" s="569"/>
      <c r="AG144" s="569"/>
      <c r="AH144" s="569"/>
      <c r="AI144" s="569"/>
      <c r="AJ144" s="569"/>
      <c r="AK144" s="569"/>
      <c r="AL144" s="569"/>
      <c r="AM144" s="570"/>
      <c r="AN144" s="536"/>
    </row>
    <row r="145" spans="1:42" s="537" customFormat="1" ht="12.75" customHeight="1" thickTop="1">
      <c r="A145" s="571"/>
      <c r="B145" s="572"/>
      <c r="C145" s="573"/>
      <c r="D145" s="573"/>
      <c r="E145" s="573"/>
      <c r="F145" s="573"/>
      <c r="G145" s="573"/>
      <c r="H145" s="573"/>
      <c r="I145" s="574"/>
      <c r="J145" s="574"/>
      <c r="K145" s="574"/>
      <c r="L145" s="574"/>
      <c r="M145" s="574"/>
      <c r="N145" s="574"/>
      <c r="O145" s="574"/>
      <c r="P145" s="574"/>
      <c r="Q145" s="574"/>
      <c r="R145" s="571"/>
      <c r="S145" s="540"/>
      <c r="T145" s="540"/>
      <c r="U145" s="540"/>
      <c r="V145" s="540"/>
      <c r="W145" s="540"/>
      <c r="X145" s="540"/>
      <c r="Y145" s="540"/>
      <c r="Z145" s="540"/>
      <c r="AA145" s="540"/>
      <c r="AB145" s="540"/>
      <c r="AC145" s="540"/>
      <c r="AD145" s="540"/>
      <c r="AE145" s="540"/>
      <c r="AF145" s="571"/>
      <c r="AG145" s="540"/>
      <c r="AH145" s="540"/>
      <c r="AI145" s="540"/>
      <c r="AJ145" s="540"/>
      <c r="AK145" s="551"/>
      <c r="AL145" s="551"/>
      <c r="AM145" s="551"/>
      <c r="AN145" s="536"/>
    </row>
    <row r="146" spans="1:42" s="540" customFormat="1" ht="12.75" customHeight="1">
      <c r="A146" s="539" t="s">
        <v>1335</v>
      </c>
      <c r="AE146" s="2346" t="s">
        <v>1313</v>
      </c>
      <c r="AF146" s="2346"/>
      <c r="AG146" s="2346"/>
      <c r="AH146" s="2346"/>
      <c r="AI146" s="2346"/>
      <c r="AJ146" s="2346"/>
      <c r="AK146" s="2346"/>
      <c r="AL146" s="592"/>
      <c r="AN146" s="593"/>
      <c r="AO146" s="537"/>
    </row>
    <row r="147" spans="1:42" s="540" customFormat="1" ht="12.95" customHeight="1">
      <c r="A147" s="539"/>
      <c r="AE147" s="592"/>
      <c r="AF147" s="592"/>
      <c r="AG147" s="592"/>
      <c r="AH147" s="592"/>
      <c r="AI147" s="592"/>
      <c r="AJ147" s="592"/>
      <c r="AK147" s="592"/>
      <c r="AL147" s="592"/>
      <c r="AN147" s="593"/>
    </row>
    <row r="148" spans="1:42" s="537" customFormat="1" ht="12.75" customHeight="1">
      <c r="A148" s="539"/>
      <c r="B148" s="539" t="s">
        <v>1336</v>
      </c>
      <c r="C148" s="540"/>
      <c r="D148" s="540"/>
      <c r="E148" s="540"/>
      <c r="F148" s="540"/>
      <c r="G148" s="540"/>
      <c r="H148" s="540"/>
      <c r="I148" s="540"/>
      <c r="J148" s="540"/>
      <c r="K148" s="540"/>
      <c r="L148" s="540"/>
      <c r="M148" s="540"/>
      <c r="N148" s="540"/>
      <c r="O148" s="540"/>
      <c r="P148" s="540"/>
      <c r="Q148" s="540"/>
      <c r="R148" s="540"/>
      <c r="S148" s="540"/>
      <c r="T148" s="540"/>
      <c r="U148" s="540"/>
      <c r="V148" s="540"/>
      <c r="W148" s="540"/>
      <c r="X148" s="540"/>
      <c r="Y148" s="540"/>
      <c r="Z148" s="540"/>
      <c r="AA148" s="540"/>
      <c r="AB148" s="540"/>
      <c r="AC148" s="540"/>
      <c r="AD148" s="540"/>
      <c r="AF148" s="2381" t="s">
        <v>1337</v>
      </c>
      <c r="AG148" s="2381"/>
      <c r="AH148" s="2381"/>
      <c r="AI148" s="2381"/>
      <c r="AJ148" s="2381"/>
      <c r="AK148" s="2381"/>
      <c r="AL148" s="2381"/>
      <c r="AM148" s="540"/>
      <c r="AN148" s="536"/>
    </row>
    <row r="149" spans="1:42" s="537" customFormat="1" ht="12.75" customHeight="1">
      <c r="A149" s="539"/>
      <c r="B149" s="539" t="s">
        <v>532</v>
      </c>
      <c r="C149" s="606"/>
      <c r="D149" s="606"/>
      <c r="E149" s="606"/>
      <c r="F149" s="606"/>
      <c r="G149" s="606"/>
      <c r="H149" s="606"/>
      <c r="I149" s="606"/>
      <c r="J149" s="606"/>
      <c r="K149" s="606"/>
      <c r="L149" s="606"/>
      <c r="M149" s="606"/>
      <c r="N149" s="606"/>
      <c r="O149" s="606"/>
      <c r="P149" s="606"/>
      <c r="Q149" s="606"/>
      <c r="R149" s="606"/>
      <c r="S149" s="606"/>
      <c r="T149" s="606"/>
      <c r="U149" s="606"/>
      <c r="V149" s="606"/>
      <c r="W149" s="606"/>
      <c r="X149" s="606"/>
      <c r="Y149" s="606"/>
      <c r="Z149" s="606"/>
      <c r="AA149" s="606"/>
      <c r="AB149" s="606"/>
      <c r="AC149" s="606"/>
      <c r="AD149" s="540"/>
      <c r="AL149" s="595"/>
      <c r="AM149" s="540"/>
      <c r="AN149" s="536"/>
    </row>
    <row r="150" spans="1:42" s="537" customFormat="1" ht="15" customHeight="1">
      <c r="A150" s="539"/>
      <c r="B150" s="2382" t="str">
        <f>Application!M243</f>
        <v>Francis AGP LLC</v>
      </c>
      <c r="C150" s="2382"/>
      <c r="D150" s="2382"/>
      <c r="E150" s="2382"/>
      <c r="F150" s="2382"/>
      <c r="G150" s="2382"/>
      <c r="H150" s="2382"/>
      <c r="I150" s="2382"/>
      <c r="J150" s="2382"/>
      <c r="K150" s="2382"/>
      <c r="L150" s="2382"/>
      <c r="M150" s="2382"/>
      <c r="N150" s="2382"/>
      <c r="O150" s="2382"/>
      <c r="P150" s="2382"/>
      <c r="Q150" s="2382"/>
      <c r="R150" s="2382"/>
      <c r="S150" s="2382"/>
      <c r="T150" s="2382"/>
      <c r="U150" s="2382"/>
      <c r="V150" s="2382"/>
      <c r="W150" s="2382"/>
      <c r="X150" s="2382"/>
      <c r="Y150" s="2382"/>
      <c r="Z150" s="2382"/>
      <c r="AA150" s="2382"/>
      <c r="AB150" s="2382"/>
      <c r="AC150" s="2382"/>
      <c r="AD150" s="540"/>
      <c r="AE150" s="595"/>
      <c r="AF150" s="595"/>
      <c r="AG150" s="595"/>
      <c r="AH150" s="595"/>
      <c r="AI150" s="595"/>
      <c r="AJ150" s="595"/>
      <c r="AK150" s="595"/>
      <c r="AL150" s="595"/>
      <c r="AM150" s="540"/>
      <c r="AN150" s="536"/>
      <c r="AP150" s="596"/>
    </row>
    <row r="151" spans="1:42" s="537" customFormat="1" ht="12.75" customHeight="1">
      <c r="A151" s="539"/>
      <c r="B151" s="539"/>
      <c r="C151" s="540"/>
      <c r="D151" s="540"/>
      <c r="E151" s="540"/>
      <c r="F151" s="540"/>
      <c r="G151" s="540"/>
      <c r="H151" s="540"/>
      <c r="I151" s="540"/>
      <c r="J151" s="540"/>
      <c r="K151" s="540"/>
      <c r="L151" s="540"/>
      <c r="M151" s="540"/>
      <c r="N151" s="540"/>
      <c r="O151" s="540"/>
      <c r="P151" s="540"/>
      <c r="Q151" s="540"/>
      <c r="R151" s="540"/>
      <c r="S151" s="540"/>
      <c r="T151" s="540"/>
      <c r="U151" s="540"/>
      <c r="V151" s="540"/>
      <c r="W151" s="540"/>
      <c r="X151" s="540"/>
      <c r="Y151" s="540"/>
      <c r="Z151" s="540"/>
      <c r="AA151" s="540"/>
      <c r="AB151" s="540"/>
      <c r="AC151" s="540"/>
      <c r="AD151" s="540"/>
      <c r="AE151" s="595"/>
      <c r="AF151" s="595"/>
      <c r="AG151" s="595"/>
      <c r="AH151" s="595"/>
      <c r="AI151" s="595"/>
      <c r="AJ151" s="595"/>
      <c r="AK151" s="595"/>
      <c r="AL151" s="595"/>
      <c r="AM151" s="540"/>
      <c r="AN151" s="536"/>
      <c r="AO151" s="448" t="s">
        <v>306</v>
      </c>
      <c r="AP151" s="546"/>
    </row>
    <row r="152" spans="1:42" s="537" customFormat="1" ht="12.75" customHeight="1">
      <c r="A152" s="539"/>
      <c r="B152" s="540" t="s">
        <v>1338</v>
      </c>
      <c r="C152" s="540"/>
      <c r="D152" s="540"/>
      <c r="E152" s="540"/>
      <c r="F152" s="540"/>
      <c r="G152" s="540"/>
      <c r="H152" s="540"/>
      <c r="I152" s="540"/>
      <c r="J152" s="540"/>
      <c r="K152" s="540"/>
      <c r="L152" s="540"/>
      <c r="M152" s="540"/>
      <c r="N152" s="540"/>
      <c r="O152" s="540"/>
      <c r="P152" s="540"/>
      <c r="Q152" s="540"/>
      <c r="R152" s="540"/>
      <c r="S152" s="540"/>
      <c r="T152" s="540"/>
      <c r="U152" s="540"/>
      <c r="V152" s="540"/>
      <c r="W152" s="540"/>
      <c r="X152" s="540"/>
      <c r="Y152" s="540"/>
      <c r="Z152" s="540"/>
      <c r="AA152" s="540"/>
      <c r="AB152" s="540"/>
      <c r="AC152" s="540"/>
      <c r="AD152" s="540"/>
      <c r="AE152" s="540"/>
      <c r="AF152" s="540"/>
      <c r="AG152" s="540"/>
      <c r="AH152" s="540"/>
      <c r="AI152" s="540"/>
      <c r="AJ152" s="540"/>
      <c r="AK152" s="540"/>
      <c r="AL152" s="540"/>
      <c r="AM152" s="540"/>
      <c r="AN152" s="536"/>
      <c r="AO152" s="477" t="s">
        <v>1339</v>
      </c>
      <c r="AP152" s="490">
        <v>5</v>
      </c>
    </row>
    <row r="153" spans="1:42" s="537" customFormat="1" ht="12.75" customHeight="1">
      <c r="A153" s="539"/>
      <c r="B153" s="2408" t="s">
        <v>1340</v>
      </c>
      <c r="C153" s="2408"/>
      <c r="D153" s="2408"/>
      <c r="E153" s="2408"/>
      <c r="F153" s="2408"/>
      <c r="G153" s="2408"/>
      <c r="H153" s="2408"/>
      <c r="I153" s="2408"/>
      <c r="J153" s="2408"/>
      <c r="K153" s="2408"/>
      <c r="L153" s="2408"/>
      <c r="M153" s="2408"/>
      <c r="N153" s="2408"/>
      <c r="O153" s="2408"/>
      <c r="P153" s="2408"/>
      <c r="Q153" s="2408"/>
      <c r="R153" s="2408"/>
      <c r="S153" s="2408"/>
      <c r="T153" s="2408"/>
      <c r="U153" s="2408"/>
      <c r="V153" s="2408"/>
      <c r="W153" s="2408"/>
      <c r="X153" s="2408"/>
      <c r="Y153" s="2408"/>
      <c r="Z153" s="2408"/>
      <c r="AA153" s="2408"/>
      <c r="AB153" s="2408"/>
      <c r="AC153" s="2408"/>
      <c r="AD153" s="2408"/>
      <c r="AE153" s="2408"/>
      <c r="AF153" s="2408"/>
      <c r="AG153" s="2408"/>
      <c r="AH153" s="2408"/>
      <c r="AI153" s="2408"/>
      <c r="AM153" s="540"/>
      <c r="AN153" s="536"/>
      <c r="AO153" s="477" t="s">
        <v>1340</v>
      </c>
      <c r="AP153" s="490">
        <v>7</v>
      </c>
    </row>
    <row r="154" spans="1:42" s="537" customFormat="1" ht="12.95" customHeight="1">
      <c r="A154" s="539"/>
      <c r="B154" s="606"/>
      <c r="C154" s="606"/>
      <c r="D154" s="606"/>
      <c r="E154" s="606"/>
      <c r="F154" s="606"/>
      <c r="G154" s="606"/>
      <c r="H154" s="606"/>
      <c r="I154" s="606"/>
      <c r="J154" s="606"/>
      <c r="K154" s="606"/>
      <c r="L154" s="606"/>
      <c r="M154" s="606"/>
      <c r="N154" s="606"/>
      <c r="O154" s="606"/>
      <c r="P154" s="606"/>
      <c r="Q154" s="606"/>
      <c r="R154" s="606"/>
      <c r="S154" s="606"/>
      <c r="T154" s="606"/>
      <c r="U154" s="606"/>
      <c r="V154" s="606"/>
      <c r="W154" s="606"/>
      <c r="X154" s="606"/>
      <c r="Y154" s="606"/>
      <c r="Z154" s="606"/>
      <c r="AA154" s="606"/>
      <c r="AB154" s="606"/>
      <c r="AC154" s="606"/>
      <c r="AD154" s="592"/>
      <c r="AM154" s="540"/>
      <c r="AN154" s="536"/>
      <c r="AO154" s="477" t="s">
        <v>2255</v>
      </c>
      <c r="AP154" s="490">
        <v>7</v>
      </c>
    </row>
    <row r="155" spans="1:42" s="537" customFormat="1" ht="12.75" customHeight="1">
      <c r="A155" s="539"/>
      <c r="B155" s="540" t="s">
        <v>1341</v>
      </c>
      <c r="AB155" s="2409" t="s">
        <v>591</v>
      </c>
      <c r="AC155" s="2409"/>
      <c r="AD155" s="592"/>
      <c r="AM155" s="540"/>
      <c r="AN155" s="536"/>
      <c r="AO155" s="477"/>
      <c r="AP155" s="477"/>
    </row>
    <row r="156" spans="1:42" s="537" customFormat="1" ht="9" customHeight="1">
      <c r="A156" s="539"/>
      <c r="B156" s="606"/>
      <c r="C156" s="606"/>
      <c r="D156" s="606"/>
      <c r="E156" s="606"/>
      <c r="F156" s="606"/>
      <c r="G156" s="606"/>
      <c r="H156" s="606"/>
      <c r="I156" s="606"/>
      <c r="J156" s="606"/>
      <c r="K156" s="606"/>
      <c r="L156" s="606"/>
      <c r="M156" s="606"/>
      <c r="N156" s="606"/>
      <c r="O156" s="606"/>
      <c r="P156" s="606"/>
      <c r="Q156" s="606"/>
      <c r="R156" s="606"/>
      <c r="S156" s="606"/>
      <c r="T156" s="606"/>
      <c r="U156" s="606"/>
      <c r="V156" s="606"/>
      <c r="W156" s="606"/>
      <c r="X156" s="606"/>
      <c r="Y156" s="606"/>
      <c r="Z156" s="606"/>
      <c r="AA156" s="606"/>
      <c r="AB156" s="606"/>
      <c r="AC156" s="606"/>
      <c r="AD156" s="592"/>
      <c r="AM156" s="540"/>
      <c r="AN156" s="536"/>
      <c r="AO156" s="448" t="s">
        <v>1342</v>
      </c>
      <c r="AP156" s="490"/>
    </row>
    <row r="157" spans="1:42" s="537" customFormat="1" ht="12.75" customHeight="1">
      <c r="A157" s="539"/>
      <c r="B157" s="539" t="s">
        <v>1343</v>
      </c>
      <c r="C157" s="606"/>
      <c r="D157" s="606"/>
      <c r="E157" s="606"/>
      <c r="F157" s="606"/>
      <c r="G157" s="606"/>
      <c r="H157" s="606"/>
      <c r="I157" s="606"/>
      <c r="J157" s="606"/>
      <c r="K157" s="606"/>
      <c r="L157" s="606"/>
      <c r="M157" s="606"/>
      <c r="N157" s="606"/>
      <c r="O157" s="606"/>
      <c r="P157" s="606"/>
      <c r="Q157" s="606"/>
      <c r="R157" s="606"/>
      <c r="S157" s="606"/>
      <c r="T157" s="606"/>
      <c r="U157" s="606"/>
      <c r="V157" s="606"/>
      <c r="W157" s="606"/>
      <c r="X157" s="606"/>
      <c r="Y157" s="606"/>
      <c r="Z157" s="606"/>
      <c r="AA157" s="606"/>
      <c r="AB157" s="606"/>
      <c r="AC157" s="606"/>
      <c r="AD157" s="592"/>
      <c r="AM157" s="540"/>
      <c r="AN157" s="536"/>
      <c r="AO157" s="477" t="s">
        <v>1344</v>
      </c>
      <c r="AP157" s="490">
        <v>5</v>
      </c>
    </row>
    <row r="158" spans="1:42" s="537" customFormat="1" ht="12.75" customHeight="1">
      <c r="A158" s="539"/>
      <c r="B158" s="2408" t="s">
        <v>1342</v>
      </c>
      <c r="C158" s="2408"/>
      <c r="D158" s="2408"/>
      <c r="E158" s="2408"/>
      <c r="F158" s="2408"/>
      <c r="G158" s="2408"/>
      <c r="H158" s="2408"/>
      <c r="I158" s="2408"/>
      <c r="J158" s="2408"/>
      <c r="K158" s="2408"/>
      <c r="L158" s="2408"/>
      <c r="M158" s="2408"/>
      <c r="N158" s="2408"/>
      <c r="O158" s="2408"/>
      <c r="P158" s="2408"/>
      <c r="Q158" s="2408"/>
      <c r="R158" s="2408"/>
      <c r="S158" s="2408"/>
      <c r="T158" s="2408"/>
      <c r="U158" s="2408"/>
      <c r="V158" s="2408"/>
      <c r="W158" s="2408"/>
      <c r="X158" s="2408"/>
      <c r="Y158" s="2408"/>
      <c r="Z158" s="2408"/>
      <c r="AA158" s="2408"/>
      <c r="AB158" s="2408"/>
      <c r="AC158" s="2408"/>
      <c r="AD158" s="2408"/>
      <c r="AE158" s="2408"/>
      <c r="AF158" s="2408"/>
      <c r="AG158" s="2408"/>
      <c r="AH158" s="2408"/>
      <c r="AI158" s="2408"/>
      <c r="AJ158" s="2408"/>
      <c r="AN158" s="536"/>
      <c r="AO158" s="477" t="s">
        <v>1345</v>
      </c>
      <c r="AP158" s="490">
        <v>7</v>
      </c>
    </row>
    <row r="159" spans="1:42" s="537" customFormat="1" ht="12.75" customHeight="1">
      <c r="B159" s="540" t="s">
        <v>1346</v>
      </c>
      <c r="C159" s="606"/>
      <c r="D159" s="606"/>
      <c r="E159" s="606"/>
      <c r="F159" s="606"/>
      <c r="G159" s="606"/>
      <c r="H159" s="606"/>
      <c r="I159" s="606"/>
      <c r="J159" s="606"/>
      <c r="K159" s="606"/>
      <c r="L159" s="606"/>
      <c r="M159" s="606"/>
      <c r="N159" s="606"/>
      <c r="O159" s="606"/>
      <c r="P159" s="606"/>
      <c r="Q159" s="606"/>
      <c r="R159" s="606"/>
      <c r="S159" s="606"/>
      <c r="T159" s="606"/>
      <c r="U159" s="606"/>
      <c r="AM159" s="540"/>
      <c r="AN159" s="536"/>
      <c r="AO159" s="477"/>
      <c r="AP159" s="490"/>
    </row>
    <row r="160" spans="1:42" s="537" customFormat="1" ht="12.75" customHeight="1">
      <c r="B160" s="540"/>
      <c r="C160" s="606"/>
      <c r="D160" s="606"/>
      <c r="E160" s="606"/>
      <c r="F160" s="606"/>
      <c r="G160" s="606"/>
      <c r="H160" s="606"/>
      <c r="I160" s="606"/>
      <c r="J160" s="606"/>
      <c r="K160" s="606"/>
      <c r="L160" s="606"/>
      <c r="M160" s="606"/>
      <c r="N160" s="606"/>
      <c r="O160" s="606"/>
      <c r="P160" s="606"/>
      <c r="Q160" s="606"/>
      <c r="R160" s="606"/>
      <c r="S160" s="606"/>
      <c r="T160" s="606"/>
      <c r="U160" s="606"/>
      <c r="AM160" s="540"/>
      <c r="AN160" s="536"/>
      <c r="AO160" s="477"/>
      <c r="AP160" s="490"/>
    </row>
    <row r="161" spans="1:42" s="537" customFormat="1" ht="12.75" customHeight="1">
      <c r="B161" s="2569" t="s">
        <v>2478</v>
      </c>
      <c r="C161" s="2569"/>
      <c r="D161" s="2569"/>
      <c r="E161" s="2569"/>
      <c r="F161" s="2569"/>
      <c r="G161" s="2569"/>
      <c r="H161" s="2569"/>
      <c r="I161" s="2569"/>
      <c r="J161" s="2569"/>
      <c r="K161" s="2569"/>
      <c r="L161" s="2569"/>
      <c r="M161" s="2569"/>
      <c r="N161" s="2569"/>
      <c r="O161" s="2569"/>
      <c r="P161" s="2569"/>
      <c r="Q161" s="2569"/>
      <c r="R161" s="2569"/>
      <c r="S161" s="2569"/>
      <c r="T161" s="2569"/>
      <c r="U161" s="2569"/>
      <c r="V161" s="2569"/>
      <c r="W161" s="2569"/>
      <c r="X161" s="2569"/>
      <c r="Y161" s="2569"/>
      <c r="Z161" s="2569"/>
      <c r="AA161" s="2569"/>
      <c r="AB161" s="2569"/>
      <c r="AC161" s="2569"/>
      <c r="AD161" s="2569"/>
      <c r="AE161" s="2569"/>
      <c r="AF161" s="2569"/>
      <c r="AG161" s="2569"/>
      <c r="AH161" s="2569"/>
      <c r="AI161" s="2569"/>
      <c r="AJ161" s="2569"/>
      <c r="AK161" s="1181"/>
      <c r="AM161" s="540"/>
      <c r="AN161" s="536"/>
      <c r="AO161" s="477"/>
      <c r="AP161" s="490"/>
    </row>
    <row r="162" spans="1:42" s="537" customFormat="1" ht="12.75" customHeight="1">
      <c r="B162" s="2569"/>
      <c r="C162" s="2569"/>
      <c r="D162" s="2569"/>
      <c r="E162" s="2569"/>
      <c r="F162" s="2569"/>
      <c r="G162" s="2569"/>
      <c r="H162" s="2569"/>
      <c r="I162" s="2569"/>
      <c r="J162" s="2569"/>
      <c r="K162" s="2569"/>
      <c r="L162" s="2569"/>
      <c r="M162" s="2569"/>
      <c r="N162" s="2569"/>
      <c r="O162" s="2569"/>
      <c r="P162" s="2569"/>
      <c r="Q162" s="2569"/>
      <c r="R162" s="2569"/>
      <c r="S162" s="2569"/>
      <c r="T162" s="2569"/>
      <c r="U162" s="2569"/>
      <c r="V162" s="2569"/>
      <c r="W162" s="2569"/>
      <c r="X162" s="2569"/>
      <c r="Y162" s="2569"/>
      <c r="Z162" s="2569"/>
      <c r="AA162" s="2569"/>
      <c r="AB162" s="2569"/>
      <c r="AC162" s="2569"/>
      <c r="AD162" s="2569"/>
      <c r="AE162" s="2569"/>
      <c r="AF162" s="2569"/>
      <c r="AG162" s="2569"/>
      <c r="AH162" s="2569"/>
      <c r="AI162" s="2569"/>
      <c r="AJ162" s="2569"/>
      <c r="AK162" s="1181"/>
      <c r="AM162" s="540"/>
      <c r="AN162" s="536"/>
      <c r="AO162" s="477"/>
      <c r="AP162" s="490"/>
    </row>
    <row r="163" spans="1:42" s="537" customFormat="1" ht="12.75" customHeight="1">
      <c r="C163" s="2472" t="s">
        <v>2479</v>
      </c>
      <c r="D163" s="2472"/>
      <c r="E163" s="2472"/>
      <c r="F163" s="2472"/>
      <c r="G163" s="2472"/>
      <c r="H163" s="2472"/>
      <c r="I163" s="2472"/>
      <c r="J163" s="2472"/>
      <c r="K163" s="2472"/>
      <c r="L163" s="2472"/>
      <c r="M163" s="2472"/>
      <c r="N163" s="2472"/>
      <c r="O163" s="2472"/>
      <c r="P163" s="2472"/>
      <c r="Q163" s="2472"/>
      <c r="R163" s="2472"/>
      <c r="S163" s="2472"/>
      <c r="T163" s="2472"/>
      <c r="U163" s="2472"/>
      <c r="V163" s="2472"/>
      <c r="W163" s="2472"/>
      <c r="X163" s="2472"/>
      <c r="Y163" s="2472"/>
      <c r="Z163" s="2472"/>
      <c r="AA163" s="2472"/>
      <c r="AB163" s="2472"/>
      <c r="AC163" s="2472"/>
      <c r="AD163" s="2472"/>
      <c r="AE163" s="2472"/>
      <c r="AF163" s="2472"/>
      <c r="AG163" s="2472"/>
      <c r="AH163" s="2472"/>
      <c r="AI163" s="2472"/>
      <c r="AJ163" s="2472"/>
      <c r="AK163" s="1181"/>
      <c r="AM163" s="540"/>
      <c r="AN163" s="536"/>
      <c r="AO163" s="477"/>
      <c r="AP163" s="490"/>
    </row>
    <row r="164" spans="1:42" s="537" customFormat="1" ht="12.75" customHeight="1">
      <c r="B164" s="1181"/>
      <c r="C164" s="2407" t="s">
        <v>2477</v>
      </c>
      <c r="D164" s="2407"/>
      <c r="E164" s="2407"/>
      <c r="F164" s="2407"/>
      <c r="G164" s="2407"/>
      <c r="H164" s="2407"/>
      <c r="I164" s="2407"/>
      <c r="J164" s="2407"/>
      <c r="K164" s="2407"/>
      <c r="L164" s="2407"/>
      <c r="M164" s="2407"/>
      <c r="N164" s="2407"/>
      <c r="O164" s="2407"/>
      <c r="P164" s="2407"/>
      <c r="Q164" s="2407"/>
      <c r="R164" s="2407"/>
      <c r="S164" s="2407"/>
      <c r="T164" s="2407"/>
      <c r="U164" s="2407"/>
      <c r="V164" s="2407"/>
      <c r="W164" s="2407"/>
      <c r="X164" s="2407"/>
      <c r="Y164" s="2407"/>
      <c r="Z164" s="2407"/>
      <c r="AA164" s="1171"/>
      <c r="AB164" s="1171"/>
      <c r="AC164" s="1171"/>
      <c r="AD164" s="1171"/>
      <c r="AE164" s="1171"/>
      <c r="AF164" s="1171"/>
      <c r="AG164" s="1171"/>
      <c r="AH164" s="1171"/>
      <c r="AJ164" s="2409" t="s">
        <v>591</v>
      </c>
      <c r="AK164" s="2409"/>
      <c r="AM164" s="540"/>
      <c r="AN164" s="536"/>
      <c r="AO164" s="477"/>
      <c r="AP164" s="490"/>
    </row>
    <row r="165" spans="1:42" s="537" customFormat="1" ht="12.75" customHeight="1">
      <c r="AM165" s="540"/>
      <c r="AN165" s="536"/>
    </row>
    <row r="166" spans="1:42" s="551" customFormat="1" ht="12.75" customHeight="1">
      <c r="A166" s="601"/>
      <c r="B166" s="602"/>
      <c r="C166" s="602"/>
      <c r="D166" s="602"/>
      <c r="E166" s="602"/>
      <c r="F166" s="602"/>
      <c r="G166" s="602"/>
      <c r="H166" s="602"/>
      <c r="I166" s="602"/>
      <c r="J166" s="602"/>
      <c r="K166" s="602"/>
      <c r="L166" s="602"/>
      <c r="M166" s="602"/>
      <c r="N166" s="602"/>
      <c r="O166" s="602"/>
      <c r="P166" s="602"/>
      <c r="Q166" s="602"/>
      <c r="R166" s="602"/>
      <c r="S166" s="602"/>
      <c r="T166" s="602"/>
      <c r="U166" s="602"/>
      <c r="V166" s="602"/>
      <c r="W166" s="602"/>
      <c r="X166" s="602"/>
      <c r="Y166" s="602"/>
      <c r="Z166" s="602"/>
      <c r="AA166" s="602"/>
      <c r="AB166" s="602"/>
      <c r="AC166" s="602"/>
      <c r="AD166" s="602"/>
      <c r="AE166" s="602"/>
      <c r="AF166" s="602"/>
      <c r="AG166" s="602"/>
      <c r="AH166" s="602"/>
      <c r="AI166" s="566" t="s">
        <v>1348</v>
      </c>
      <c r="AJ166" s="2412">
        <f>IF($AB$155="N/A",VLOOKUP($B$153,$AO$151:$AP$154,2,FALSE),VLOOKUP($B$158,$AO$156:$AP$158,2,FALSE))</f>
        <v>7</v>
      </c>
      <c r="AK166" s="2412"/>
      <c r="AL166" s="596"/>
      <c r="AM166" s="537"/>
      <c r="AN166" s="599"/>
    </row>
    <row r="167" spans="1:42" s="551" customFormat="1" ht="12.75" customHeight="1">
      <c r="A167" s="596"/>
      <c r="B167" s="596"/>
      <c r="C167" s="537"/>
      <c r="D167" s="537"/>
      <c r="E167" s="537"/>
      <c r="F167" s="537"/>
      <c r="G167" s="537"/>
      <c r="H167" s="537"/>
      <c r="I167" s="537"/>
      <c r="J167" s="537"/>
      <c r="K167" s="537"/>
      <c r="L167" s="537"/>
      <c r="M167" s="537"/>
      <c r="N167" s="537"/>
      <c r="O167" s="537"/>
      <c r="P167" s="537"/>
      <c r="Q167" s="537"/>
      <c r="R167" s="537"/>
      <c r="S167" s="537"/>
      <c r="T167" s="537"/>
      <c r="U167" s="537"/>
      <c r="V167" s="537"/>
      <c r="W167" s="537"/>
      <c r="X167" s="537"/>
      <c r="Y167" s="537"/>
      <c r="Z167" s="537"/>
      <c r="AA167" s="537"/>
      <c r="AB167" s="537"/>
      <c r="AC167" s="537"/>
      <c r="AD167" s="537"/>
      <c r="AE167" s="537"/>
      <c r="AF167" s="537"/>
      <c r="AG167" s="537"/>
      <c r="AH167" s="537"/>
      <c r="AI167" s="537"/>
      <c r="AJ167" s="537"/>
      <c r="AK167" s="537"/>
      <c r="AL167" s="537"/>
      <c r="AM167" s="537"/>
      <c r="AN167" s="599"/>
    </row>
    <row r="168" spans="1:42" s="551" customFormat="1" ht="12.75" customHeight="1">
      <c r="A168" s="537"/>
      <c r="B168" s="539" t="s">
        <v>1350</v>
      </c>
      <c r="C168" s="540"/>
      <c r="D168" s="537"/>
      <c r="E168" s="643"/>
      <c r="F168" s="643"/>
      <c r="G168" s="643"/>
      <c r="H168" s="643"/>
      <c r="I168" s="643"/>
      <c r="J168" s="643"/>
      <c r="K168" s="643"/>
      <c r="L168" s="643"/>
      <c r="M168" s="643"/>
      <c r="N168" s="643"/>
      <c r="O168" s="643"/>
      <c r="P168" s="643"/>
      <c r="Q168" s="643"/>
      <c r="R168" s="643"/>
      <c r="S168" s="643"/>
      <c r="T168" s="643"/>
      <c r="U168" s="643"/>
      <c r="V168" s="643"/>
      <c r="W168" s="643"/>
      <c r="X168" s="643"/>
      <c r="Y168" s="643"/>
      <c r="Z168" s="643"/>
      <c r="AA168" s="643"/>
      <c r="AB168" s="643"/>
      <c r="AC168" s="643"/>
      <c r="AD168" s="643"/>
      <c r="AE168" s="537"/>
      <c r="AF168" s="2381" t="s">
        <v>1351</v>
      </c>
      <c r="AG168" s="2381"/>
      <c r="AH168" s="2381"/>
      <c r="AI168" s="2381"/>
      <c r="AJ168" s="2381"/>
      <c r="AK168" s="2381"/>
      <c r="AL168" s="2381"/>
      <c r="AM168" s="604"/>
      <c r="AN168" s="599"/>
    </row>
    <row r="169" spans="1:42" s="551" customFormat="1" ht="12.75" customHeight="1">
      <c r="A169" s="537"/>
      <c r="B169" s="540" t="s">
        <v>1352</v>
      </c>
      <c r="C169" s="537"/>
      <c r="D169" s="537"/>
      <c r="E169" s="537"/>
      <c r="F169" s="537"/>
      <c r="G169" s="537"/>
      <c r="H169" s="537"/>
      <c r="I169" s="537"/>
      <c r="J169" s="537"/>
      <c r="K169" s="537"/>
      <c r="L169" s="537"/>
      <c r="M169" s="537"/>
      <c r="N169" s="537"/>
      <c r="O169" s="537"/>
      <c r="P169" s="537"/>
      <c r="Q169" s="537"/>
      <c r="R169" s="537"/>
      <c r="S169" s="537"/>
      <c r="T169" s="537"/>
      <c r="U169" s="537"/>
      <c r="V169" s="537"/>
      <c r="W169" s="537"/>
      <c r="X169" s="537"/>
      <c r="Y169" s="537"/>
      <c r="Z169" s="537"/>
      <c r="AA169" s="540"/>
      <c r="AB169" s="540"/>
      <c r="AC169" s="540"/>
      <c r="AD169" s="540"/>
      <c r="AE169" s="537"/>
      <c r="AF169" s="537"/>
      <c r="AG169" s="537"/>
      <c r="AH169" s="537"/>
      <c r="AI169" s="537"/>
      <c r="AJ169" s="537"/>
      <c r="AK169" s="537"/>
      <c r="AL169" s="537"/>
      <c r="AM169" s="604"/>
      <c r="AN169" s="599"/>
    </row>
    <row r="170" spans="1:42" s="551" customFormat="1" ht="12.75" customHeight="1">
      <c r="A170" s="537"/>
      <c r="B170" s="537"/>
      <c r="C170" s="2408" t="s">
        <v>1349</v>
      </c>
      <c r="D170" s="2408"/>
      <c r="E170" s="2408"/>
      <c r="F170" s="2408"/>
      <c r="G170" s="2408"/>
      <c r="H170" s="2408"/>
      <c r="I170" s="2408"/>
      <c r="J170" s="2408"/>
      <c r="K170" s="2408"/>
      <c r="L170" s="2408"/>
      <c r="M170" s="2408"/>
      <c r="N170" s="2408"/>
      <c r="O170" s="2408"/>
      <c r="P170" s="2408"/>
      <c r="Q170" s="2408"/>
      <c r="R170" s="2408"/>
      <c r="S170" s="2408"/>
      <c r="T170" s="2408"/>
      <c r="U170" s="2408"/>
      <c r="V170" s="2408"/>
      <c r="W170" s="2408"/>
      <c r="X170" s="2408"/>
      <c r="Y170" s="2408"/>
      <c r="Z170" s="2408"/>
      <c r="AA170" s="2408"/>
      <c r="AB170" s="2408"/>
      <c r="AC170" s="2408"/>
      <c r="AD170" s="2408"/>
      <c r="AE170" s="2408"/>
      <c r="AF170" s="2408"/>
      <c r="AG170" s="2408"/>
      <c r="AH170" s="2408"/>
      <c r="AI170" s="2408"/>
      <c r="AJ170" s="537"/>
      <c r="AK170" s="537"/>
      <c r="AL170" s="537"/>
      <c r="AM170" s="604"/>
      <c r="AN170" s="598"/>
      <c r="AO170" s="477" t="s">
        <v>306</v>
      </c>
      <c r="AP170" s="477"/>
    </row>
    <row r="171" spans="1:42" s="551" customFormat="1" ht="12.95" customHeight="1">
      <c r="A171" s="537"/>
      <c r="B171" s="537"/>
      <c r="C171" s="606"/>
      <c r="D171" s="606"/>
      <c r="E171" s="606"/>
      <c r="F171" s="606"/>
      <c r="G171" s="606"/>
      <c r="H171" s="606"/>
      <c r="I171" s="606"/>
      <c r="J171" s="606"/>
      <c r="K171" s="606"/>
      <c r="L171" s="606"/>
      <c r="M171" s="606"/>
      <c r="N171" s="606"/>
      <c r="O171" s="606"/>
      <c r="P171" s="606"/>
      <c r="Q171" s="606"/>
      <c r="R171" s="606"/>
      <c r="S171" s="606"/>
      <c r="T171" s="606"/>
      <c r="U171" s="606"/>
      <c r="V171" s="606"/>
      <c r="W171" s="606"/>
      <c r="X171" s="606"/>
      <c r="Y171" s="606"/>
      <c r="Z171" s="606"/>
      <c r="AA171" s="606"/>
      <c r="AB171" s="606"/>
      <c r="AC171" s="606"/>
      <c r="AD171" s="606"/>
      <c r="AE171" s="537"/>
      <c r="AF171" s="537"/>
      <c r="AG171" s="537"/>
      <c r="AH171" s="537"/>
      <c r="AI171" s="537"/>
      <c r="AJ171" s="537"/>
      <c r="AK171" s="537"/>
      <c r="AL171" s="537"/>
      <c r="AM171" s="604"/>
      <c r="AN171" s="598"/>
      <c r="AO171" s="477" t="s">
        <v>1347</v>
      </c>
      <c r="AP171" s="600">
        <v>2</v>
      </c>
    </row>
    <row r="172" spans="1:42" s="551" customFormat="1" ht="12.75" customHeight="1">
      <c r="A172" s="537"/>
      <c r="B172" s="537"/>
      <c r="C172" s="540" t="s">
        <v>1354</v>
      </c>
      <c r="D172" s="537"/>
      <c r="E172" s="537"/>
      <c r="F172" s="537"/>
      <c r="G172" s="537"/>
      <c r="H172" s="537"/>
      <c r="I172" s="537"/>
      <c r="J172" s="537"/>
      <c r="K172" s="537"/>
      <c r="L172" s="537"/>
      <c r="M172" s="537"/>
      <c r="N172" s="537"/>
      <c r="O172" s="537"/>
      <c r="P172" s="537"/>
      <c r="Q172" s="537"/>
      <c r="R172" s="537"/>
      <c r="S172" s="537"/>
      <c r="T172" s="537"/>
      <c r="U172" s="537"/>
      <c r="V172" s="537"/>
      <c r="W172" s="537"/>
      <c r="X172" s="537"/>
      <c r="Y172" s="537"/>
      <c r="Z172" s="537"/>
      <c r="AA172" s="537"/>
      <c r="AB172" s="537"/>
      <c r="AE172" s="537"/>
      <c r="AF172" s="2409" t="s">
        <v>591</v>
      </c>
      <c r="AG172" s="2409"/>
      <c r="AH172" s="537"/>
      <c r="AI172" s="537"/>
      <c r="AJ172" s="537"/>
      <c r="AK172" s="537"/>
      <c r="AL172" s="537"/>
      <c r="AM172" s="604"/>
      <c r="AN172" s="598"/>
      <c r="AO172" s="477" t="s">
        <v>1349</v>
      </c>
      <c r="AP172" s="600">
        <v>3</v>
      </c>
    </row>
    <row r="173" spans="1:42" s="551" customFormat="1" ht="9" customHeight="1">
      <c r="A173" s="537"/>
      <c r="B173" s="537"/>
      <c r="C173" s="606"/>
      <c r="D173" s="606"/>
      <c r="E173" s="606"/>
      <c r="F173" s="606"/>
      <c r="G173" s="606"/>
      <c r="H173" s="606"/>
      <c r="I173" s="606"/>
      <c r="J173" s="606"/>
      <c r="K173" s="606"/>
      <c r="L173" s="606"/>
      <c r="M173" s="606"/>
      <c r="N173" s="606"/>
      <c r="O173" s="606"/>
      <c r="P173" s="606"/>
      <c r="Q173" s="606"/>
      <c r="R173" s="606"/>
      <c r="S173" s="606"/>
      <c r="T173" s="606"/>
      <c r="U173" s="606"/>
      <c r="V173" s="606"/>
      <c r="W173" s="606"/>
      <c r="X173" s="606"/>
      <c r="Y173" s="606"/>
      <c r="Z173" s="606"/>
      <c r="AA173" s="606"/>
      <c r="AB173" s="606"/>
      <c r="AC173" s="606"/>
      <c r="AD173" s="606"/>
      <c r="AE173" s="537"/>
      <c r="AF173" s="537"/>
      <c r="AG173" s="537"/>
      <c r="AJ173" s="537"/>
      <c r="AK173" s="537"/>
      <c r="AL173" s="537"/>
      <c r="AM173" s="604"/>
      <c r="AN173" s="598"/>
      <c r="AO173" s="603" t="s">
        <v>2169</v>
      </c>
      <c r="AP173" s="600">
        <v>3</v>
      </c>
    </row>
    <row r="174" spans="1:42" s="551" customFormat="1" ht="12.75" customHeight="1">
      <c r="A174" s="537"/>
      <c r="B174" s="537"/>
      <c r="C174" s="2408" t="s">
        <v>1342</v>
      </c>
      <c r="D174" s="2408"/>
      <c r="E174" s="2408"/>
      <c r="F174" s="2408"/>
      <c r="G174" s="2408"/>
      <c r="H174" s="2408"/>
      <c r="I174" s="2408"/>
      <c r="J174" s="2408"/>
      <c r="K174" s="2408"/>
      <c r="L174" s="2408"/>
      <c r="M174" s="2408"/>
      <c r="N174" s="2408"/>
      <c r="O174" s="2408"/>
      <c r="P174" s="2408"/>
      <c r="Q174" s="2408"/>
      <c r="R174" s="2408"/>
      <c r="S174" s="2408"/>
      <c r="T174" s="2408"/>
      <c r="U174" s="2408"/>
      <c r="V174" s="2408"/>
      <c r="W174" s="2408"/>
      <c r="X174" s="2408"/>
      <c r="Y174" s="2408"/>
      <c r="Z174" s="2408"/>
      <c r="AA174" s="2408"/>
      <c r="AB174" s="2408"/>
      <c r="AC174" s="2408"/>
      <c r="AD174" s="2408"/>
      <c r="AE174" s="537"/>
      <c r="AF174" s="537"/>
      <c r="AG174" s="537"/>
      <c r="AH174" s="537"/>
      <c r="AI174" s="537"/>
      <c r="AJ174" s="537"/>
      <c r="AK174" s="537"/>
      <c r="AL174" s="537"/>
      <c r="AM174" s="604"/>
      <c r="AN174" s="598"/>
      <c r="AO174" s="603"/>
      <c r="AP174" s="600"/>
    </row>
    <row r="175" spans="1:42" s="551" customFormat="1" ht="12.75" customHeight="1">
      <c r="A175" s="537"/>
      <c r="B175" s="537"/>
      <c r="C175" s="540" t="s">
        <v>1346</v>
      </c>
      <c r="D175" s="540"/>
      <c r="E175" s="540"/>
      <c r="F175" s="540"/>
      <c r="G175" s="540"/>
      <c r="H175" s="540"/>
      <c r="I175" s="540"/>
      <c r="J175" s="540"/>
      <c r="K175" s="540"/>
      <c r="L175" s="540"/>
      <c r="M175" s="540"/>
      <c r="N175" s="540"/>
      <c r="O175" s="540"/>
      <c r="P175" s="540"/>
      <c r="Q175" s="540"/>
      <c r="R175" s="540"/>
      <c r="S175" s="540"/>
      <c r="T175" s="540"/>
      <c r="U175" s="540"/>
      <c r="V175" s="540"/>
      <c r="W175" s="540"/>
      <c r="X175" s="540"/>
      <c r="Y175" s="540"/>
      <c r="Z175" s="540"/>
      <c r="AA175" s="540"/>
      <c r="AB175" s="540"/>
      <c r="AC175" s="540"/>
      <c r="AD175" s="540"/>
      <c r="AE175" s="540"/>
      <c r="AF175" s="540"/>
      <c r="AG175" s="540"/>
      <c r="AH175" s="540"/>
      <c r="AI175" s="540"/>
      <c r="AJ175" s="540"/>
      <c r="AK175" s="540"/>
      <c r="AL175" s="537"/>
      <c r="AM175" s="604"/>
      <c r="AN175" s="598"/>
      <c r="AO175" s="605"/>
      <c r="AP175" s="605"/>
    </row>
    <row r="176" spans="1:42" s="551" customFormat="1" ht="12.75" customHeight="1">
      <c r="A176" s="537"/>
      <c r="B176" s="537"/>
      <c r="C176" s="537"/>
      <c r="D176" s="537"/>
      <c r="E176" s="537"/>
      <c r="F176" s="537"/>
      <c r="G176" s="537"/>
      <c r="H176" s="537"/>
      <c r="I176" s="537"/>
      <c r="J176" s="537"/>
      <c r="K176" s="537"/>
      <c r="L176" s="537"/>
      <c r="M176" s="537"/>
      <c r="N176" s="537"/>
      <c r="O176" s="537"/>
      <c r="P176" s="537"/>
      <c r="Q176" s="537"/>
      <c r="R176" s="537"/>
      <c r="S176" s="537"/>
      <c r="T176" s="537"/>
      <c r="U176" s="537"/>
      <c r="V176" s="537"/>
      <c r="W176" s="537"/>
      <c r="X176" s="537"/>
      <c r="Y176" s="537"/>
      <c r="Z176" s="537"/>
      <c r="AA176" s="537"/>
      <c r="AB176" s="537"/>
      <c r="AC176" s="537"/>
      <c r="AD176" s="537"/>
      <c r="AE176" s="537"/>
      <c r="AF176" s="537"/>
      <c r="AG176" s="537"/>
      <c r="AH176" s="537"/>
      <c r="AI176" s="537"/>
      <c r="AJ176" s="537"/>
      <c r="AK176" s="537"/>
      <c r="AL176" s="537"/>
      <c r="AM176" s="604"/>
      <c r="AN176" s="598"/>
    </row>
    <row r="177" spans="1:73" s="551" customFormat="1" ht="12.75" customHeight="1">
      <c r="A177" s="537"/>
      <c r="B177" s="537"/>
      <c r="C177" s="539" t="s">
        <v>1356</v>
      </c>
      <c r="D177" s="606"/>
      <c r="E177" s="606"/>
      <c r="F177" s="606"/>
      <c r="G177" s="606"/>
      <c r="H177" s="606"/>
      <c r="I177" s="606"/>
      <c r="J177" s="606"/>
      <c r="K177" s="606"/>
      <c r="L177" s="606"/>
      <c r="M177" s="606"/>
      <c r="N177" s="606"/>
      <c r="O177" s="606"/>
      <c r="P177" s="606"/>
      <c r="Q177" s="606"/>
      <c r="R177" s="606"/>
      <c r="S177" s="606"/>
      <c r="T177" s="606"/>
      <c r="U177" s="606"/>
      <c r="V177" s="606"/>
      <c r="W177" s="606"/>
      <c r="X177" s="606"/>
      <c r="Y177" s="606"/>
      <c r="Z177" s="606"/>
      <c r="AA177" s="606"/>
      <c r="AB177" s="606"/>
      <c r="AC177" s="606"/>
      <c r="AD177" s="606"/>
      <c r="AE177" s="537"/>
      <c r="AF177" s="537"/>
      <c r="AG177" s="537"/>
      <c r="AH177" s="537"/>
      <c r="AI177" s="537"/>
      <c r="AJ177" s="537"/>
      <c r="AK177" s="537"/>
      <c r="AL177" s="537"/>
      <c r="AM177" s="604"/>
      <c r="AN177" s="598"/>
      <c r="AO177" s="477" t="s">
        <v>1342</v>
      </c>
      <c r="AP177" s="477"/>
    </row>
    <row r="178" spans="1:73" s="551" customFormat="1" ht="12.75" customHeight="1">
      <c r="A178" s="537"/>
      <c r="B178" s="537"/>
      <c r="C178" s="2410" t="str">
        <f>Application!AA335</f>
        <v>WinnResidential California LP</v>
      </c>
      <c r="D178" s="2410"/>
      <c r="E178" s="2410"/>
      <c r="F178" s="2410"/>
      <c r="G178" s="2410"/>
      <c r="H178" s="2410"/>
      <c r="I178" s="2410"/>
      <c r="J178" s="2410"/>
      <c r="K178" s="2410"/>
      <c r="L178" s="2410"/>
      <c r="M178" s="2410"/>
      <c r="N178" s="2410"/>
      <c r="O178" s="2410"/>
      <c r="P178" s="2410"/>
      <c r="Q178" s="2410"/>
      <c r="R178" s="2410"/>
      <c r="S178" s="2410"/>
      <c r="T178" s="2410"/>
      <c r="U178" s="2410"/>
      <c r="V178" s="2410"/>
      <c r="W178" s="2410"/>
      <c r="X178" s="2410"/>
      <c r="Y178" s="2410"/>
      <c r="Z178" s="2410"/>
      <c r="AA178" s="2410"/>
      <c r="AB178" s="2410"/>
      <c r="AC178" s="2410"/>
      <c r="AD178" s="2410"/>
      <c r="AE178" s="537"/>
      <c r="AF178" s="537"/>
      <c r="AG178" s="537"/>
      <c r="AH178" s="537"/>
      <c r="AI178" s="537"/>
      <c r="AJ178" s="537"/>
      <c r="AK178" s="537"/>
      <c r="AL178" s="537"/>
      <c r="AM178" s="604"/>
      <c r="AN178" s="598"/>
      <c r="AO178" s="477" t="s">
        <v>1353</v>
      </c>
      <c r="AP178" s="600">
        <v>2</v>
      </c>
    </row>
    <row r="179" spans="1:73" s="551" customFormat="1" ht="12.75" customHeight="1">
      <c r="A179" s="537"/>
      <c r="B179" s="537"/>
      <c r="C179" s="606"/>
      <c r="D179" s="606"/>
      <c r="E179" s="606"/>
      <c r="F179" s="606"/>
      <c r="G179" s="606"/>
      <c r="H179" s="606"/>
      <c r="I179" s="606"/>
      <c r="J179" s="606"/>
      <c r="K179" s="606"/>
      <c r="L179" s="606"/>
      <c r="M179" s="606"/>
      <c r="N179" s="606"/>
      <c r="O179" s="606"/>
      <c r="P179" s="606"/>
      <c r="Q179" s="606"/>
      <c r="R179" s="606"/>
      <c r="S179" s="606"/>
      <c r="T179" s="606"/>
      <c r="U179" s="606"/>
      <c r="V179" s="606"/>
      <c r="W179" s="606"/>
      <c r="X179" s="606"/>
      <c r="Y179" s="606"/>
      <c r="Z179" s="606"/>
      <c r="AA179" s="606"/>
      <c r="AB179" s="606"/>
      <c r="AC179" s="606"/>
      <c r="AD179" s="606"/>
      <c r="AE179" s="537"/>
      <c r="AF179" s="537"/>
      <c r="AG179" s="537"/>
      <c r="AH179" s="537"/>
      <c r="AI179" s="537"/>
      <c r="AJ179" s="537"/>
      <c r="AK179" s="537"/>
      <c r="AL179" s="537"/>
      <c r="AM179" s="604"/>
      <c r="AN179" s="598"/>
      <c r="AO179" s="477" t="s">
        <v>1355</v>
      </c>
      <c r="AP179" s="600">
        <v>3</v>
      </c>
    </row>
    <row r="180" spans="1:73" s="551" customFormat="1" ht="12.75" customHeight="1">
      <c r="A180" s="607"/>
      <c r="B180" s="565"/>
      <c r="C180" s="565"/>
      <c r="D180" s="564"/>
      <c r="E180" s="565"/>
      <c r="F180" s="565"/>
      <c r="G180" s="565"/>
      <c r="H180" s="565"/>
      <c r="I180" s="565"/>
      <c r="J180" s="565"/>
      <c r="K180" s="565"/>
      <c r="L180" s="565"/>
      <c r="M180" s="565"/>
      <c r="N180" s="565"/>
      <c r="O180" s="565"/>
      <c r="P180" s="565"/>
      <c r="Q180" s="602"/>
      <c r="R180" s="608"/>
      <c r="S180" s="565"/>
      <c r="T180" s="565"/>
      <c r="U180" s="565"/>
      <c r="V180" s="565"/>
      <c r="W180" s="565"/>
      <c r="X180" s="565"/>
      <c r="Y180" s="565"/>
      <c r="Z180" s="565"/>
      <c r="AA180" s="565"/>
      <c r="AB180" s="565"/>
      <c r="AC180" s="565"/>
      <c r="AD180" s="565"/>
      <c r="AE180" s="565"/>
      <c r="AF180" s="565"/>
      <c r="AG180" s="565"/>
      <c r="AH180" s="565"/>
      <c r="AI180" s="566" t="s">
        <v>1357</v>
      </c>
      <c r="AJ180" s="2411">
        <f>IF($AF$172="N/A",VLOOKUP($C$170,$AO$170:$AP$173,2,FALSE),VLOOKUP($C$174,$AO$177:$AP$179,2,FALSE))</f>
        <v>3</v>
      </c>
      <c r="AK180" s="2411"/>
      <c r="AL180" s="609"/>
      <c r="AM180" s="610"/>
      <c r="AN180" s="598"/>
      <c r="AO180" s="603"/>
      <c r="AP180" s="600"/>
    </row>
    <row r="181" spans="1:73" s="551" customFormat="1" ht="12.75" customHeight="1">
      <c r="A181" s="537"/>
      <c r="B181" s="611"/>
      <c r="R181" s="537"/>
      <c r="S181" s="611"/>
      <c r="AN181" s="598"/>
    </row>
    <row r="182" spans="1:73" s="551" customFormat="1" ht="12.75" customHeight="1">
      <c r="A182" s="612"/>
      <c r="B182" s="604"/>
      <c r="C182" s="604"/>
      <c r="D182" s="604"/>
      <c r="E182" s="604"/>
      <c r="F182" s="604"/>
      <c r="G182" s="604"/>
      <c r="H182" s="604"/>
      <c r="I182" s="604"/>
      <c r="J182" s="604"/>
      <c r="K182" s="604"/>
      <c r="L182" s="604"/>
      <c r="M182" s="604"/>
      <c r="N182" s="604"/>
      <c r="O182" s="604"/>
      <c r="P182" s="604"/>
      <c r="Q182" s="604"/>
      <c r="R182" s="604"/>
      <c r="S182" s="604"/>
      <c r="T182" s="604"/>
      <c r="U182" s="604"/>
      <c r="V182" s="604"/>
      <c r="W182" s="604"/>
      <c r="X182" s="604"/>
      <c r="Y182" s="604"/>
      <c r="Z182" s="604"/>
      <c r="AA182" s="604"/>
      <c r="AB182" s="604"/>
      <c r="AC182" s="604"/>
      <c r="AD182" s="604"/>
      <c r="AE182" s="604"/>
      <c r="AF182" s="604"/>
      <c r="AG182" s="604"/>
      <c r="AH182" s="604"/>
      <c r="AI182" s="604"/>
      <c r="AJ182" s="604"/>
      <c r="AK182" s="604"/>
      <c r="AL182" s="604"/>
      <c r="AM182" s="604"/>
      <c r="AN182" s="598"/>
    </row>
    <row r="183" spans="1:73" s="551" customFormat="1" ht="12.75" customHeight="1">
      <c r="A183" s="562"/>
      <c r="B183" s="563"/>
      <c r="C183" s="563"/>
      <c r="D183" s="563"/>
      <c r="E183" s="563"/>
      <c r="F183" s="563"/>
      <c r="G183" s="564"/>
      <c r="H183" s="565"/>
      <c r="I183" s="565"/>
      <c r="J183" s="565"/>
      <c r="K183" s="565"/>
      <c r="L183" s="565"/>
      <c r="M183" s="565"/>
      <c r="N183" s="565"/>
      <c r="O183" s="565"/>
      <c r="P183" s="565"/>
      <c r="Q183" s="565"/>
      <c r="R183" s="565"/>
      <c r="S183" s="565"/>
      <c r="T183" s="565"/>
      <c r="U183" s="565"/>
      <c r="V183" s="565"/>
      <c r="W183" s="565"/>
      <c r="X183" s="565"/>
      <c r="Y183" s="565"/>
      <c r="Z183" s="565"/>
      <c r="AA183" s="565"/>
      <c r="AB183" s="565"/>
      <c r="AC183" s="565"/>
      <c r="AD183" s="565"/>
      <c r="AE183" s="565"/>
      <c r="AF183" s="565"/>
      <c r="AG183" s="565"/>
      <c r="AH183" s="565"/>
      <c r="AI183" s="566"/>
      <c r="AJ183" s="566" t="s">
        <v>1358</v>
      </c>
      <c r="AK183" s="2369">
        <f>$AJ$166+$AJ$180</f>
        <v>10</v>
      </c>
      <c r="AL183" s="2370"/>
      <c r="AM183" s="2371"/>
      <c r="AN183" s="598"/>
    </row>
    <row r="184" spans="1:73" s="551" customFormat="1" ht="12.75" customHeight="1" thickBot="1">
      <c r="A184" s="567"/>
      <c r="B184" s="568"/>
      <c r="C184" s="569"/>
      <c r="D184" s="569"/>
      <c r="E184" s="569"/>
      <c r="F184" s="569"/>
      <c r="G184" s="569"/>
      <c r="H184" s="569"/>
      <c r="I184" s="569"/>
      <c r="J184" s="569"/>
      <c r="K184" s="569"/>
      <c r="L184" s="569"/>
      <c r="M184" s="569"/>
      <c r="N184" s="569"/>
      <c r="O184" s="569"/>
      <c r="P184" s="569"/>
      <c r="Q184" s="569"/>
      <c r="R184" s="569"/>
      <c r="S184" s="569"/>
      <c r="T184" s="569"/>
      <c r="U184" s="569"/>
      <c r="V184" s="569"/>
      <c r="W184" s="569"/>
      <c r="X184" s="569"/>
      <c r="Y184" s="569"/>
      <c r="Z184" s="569"/>
      <c r="AA184" s="569"/>
      <c r="AB184" s="569"/>
      <c r="AC184" s="569"/>
      <c r="AD184" s="569"/>
      <c r="AE184" s="569"/>
      <c r="AF184" s="569"/>
      <c r="AG184" s="569"/>
      <c r="AH184" s="569"/>
      <c r="AI184" s="569"/>
      <c r="AJ184" s="569"/>
      <c r="AK184" s="569"/>
      <c r="AL184" s="569"/>
      <c r="AM184" s="570"/>
      <c r="AN184" s="598"/>
      <c r="AO184" s="569"/>
      <c r="AR184" s="569"/>
      <c r="AS184" s="569"/>
      <c r="AT184" s="569"/>
      <c r="AU184" s="569"/>
      <c r="AV184" s="569"/>
      <c r="AW184" s="569"/>
      <c r="AX184" s="569"/>
      <c r="AY184" s="569"/>
      <c r="AZ184" s="569"/>
      <c r="BA184" s="569"/>
      <c r="BB184" s="569"/>
      <c r="BC184" s="569"/>
      <c r="BD184" s="569"/>
      <c r="BE184" s="569"/>
      <c r="BF184" s="569"/>
      <c r="BG184" s="569"/>
      <c r="BH184" s="569"/>
      <c r="BI184" s="569"/>
      <c r="BJ184" s="569"/>
      <c r="BK184" s="569"/>
      <c r="BL184" s="569"/>
      <c r="BM184" s="569"/>
      <c r="BN184" s="569"/>
      <c r="BO184" s="569"/>
      <c r="BP184" s="569"/>
      <c r="BQ184" s="569"/>
      <c r="BR184" s="569"/>
      <c r="BS184" s="569"/>
      <c r="BT184" s="569"/>
      <c r="BU184" s="569"/>
    </row>
    <row r="185" spans="1:73" s="551" customFormat="1" ht="12.75" customHeight="1" thickTop="1">
      <c r="A185" s="571"/>
      <c r="B185" s="572"/>
      <c r="C185" s="573"/>
      <c r="D185" s="573"/>
      <c r="E185" s="573"/>
      <c r="F185" s="573"/>
      <c r="G185" s="573"/>
      <c r="H185" s="573"/>
      <c r="I185" s="574"/>
      <c r="J185" s="574"/>
      <c r="K185" s="574"/>
      <c r="L185" s="574"/>
      <c r="M185" s="574"/>
      <c r="N185" s="574"/>
      <c r="O185" s="574"/>
      <c r="P185" s="574"/>
      <c r="Q185" s="574"/>
      <c r="R185" s="571"/>
      <c r="S185" s="540"/>
      <c r="T185" s="540"/>
      <c r="U185" s="540"/>
      <c r="V185" s="540"/>
      <c r="W185" s="540"/>
      <c r="X185" s="540"/>
      <c r="Y185" s="540"/>
      <c r="Z185" s="540"/>
      <c r="AA185" s="540"/>
      <c r="AB185" s="540"/>
      <c r="AC185" s="540"/>
      <c r="AD185" s="540"/>
      <c r="AE185" s="540"/>
      <c r="AF185" s="571"/>
      <c r="AG185" s="540"/>
      <c r="AH185" s="540"/>
      <c r="AI185" s="540"/>
      <c r="AJ185" s="540"/>
      <c r="AN185" s="598"/>
      <c r="AP185" s="613" t="s">
        <v>1359</v>
      </c>
      <c r="AQ185" s="613">
        <v>0</v>
      </c>
    </row>
    <row r="186" spans="1:73" s="551" customFormat="1" ht="12.75" customHeight="1">
      <c r="A186" s="539" t="s">
        <v>1360</v>
      </c>
      <c r="B186" s="539" t="s">
        <v>1726</v>
      </c>
      <c r="C186" s="614"/>
      <c r="D186" s="615"/>
      <c r="E186" s="615"/>
      <c r="F186" s="615"/>
      <c r="G186" s="615"/>
      <c r="H186" s="615"/>
      <c r="I186" s="615"/>
      <c r="J186" s="615"/>
      <c r="K186" s="537"/>
      <c r="L186" s="537"/>
      <c r="M186" s="537"/>
      <c r="N186" s="537"/>
      <c r="O186" s="537"/>
      <c r="P186" s="537"/>
      <c r="Q186" s="537"/>
      <c r="R186" s="537"/>
      <c r="S186" s="537"/>
      <c r="T186" s="537"/>
      <c r="U186" s="537"/>
      <c r="V186" s="537"/>
      <c r="W186" s="537"/>
      <c r="X186" s="537"/>
      <c r="Y186" s="616"/>
      <c r="Z186" s="616"/>
      <c r="AA186" s="616"/>
      <c r="AB186" s="616"/>
      <c r="AC186" s="537"/>
      <c r="AD186" s="537"/>
      <c r="AE186" s="2346" t="s">
        <v>1313</v>
      </c>
      <c r="AF186" s="2346"/>
      <c r="AG186" s="2346"/>
      <c r="AH186" s="2346"/>
      <c r="AI186" s="2346"/>
      <c r="AJ186" s="2346"/>
      <c r="AK186" s="2346"/>
      <c r="AL186" s="592"/>
      <c r="AN186" s="598"/>
      <c r="AP186" s="551" t="s">
        <v>1040</v>
      </c>
      <c r="AQ186" s="551">
        <v>10</v>
      </c>
    </row>
    <row r="187" spans="1:73" s="551" customFormat="1" ht="12.75" customHeight="1">
      <c r="A187" s="539"/>
      <c r="B187" s="617"/>
      <c r="C187" s="618"/>
      <c r="D187" s="615"/>
      <c r="E187" s="615"/>
      <c r="F187" s="615"/>
      <c r="G187" s="615"/>
      <c r="H187" s="537"/>
      <c r="I187" s="537"/>
      <c r="J187" s="537"/>
      <c r="K187" s="537"/>
      <c r="L187" s="537"/>
      <c r="M187" s="537"/>
      <c r="N187" s="537"/>
      <c r="O187" s="537"/>
      <c r="P187" s="537"/>
      <c r="Q187" s="537"/>
      <c r="R187" s="616"/>
      <c r="S187" s="616"/>
      <c r="T187" s="616"/>
      <c r="U187" s="616"/>
      <c r="V187" s="616"/>
      <c r="W187" s="616"/>
      <c r="X187" s="616"/>
      <c r="Y187" s="616"/>
      <c r="Z187" s="616"/>
      <c r="AA187" s="616"/>
      <c r="AB187" s="616"/>
      <c r="AC187" s="592"/>
      <c r="AD187" s="592"/>
      <c r="AE187" s="537"/>
      <c r="AF187" s="537"/>
      <c r="AG187" s="537"/>
      <c r="AH187" s="537"/>
      <c r="AI187" s="537"/>
      <c r="AJ187" s="537"/>
      <c r="AK187" s="537"/>
      <c r="AL187" s="537"/>
      <c r="AN187" s="598"/>
      <c r="AP187" s="551" t="s">
        <v>1361</v>
      </c>
      <c r="AQ187" s="551">
        <v>10</v>
      </c>
    </row>
    <row r="188" spans="1:73" s="551" customFormat="1" ht="12.75" customHeight="1">
      <c r="A188" s="537"/>
      <c r="B188" s="2406" t="s">
        <v>1366</v>
      </c>
      <c r="C188" s="2406"/>
      <c r="D188" s="2406"/>
      <c r="E188" s="2406"/>
      <c r="F188" s="2406"/>
      <c r="G188" s="2406"/>
      <c r="H188" s="2406"/>
      <c r="I188" s="2406"/>
      <c r="J188" s="2406"/>
      <c r="K188" s="2406"/>
      <c r="L188" s="2406"/>
      <c r="M188" s="2406"/>
      <c r="N188" s="2406"/>
      <c r="O188" s="2406"/>
      <c r="P188" s="2406"/>
      <c r="Q188" s="2406"/>
      <c r="R188" s="2406"/>
      <c r="S188" s="2406"/>
      <c r="T188" s="2406"/>
      <c r="U188" s="2406"/>
      <c r="V188" s="2406"/>
      <c r="W188" s="2406"/>
      <c r="X188" s="2406"/>
      <c r="Y188" s="2406"/>
      <c r="Z188" s="2406"/>
      <c r="AA188" s="2406"/>
      <c r="AB188" s="2406"/>
      <c r="AC188" s="2406"/>
      <c r="AD188" s="537"/>
      <c r="AE188" s="537"/>
      <c r="AF188" s="2381" t="s">
        <v>1362</v>
      </c>
      <c r="AG188" s="2381"/>
      <c r="AH188" s="2381"/>
      <c r="AI188" s="2381"/>
      <c r="AJ188" s="2381"/>
      <c r="AK188" s="2381"/>
      <c r="AL188" s="2381"/>
      <c r="AN188" s="598"/>
      <c r="AP188" s="551" t="s">
        <v>1042</v>
      </c>
      <c r="AQ188" s="551">
        <v>10</v>
      </c>
    </row>
    <row r="189" spans="1:73" s="551" customFormat="1" ht="12.75" customHeight="1">
      <c r="A189" s="537"/>
      <c r="B189" s="2407" t="s">
        <v>1725</v>
      </c>
      <c r="C189" s="2407"/>
      <c r="D189" s="2407"/>
      <c r="E189" s="2407"/>
      <c r="F189" s="2407"/>
      <c r="G189" s="2407"/>
      <c r="H189" s="2407"/>
      <c r="I189" s="2407"/>
      <c r="J189" s="2407"/>
      <c r="K189" s="2407"/>
      <c r="L189" s="2407"/>
      <c r="M189" s="2407"/>
      <c r="N189" s="2407"/>
      <c r="O189" s="2407"/>
      <c r="P189" s="2407"/>
      <c r="Q189" s="2407"/>
      <c r="R189" s="2407"/>
      <c r="S189" s="2407"/>
      <c r="T189" s="2382" t="s">
        <v>591</v>
      </c>
      <c r="U189" s="2382"/>
      <c r="V189" s="2382"/>
      <c r="W189" s="2382"/>
      <c r="X189" s="2382"/>
      <c r="Y189" s="2382"/>
      <c r="Z189" s="2382"/>
      <c r="AA189" s="2382"/>
      <c r="AB189" s="2382"/>
      <c r="AC189" s="2382"/>
      <c r="AD189" s="537"/>
      <c r="AE189" s="537"/>
      <c r="AF189" s="537"/>
      <c r="AG189" s="537"/>
      <c r="AH189" s="537"/>
      <c r="AI189" s="537"/>
      <c r="AJ189" s="544"/>
      <c r="AK189" s="596"/>
      <c r="AL189" s="596"/>
      <c r="AM189" s="596"/>
      <c r="AN189" s="598"/>
      <c r="AP189" s="551" t="s">
        <v>1363</v>
      </c>
      <c r="AQ189" s="551">
        <v>10</v>
      </c>
      <c r="AS189" s="551" t="s">
        <v>591</v>
      </c>
    </row>
    <row r="190" spans="1:73" s="551" customFormat="1" ht="12.75" customHeight="1">
      <c r="A190" s="537"/>
      <c r="B190" s="606"/>
      <c r="C190" s="606"/>
      <c r="D190" s="606"/>
      <c r="E190" s="606"/>
      <c r="F190" s="606"/>
      <c r="G190" s="606"/>
      <c r="H190" s="606"/>
      <c r="I190" s="606"/>
      <c r="J190" s="606"/>
      <c r="K190" s="606"/>
      <c r="L190" s="606"/>
      <c r="M190" s="606"/>
      <c r="N190" s="606"/>
      <c r="O190" s="606"/>
      <c r="P190" s="606"/>
      <c r="Q190" s="606"/>
      <c r="R190" s="606"/>
      <c r="S190" s="606"/>
      <c r="T190" s="606"/>
      <c r="U190" s="606"/>
      <c r="V190" s="606"/>
      <c r="W190" s="606"/>
      <c r="X190" s="606"/>
      <c r="Y190" s="606"/>
      <c r="Z190" s="606"/>
      <c r="AA190" s="606"/>
      <c r="AB190" s="606"/>
      <c r="AC190" s="606"/>
      <c r="AD190" s="606"/>
      <c r="AE190" s="537"/>
      <c r="AF190" s="537"/>
      <c r="AG190" s="537"/>
      <c r="AH190" s="537"/>
      <c r="AI190" s="537"/>
      <c r="AJ190" s="544"/>
      <c r="AK190" s="596"/>
      <c r="AL190" s="596"/>
      <c r="AM190" s="619"/>
      <c r="AP190" s="551" t="s">
        <v>1366</v>
      </c>
      <c r="AQ190" s="551">
        <v>10</v>
      </c>
      <c r="AS190" s="551" t="s">
        <v>1364</v>
      </c>
    </row>
    <row r="191" spans="1:73" s="551" customFormat="1" ht="12.75" customHeight="1">
      <c r="A191" s="607"/>
      <c r="B191" s="565"/>
      <c r="C191" s="565"/>
      <c r="D191" s="565"/>
      <c r="E191" s="565"/>
      <c r="F191" s="565"/>
      <c r="G191" s="565"/>
      <c r="H191" s="565"/>
      <c r="I191" s="565"/>
      <c r="J191" s="565"/>
      <c r="K191" s="565"/>
      <c r="L191" s="565"/>
      <c r="M191" s="565"/>
      <c r="N191" s="565"/>
      <c r="O191" s="565"/>
      <c r="P191" s="565"/>
      <c r="Q191" s="565"/>
      <c r="R191" s="565"/>
      <c r="S191" s="565"/>
      <c r="T191" s="565"/>
      <c r="U191" s="565"/>
      <c r="V191" s="565"/>
      <c r="W191" s="565"/>
      <c r="X191" s="565"/>
      <c r="Y191" s="565"/>
      <c r="Z191" s="565"/>
      <c r="AA191" s="565"/>
      <c r="AB191" s="565"/>
      <c r="AC191" s="565"/>
      <c r="AD191" s="565"/>
      <c r="AE191" s="565"/>
      <c r="AF191" s="565"/>
      <c r="AG191" s="565"/>
      <c r="AH191" s="565"/>
      <c r="AI191" s="566"/>
      <c r="AJ191" s="566" t="s">
        <v>1365</v>
      </c>
      <c r="AK191" s="2416">
        <f>IF(AK84&gt;0,VLOOKUP($B$188,AP185:AQ191,2,FALSE),0)</f>
        <v>10</v>
      </c>
      <c r="AL191" s="2417"/>
      <c r="AM191" s="2418"/>
      <c r="AN191" s="536"/>
      <c r="AP191" s="551" t="s">
        <v>1368</v>
      </c>
      <c r="AQ191" s="551">
        <v>10</v>
      </c>
      <c r="AS191" s="551" t="s">
        <v>1367</v>
      </c>
    </row>
    <row r="192" spans="1:73" s="551" customFormat="1" ht="12.75" customHeight="1" thickBot="1">
      <c r="A192" s="620"/>
      <c r="B192" s="620"/>
      <c r="C192" s="621"/>
      <c r="D192" s="622"/>
      <c r="E192" s="622"/>
      <c r="F192" s="622"/>
      <c r="G192" s="622"/>
      <c r="H192" s="622"/>
      <c r="I192" s="622"/>
      <c r="J192" s="622"/>
      <c r="K192" s="622"/>
      <c r="L192" s="622"/>
      <c r="M192" s="622"/>
      <c r="N192" s="622"/>
      <c r="O192" s="622"/>
      <c r="P192" s="622"/>
      <c r="Q192" s="622"/>
      <c r="R192" s="622"/>
      <c r="S192" s="622"/>
      <c r="T192" s="622"/>
      <c r="U192" s="622"/>
      <c r="V192" s="622"/>
      <c r="W192" s="622"/>
      <c r="X192" s="622"/>
      <c r="Y192" s="622"/>
      <c r="Z192" s="622"/>
      <c r="AA192" s="622"/>
      <c r="AB192" s="622"/>
      <c r="AC192" s="622"/>
      <c r="AD192" s="622"/>
      <c r="AE192" s="622"/>
      <c r="AF192" s="622"/>
      <c r="AG192" s="622"/>
      <c r="AH192" s="622"/>
      <c r="AI192" s="622"/>
      <c r="AJ192" s="622"/>
      <c r="AK192" s="622"/>
      <c r="AL192" s="622"/>
      <c r="AM192" s="622"/>
      <c r="AN192" s="598"/>
    </row>
    <row r="193" spans="1:40" s="551" customFormat="1" ht="12.75" customHeight="1" thickTop="1">
      <c r="A193" s="571"/>
      <c r="B193" s="572"/>
      <c r="C193" s="573"/>
      <c r="D193" s="573"/>
      <c r="E193" s="573"/>
      <c r="F193" s="573"/>
      <c r="G193" s="573"/>
      <c r="H193" s="573"/>
      <c r="I193" s="574"/>
      <c r="J193" s="574"/>
      <c r="K193" s="574"/>
      <c r="L193" s="574"/>
      <c r="M193" s="574"/>
      <c r="N193" s="574"/>
      <c r="O193" s="574"/>
      <c r="P193" s="574"/>
      <c r="Q193" s="574"/>
      <c r="R193" s="571"/>
      <c r="S193" s="540"/>
      <c r="T193" s="540"/>
      <c r="U193" s="540"/>
      <c r="V193" s="540"/>
      <c r="W193" s="540"/>
      <c r="X193" s="540"/>
      <c r="Y193" s="540"/>
      <c r="Z193" s="540"/>
      <c r="AA193" s="540"/>
      <c r="AB193" s="540"/>
      <c r="AC193" s="540"/>
      <c r="AD193" s="540"/>
      <c r="AE193" s="540"/>
      <c r="AF193" s="571"/>
      <c r="AG193" s="540"/>
      <c r="AH193" s="540"/>
      <c r="AI193" s="540"/>
      <c r="AJ193" s="540"/>
      <c r="AN193" s="598"/>
    </row>
    <row r="194" spans="1:40">
      <c r="A194" s="539" t="s">
        <v>1369</v>
      </c>
      <c r="B194" s="539" t="s">
        <v>1370</v>
      </c>
      <c r="C194" s="614"/>
      <c r="D194" s="615"/>
      <c r="E194" s="615"/>
      <c r="F194" s="615"/>
      <c r="G194" s="615"/>
      <c r="H194" s="615"/>
      <c r="I194" s="615"/>
      <c r="J194" s="615"/>
      <c r="K194" s="551"/>
      <c r="L194" s="551"/>
      <c r="M194" s="551"/>
      <c r="N194" s="551"/>
      <c r="O194" s="551"/>
      <c r="P194" s="551"/>
      <c r="Q194" s="551"/>
      <c r="R194" s="551"/>
      <c r="S194" s="551"/>
      <c r="T194" s="551"/>
      <c r="U194" s="551"/>
      <c r="V194" s="551"/>
      <c r="W194" s="551"/>
      <c r="X194" s="551"/>
      <c r="Y194" s="616"/>
      <c r="Z194" s="616"/>
      <c r="AA194" s="616"/>
      <c r="AB194" s="616"/>
      <c r="AC194" s="551"/>
      <c r="AD194" s="551"/>
      <c r="AE194" s="2346" t="s">
        <v>1371</v>
      </c>
      <c r="AF194" s="2346"/>
      <c r="AG194" s="2346"/>
      <c r="AH194" s="2346"/>
      <c r="AI194" s="2346"/>
      <c r="AJ194" s="2346"/>
      <c r="AK194" s="2346"/>
    </row>
    <row r="195" spans="1:40">
      <c r="A195" s="539"/>
      <c r="B195" s="539"/>
      <c r="C195" s="614"/>
      <c r="D195" s="615"/>
      <c r="E195" s="615"/>
      <c r="F195" s="615"/>
      <c r="G195" s="615"/>
      <c r="H195" s="615"/>
      <c r="I195" s="615"/>
      <c r="J195" s="615"/>
      <c r="K195" s="537"/>
      <c r="L195" s="537"/>
      <c r="M195" s="537"/>
      <c r="N195" s="537"/>
      <c r="O195" s="537"/>
      <c r="P195" s="537"/>
      <c r="Q195" s="537"/>
      <c r="R195" s="537"/>
      <c r="S195" s="537"/>
      <c r="T195" s="537"/>
      <c r="U195" s="537"/>
      <c r="V195" s="537"/>
      <c r="W195" s="537"/>
      <c r="X195" s="537"/>
      <c r="Y195" s="616"/>
      <c r="Z195" s="616"/>
      <c r="AA195" s="616"/>
      <c r="AB195" s="616"/>
      <c r="AC195" s="537"/>
      <c r="AD195" s="537"/>
      <c r="AE195" s="544"/>
      <c r="AF195" s="544"/>
      <c r="AG195" s="544"/>
      <c r="AH195" s="544"/>
      <c r="AI195" s="544"/>
      <c r="AJ195" s="544"/>
      <c r="AK195" s="544"/>
    </row>
    <row r="196" spans="1:40">
      <c r="A196" s="539"/>
      <c r="B196" s="845" t="s">
        <v>1588</v>
      </c>
      <c r="C196" s="614"/>
      <c r="D196" s="615"/>
      <c r="E196" s="615"/>
      <c r="F196" s="615"/>
      <c r="G196" s="615"/>
      <c r="H196" s="615"/>
      <c r="I196" s="615"/>
      <c r="J196" s="615"/>
      <c r="K196" s="537"/>
      <c r="L196" s="537"/>
      <c r="M196" s="537"/>
      <c r="N196" s="537"/>
      <c r="O196" s="537"/>
      <c r="P196" s="537"/>
      <c r="Q196" s="537"/>
      <c r="R196" s="537"/>
      <c r="S196" s="537"/>
      <c r="T196" s="537"/>
      <c r="U196" s="537"/>
      <c r="V196" s="537"/>
      <c r="W196" s="537"/>
      <c r="X196" s="537"/>
      <c r="Y196" s="616"/>
      <c r="Z196" s="616"/>
      <c r="AA196" s="616"/>
      <c r="AB196" s="616"/>
      <c r="AC196" s="537"/>
      <c r="AD196" s="537"/>
      <c r="AE196" s="544"/>
      <c r="AF196" s="544"/>
      <c r="AG196" s="544"/>
      <c r="AH196" s="544"/>
      <c r="AI196" s="544"/>
      <c r="AJ196" s="544"/>
      <c r="AK196" s="544"/>
    </row>
    <row r="197" spans="1:40">
      <c r="A197" s="606"/>
      <c r="C197" s="664"/>
      <c r="D197" s="828"/>
      <c r="E197" s="828"/>
      <c r="F197" s="828"/>
      <c r="G197" s="828"/>
      <c r="H197" s="828"/>
      <c r="I197" s="828"/>
      <c r="J197" s="828"/>
      <c r="K197" s="537"/>
      <c r="L197" s="537"/>
      <c r="M197" s="537"/>
      <c r="N197" s="537"/>
      <c r="O197" s="537"/>
      <c r="P197" s="537"/>
      <c r="Q197" s="537"/>
      <c r="R197" s="537"/>
      <c r="S197" s="537"/>
      <c r="T197" s="537"/>
      <c r="U197" s="537"/>
      <c r="V197" s="537"/>
      <c r="W197" s="537"/>
      <c r="X197" s="537"/>
      <c r="Y197" s="644"/>
      <c r="Z197" s="644"/>
      <c r="AA197" s="644"/>
      <c r="AB197" s="644"/>
      <c r="AC197" s="537"/>
      <c r="AD197" s="537"/>
      <c r="AE197" s="611"/>
      <c r="AF197" s="611"/>
      <c r="AG197" s="611"/>
      <c r="AH197" s="611"/>
      <c r="AI197" s="611"/>
      <c r="AJ197" s="611"/>
      <c r="AK197" s="611"/>
    </row>
    <row r="198" spans="1:40">
      <c r="A198" s="606"/>
      <c r="B198" s="846" t="s">
        <v>1624</v>
      </c>
      <c r="C198" s="664"/>
      <c r="D198" s="828"/>
      <c r="E198" s="828"/>
      <c r="F198" s="828"/>
      <c r="G198" s="828"/>
      <c r="H198" s="828"/>
      <c r="I198" s="828"/>
      <c r="J198" s="828"/>
      <c r="K198" s="537"/>
      <c r="L198" s="537"/>
      <c r="M198" s="537"/>
      <c r="N198" s="537"/>
      <c r="O198" s="537"/>
      <c r="P198" s="537"/>
      <c r="Q198" s="537"/>
      <c r="R198" s="537"/>
      <c r="S198" s="537"/>
      <c r="T198" s="537"/>
      <c r="U198" s="537"/>
      <c r="V198" s="537"/>
      <c r="W198" s="537"/>
      <c r="X198" s="537"/>
      <c r="Y198" s="644"/>
      <c r="Z198" s="644"/>
      <c r="AA198" s="644"/>
      <c r="AB198" s="644"/>
      <c r="AC198" s="537"/>
      <c r="AD198" s="537"/>
      <c r="AE198" s="611"/>
      <c r="AF198" s="611"/>
      <c r="AG198" s="611"/>
      <c r="AH198" s="611"/>
      <c r="AI198" s="611"/>
      <c r="AJ198" s="611"/>
      <c r="AK198" s="611"/>
    </row>
    <row r="199" spans="1:40">
      <c r="A199" s="606"/>
      <c r="B199" s="2393" t="s">
        <v>2724</v>
      </c>
      <c r="C199" s="2393"/>
      <c r="D199" s="2393"/>
      <c r="E199" s="2393"/>
      <c r="F199" s="2393"/>
      <c r="G199" s="2393"/>
      <c r="H199" s="2393"/>
      <c r="I199" s="2393"/>
      <c r="J199" s="2393"/>
      <c r="K199" s="2393"/>
      <c r="L199" s="2393"/>
      <c r="M199" s="2393"/>
      <c r="N199" s="2393"/>
      <c r="O199" s="2393"/>
      <c r="P199" s="2393"/>
      <c r="Q199" s="2393"/>
      <c r="R199" s="2393"/>
      <c r="S199" s="2393"/>
      <c r="T199" s="2393"/>
      <c r="U199" s="2393"/>
      <c r="V199" s="2393"/>
      <c r="W199" s="2393"/>
      <c r="X199" s="2393"/>
      <c r="Y199" s="2393"/>
      <c r="Z199" s="2393"/>
      <c r="AA199" s="2393"/>
      <c r="AB199" s="2393"/>
      <c r="AC199" s="847"/>
      <c r="AD199" s="2394">
        <f>Application!AM555</f>
        <v>6895259.04</v>
      </c>
      <c r="AE199" s="2394"/>
      <c r="AF199" s="2394"/>
      <c r="AG199" s="2394"/>
      <c r="AH199" s="2394"/>
      <c r="AI199" s="2394"/>
      <c r="AJ199" s="2394"/>
      <c r="AK199" s="611"/>
    </row>
    <row r="200" spans="1:40">
      <c r="A200" s="606"/>
      <c r="B200" s="2393"/>
      <c r="C200" s="2393"/>
      <c r="D200" s="2393"/>
      <c r="E200" s="2393"/>
      <c r="F200" s="2393"/>
      <c r="G200" s="2393"/>
      <c r="H200" s="2393"/>
      <c r="I200" s="2393"/>
      <c r="J200" s="2393"/>
      <c r="K200" s="2393"/>
      <c r="L200" s="2393"/>
      <c r="M200" s="2393"/>
      <c r="N200" s="2393"/>
      <c r="O200" s="2393"/>
      <c r="P200" s="2393"/>
      <c r="Q200" s="2393"/>
      <c r="R200" s="2393"/>
      <c r="S200" s="2393"/>
      <c r="T200" s="2393"/>
      <c r="U200" s="2393"/>
      <c r="V200" s="2393"/>
      <c r="W200" s="2393"/>
      <c r="X200" s="2393"/>
      <c r="Y200" s="2393"/>
      <c r="Z200" s="2393"/>
      <c r="AA200" s="2393"/>
      <c r="AB200" s="2393"/>
      <c r="AC200" s="847"/>
      <c r="AD200" s="2394"/>
      <c r="AE200" s="2394"/>
      <c r="AF200" s="2394"/>
      <c r="AG200" s="2394"/>
      <c r="AH200" s="2394"/>
      <c r="AI200" s="2394"/>
      <c r="AJ200" s="2394"/>
      <c r="AK200" s="611"/>
    </row>
    <row r="201" spans="1:40">
      <c r="A201" s="606"/>
      <c r="B201" s="2393"/>
      <c r="C201" s="2393"/>
      <c r="D201" s="2393"/>
      <c r="E201" s="2393"/>
      <c r="F201" s="2393"/>
      <c r="G201" s="2393"/>
      <c r="H201" s="2393"/>
      <c r="I201" s="2393"/>
      <c r="J201" s="2393"/>
      <c r="K201" s="2393"/>
      <c r="L201" s="2393"/>
      <c r="M201" s="2393"/>
      <c r="N201" s="2393"/>
      <c r="O201" s="2393"/>
      <c r="P201" s="2393"/>
      <c r="Q201" s="2393"/>
      <c r="R201" s="2393"/>
      <c r="S201" s="2393"/>
      <c r="T201" s="2393"/>
      <c r="U201" s="2393"/>
      <c r="V201" s="2393"/>
      <c r="W201" s="2393"/>
      <c r="X201" s="2393"/>
      <c r="Y201" s="2393"/>
      <c r="Z201" s="2393"/>
      <c r="AA201" s="2393"/>
      <c r="AB201" s="2393"/>
      <c r="AC201" s="847"/>
      <c r="AD201" s="2394"/>
      <c r="AE201" s="2394"/>
      <c r="AF201" s="2394"/>
      <c r="AG201" s="2394"/>
      <c r="AH201" s="2394"/>
      <c r="AI201" s="2394"/>
      <c r="AJ201" s="2394"/>
      <c r="AK201" s="611"/>
    </row>
    <row r="202" spans="1:40">
      <c r="A202" s="606"/>
      <c r="B202" s="2393"/>
      <c r="C202" s="2393"/>
      <c r="D202" s="2393"/>
      <c r="E202" s="2393"/>
      <c r="F202" s="2393"/>
      <c r="G202" s="2393"/>
      <c r="H202" s="2393"/>
      <c r="I202" s="2393"/>
      <c r="J202" s="2393"/>
      <c r="K202" s="2393"/>
      <c r="L202" s="2393"/>
      <c r="M202" s="2393"/>
      <c r="N202" s="2393"/>
      <c r="O202" s="2393"/>
      <c r="P202" s="2393"/>
      <c r="Q202" s="2393"/>
      <c r="R202" s="2393"/>
      <c r="S202" s="2393"/>
      <c r="T202" s="2393"/>
      <c r="U202" s="2393"/>
      <c r="V202" s="2393"/>
      <c r="W202" s="2393"/>
      <c r="X202" s="2393"/>
      <c r="Y202" s="2393"/>
      <c r="Z202" s="2393"/>
      <c r="AA202" s="2393"/>
      <c r="AB202" s="2393"/>
      <c r="AC202" s="847"/>
      <c r="AD202" s="2394"/>
      <c r="AE202" s="2394"/>
      <c r="AF202" s="2394"/>
      <c r="AG202" s="2394"/>
      <c r="AH202" s="2394"/>
      <c r="AI202" s="2394"/>
      <c r="AJ202" s="2394"/>
      <c r="AK202" s="611"/>
    </row>
    <row r="203" spans="1:40">
      <c r="A203" s="606"/>
      <c r="B203" s="2393"/>
      <c r="C203" s="2393"/>
      <c r="D203" s="2393"/>
      <c r="E203" s="2393"/>
      <c r="F203" s="2393"/>
      <c r="G203" s="2393"/>
      <c r="H203" s="2393"/>
      <c r="I203" s="2393"/>
      <c r="J203" s="2393"/>
      <c r="K203" s="2393"/>
      <c r="L203" s="2393"/>
      <c r="M203" s="2393"/>
      <c r="N203" s="2393"/>
      <c r="O203" s="2393"/>
      <c r="P203" s="2393"/>
      <c r="Q203" s="2393"/>
      <c r="R203" s="2393"/>
      <c r="S203" s="2393"/>
      <c r="T203" s="2393"/>
      <c r="U203" s="2393"/>
      <c r="V203" s="2393"/>
      <c r="W203" s="2393"/>
      <c r="X203" s="2393"/>
      <c r="Y203" s="2393"/>
      <c r="Z203" s="2393"/>
      <c r="AA203" s="2393"/>
      <c r="AB203" s="2393"/>
      <c r="AC203" s="847"/>
      <c r="AD203" s="2394"/>
      <c r="AE203" s="2394"/>
      <c r="AF203" s="2394"/>
      <c r="AG203" s="2394"/>
      <c r="AH203" s="2394"/>
      <c r="AI203" s="2394"/>
      <c r="AJ203" s="2394"/>
      <c r="AK203" s="611"/>
    </row>
    <row r="204" spans="1:40">
      <c r="A204" s="606"/>
      <c r="B204" s="2393"/>
      <c r="C204" s="2393"/>
      <c r="D204" s="2393"/>
      <c r="E204" s="2393"/>
      <c r="F204" s="2393"/>
      <c r="G204" s="2393"/>
      <c r="H204" s="2393"/>
      <c r="I204" s="2393"/>
      <c r="J204" s="2393"/>
      <c r="K204" s="2393"/>
      <c r="L204" s="2393"/>
      <c r="M204" s="2393"/>
      <c r="N204" s="2393"/>
      <c r="O204" s="2393"/>
      <c r="P204" s="2393"/>
      <c r="Q204" s="2393"/>
      <c r="R204" s="2393"/>
      <c r="S204" s="2393"/>
      <c r="T204" s="2393"/>
      <c r="U204" s="2393"/>
      <c r="V204" s="2393"/>
      <c r="W204" s="2393"/>
      <c r="X204" s="2393"/>
      <c r="Y204" s="2393"/>
      <c r="Z204" s="2393"/>
      <c r="AA204" s="2393"/>
      <c r="AB204" s="2393"/>
      <c r="AC204" s="847"/>
      <c r="AD204" s="2394"/>
      <c r="AE204" s="2394"/>
      <c r="AF204" s="2394"/>
      <c r="AG204" s="2394"/>
      <c r="AH204" s="2394"/>
      <c r="AI204" s="2394"/>
      <c r="AJ204" s="2394"/>
      <c r="AK204" s="611"/>
    </row>
    <row r="205" spans="1:40">
      <c r="A205" s="606"/>
      <c r="B205" s="2393"/>
      <c r="C205" s="2393"/>
      <c r="D205" s="2393"/>
      <c r="E205" s="2393"/>
      <c r="F205" s="2393"/>
      <c r="G205" s="2393"/>
      <c r="H205" s="2393"/>
      <c r="I205" s="2393"/>
      <c r="J205" s="2393"/>
      <c r="K205" s="2393"/>
      <c r="L205" s="2393"/>
      <c r="M205" s="2393"/>
      <c r="N205" s="2393"/>
      <c r="O205" s="2393"/>
      <c r="P205" s="2393"/>
      <c r="Q205" s="2393"/>
      <c r="R205" s="2393"/>
      <c r="S205" s="2393"/>
      <c r="T205" s="2393"/>
      <c r="U205" s="2393"/>
      <c r="V205" s="2393"/>
      <c r="W205" s="2393"/>
      <c r="X205" s="2393"/>
      <c r="Y205" s="2393"/>
      <c r="Z205" s="2393"/>
      <c r="AA205" s="2393"/>
      <c r="AB205" s="2393"/>
      <c r="AC205" s="847"/>
      <c r="AD205" s="2394"/>
      <c r="AE205" s="2394"/>
      <c r="AF205" s="2394"/>
      <c r="AG205" s="2394"/>
      <c r="AH205" s="2394"/>
      <c r="AI205" s="2394"/>
      <c r="AJ205" s="2394"/>
      <c r="AK205" s="611"/>
    </row>
    <row r="206" spans="1:40">
      <c r="A206" s="606"/>
      <c r="B206" s="2393"/>
      <c r="C206" s="2393"/>
      <c r="D206" s="2393"/>
      <c r="E206" s="2393"/>
      <c r="F206" s="2393"/>
      <c r="G206" s="2393"/>
      <c r="H206" s="2393"/>
      <c r="I206" s="2393"/>
      <c r="J206" s="2393"/>
      <c r="K206" s="2393"/>
      <c r="L206" s="2393"/>
      <c r="M206" s="2393"/>
      <c r="N206" s="2393"/>
      <c r="O206" s="2393"/>
      <c r="P206" s="2393"/>
      <c r="Q206" s="2393"/>
      <c r="R206" s="2393"/>
      <c r="S206" s="2393"/>
      <c r="T206" s="2393"/>
      <c r="U206" s="2393"/>
      <c r="V206" s="2393"/>
      <c r="W206" s="2393"/>
      <c r="X206" s="2393"/>
      <c r="Y206" s="2393"/>
      <c r="Z206" s="2393"/>
      <c r="AA206" s="2393"/>
      <c r="AB206" s="2393"/>
      <c r="AC206" s="847"/>
      <c r="AD206" s="2394"/>
      <c r="AE206" s="2394"/>
      <c r="AF206" s="2394"/>
      <c r="AG206" s="2394"/>
      <c r="AH206" s="2394"/>
      <c r="AI206" s="2394"/>
      <c r="AJ206" s="2394"/>
      <c r="AK206" s="611"/>
    </row>
    <row r="207" spans="1:40">
      <c r="A207" s="606"/>
      <c r="B207" s="2393"/>
      <c r="C207" s="2393"/>
      <c r="D207" s="2393"/>
      <c r="E207" s="2393"/>
      <c r="F207" s="2393"/>
      <c r="G207" s="2393"/>
      <c r="H207" s="2393"/>
      <c r="I207" s="2393"/>
      <c r="J207" s="2393"/>
      <c r="K207" s="2393"/>
      <c r="L207" s="2393"/>
      <c r="M207" s="2393"/>
      <c r="N207" s="2393"/>
      <c r="O207" s="2393"/>
      <c r="P207" s="2393"/>
      <c r="Q207" s="2393"/>
      <c r="R207" s="2393"/>
      <c r="S207" s="2393"/>
      <c r="T207" s="2393"/>
      <c r="U207" s="2393"/>
      <c r="V207" s="2393"/>
      <c r="W207" s="2393"/>
      <c r="X207" s="2393"/>
      <c r="Y207" s="2393"/>
      <c r="Z207" s="2393"/>
      <c r="AA207" s="2393"/>
      <c r="AB207" s="2393"/>
      <c r="AC207" s="847"/>
      <c r="AD207" s="2394"/>
      <c r="AE207" s="2394"/>
      <c r="AF207" s="2394"/>
      <c r="AG207" s="2394"/>
      <c r="AH207" s="2394"/>
      <c r="AI207" s="2394"/>
      <c r="AJ207" s="2394"/>
      <c r="AK207" s="611"/>
    </row>
    <row r="208" spans="1:40">
      <c r="A208" s="606"/>
      <c r="B208" s="2393"/>
      <c r="C208" s="2393"/>
      <c r="D208" s="2393"/>
      <c r="E208" s="2393"/>
      <c r="F208" s="2393"/>
      <c r="G208" s="2393"/>
      <c r="H208" s="2393"/>
      <c r="I208" s="2393"/>
      <c r="J208" s="2393"/>
      <c r="K208" s="2393"/>
      <c r="L208" s="2393"/>
      <c r="M208" s="2393"/>
      <c r="N208" s="2393"/>
      <c r="O208" s="2393"/>
      <c r="P208" s="2393"/>
      <c r="Q208" s="2393"/>
      <c r="R208" s="2393"/>
      <c r="S208" s="2393"/>
      <c r="T208" s="2393"/>
      <c r="U208" s="2393"/>
      <c r="V208" s="2393"/>
      <c r="W208" s="2393"/>
      <c r="X208" s="2393"/>
      <c r="Y208" s="2393"/>
      <c r="Z208" s="2393"/>
      <c r="AA208" s="2393"/>
      <c r="AB208" s="2393"/>
      <c r="AC208" s="847"/>
      <c r="AD208" s="2394"/>
      <c r="AE208" s="2394"/>
      <c r="AF208" s="2394"/>
      <c r="AG208" s="2394"/>
      <c r="AH208" s="2394"/>
      <c r="AI208" s="2394"/>
      <c r="AJ208" s="2394"/>
      <c r="AK208" s="611"/>
    </row>
    <row r="209" spans="1:37">
      <c r="A209" s="606"/>
      <c r="B209" s="2404" t="s">
        <v>1626</v>
      </c>
      <c r="C209" s="2404"/>
      <c r="D209" s="2404"/>
      <c r="E209" s="2404"/>
      <c r="F209" s="2404"/>
      <c r="G209" s="2404"/>
      <c r="H209" s="2404"/>
      <c r="I209" s="2404"/>
      <c r="J209" s="2404"/>
      <c r="K209" s="2404"/>
      <c r="L209" s="2404"/>
      <c r="M209" s="2404"/>
      <c r="N209" s="2404"/>
      <c r="O209" s="2404"/>
      <c r="P209" s="2404"/>
      <c r="Q209" s="2404"/>
      <c r="R209" s="2404"/>
      <c r="S209" s="2404"/>
      <c r="T209" s="2404"/>
      <c r="U209" s="2404"/>
      <c r="V209" s="2404"/>
      <c r="W209" s="2404"/>
      <c r="X209" s="2404"/>
      <c r="Y209" s="2404"/>
      <c r="Z209" s="2404"/>
      <c r="AA209" s="2404"/>
      <c r="AB209" s="2404"/>
      <c r="AC209" s="537"/>
      <c r="AD209" s="2423">
        <f>AB260</f>
        <v>0</v>
      </c>
      <c r="AE209" s="2423"/>
      <c r="AF209" s="2423"/>
      <c r="AG209" s="2423"/>
      <c r="AH209" s="2423"/>
      <c r="AI209" s="2423"/>
      <c r="AJ209" s="2423"/>
      <c r="AK209" s="611"/>
    </row>
    <row r="210" spans="1:37">
      <c r="A210" s="606"/>
      <c r="B210" s="2550" t="s">
        <v>1589</v>
      </c>
      <c r="C210" s="2550"/>
      <c r="D210" s="2550"/>
      <c r="E210" s="2550"/>
      <c r="F210" s="2550"/>
      <c r="G210" s="2550"/>
      <c r="H210" s="2550"/>
      <c r="I210" s="2550"/>
      <c r="J210" s="2550"/>
      <c r="K210" s="2550"/>
      <c r="L210" s="2550"/>
      <c r="M210" s="2550"/>
      <c r="N210" s="2550"/>
      <c r="O210" s="2550"/>
      <c r="P210" s="2550"/>
      <c r="Q210" s="2550"/>
      <c r="R210" s="2550"/>
      <c r="S210" s="2550"/>
      <c r="T210" s="2550"/>
      <c r="U210" s="2550"/>
      <c r="V210" s="2550"/>
      <c r="W210" s="2550"/>
      <c r="X210" s="2550"/>
      <c r="Y210" s="2550"/>
      <c r="Z210" s="2550"/>
      <c r="AA210" s="2550"/>
      <c r="AB210" s="2550"/>
      <c r="AC210" s="847"/>
      <c r="AD210" s="2424">
        <f>'Sources and Uses Budget'!B15</f>
        <v>0</v>
      </c>
      <c r="AE210" s="2424"/>
      <c r="AF210" s="2424"/>
      <c r="AG210" s="2424"/>
      <c r="AH210" s="2424"/>
      <c r="AI210" s="2424"/>
      <c r="AJ210" s="2424"/>
      <c r="AK210" s="611"/>
    </row>
    <row r="211" spans="1:37">
      <c r="A211" s="606"/>
      <c r="B211" s="448"/>
      <c r="C211" s="448"/>
      <c r="D211" s="448"/>
      <c r="E211" s="448"/>
      <c r="F211" s="448"/>
      <c r="G211" s="448"/>
      <c r="H211" s="448"/>
      <c r="I211" s="448"/>
      <c r="J211" s="448"/>
      <c r="K211" s="448"/>
      <c r="L211" s="448"/>
      <c r="M211" s="448"/>
      <c r="N211" s="448"/>
      <c r="O211" s="448"/>
      <c r="P211" s="448"/>
      <c r="Q211" s="448"/>
      <c r="R211" s="448"/>
      <c r="S211" s="448"/>
      <c r="T211" s="448"/>
      <c r="U211" s="448"/>
      <c r="V211" s="448"/>
      <c r="W211" s="448"/>
      <c r="X211" s="448"/>
      <c r="Y211" s="448"/>
      <c r="Z211" s="448"/>
      <c r="AA211" s="448"/>
      <c r="AB211" s="624" t="s">
        <v>899</v>
      </c>
      <c r="AC211" s="537"/>
      <c r="AD211" s="2428">
        <f>SUM(AD199:AJ209)-AD210</f>
        <v>6895259.04</v>
      </c>
      <c r="AE211" s="2428"/>
      <c r="AF211" s="2428"/>
      <c r="AG211" s="2428"/>
      <c r="AH211" s="2428"/>
      <c r="AI211" s="2428"/>
      <c r="AJ211" s="2428"/>
      <c r="AK211" s="611"/>
    </row>
    <row r="212" spans="1:37">
      <c r="A212" s="606"/>
      <c r="B212" s="606"/>
      <c r="C212" s="664"/>
      <c r="D212" s="828"/>
      <c r="E212" s="828"/>
      <c r="F212" s="828"/>
      <c r="G212" s="828"/>
      <c r="H212" s="828"/>
      <c r="I212" s="828"/>
      <c r="J212" s="828"/>
      <c r="K212" s="537"/>
      <c r="L212" s="537"/>
      <c r="M212" s="537"/>
      <c r="N212" s="537"/>
      <c r="O212" s="537"/>
      <c r="P212" s="537"/>
      <c r="Q212" s="537"/>
      <c r="R212" s="537"/>
      <c r="S212" s="537"/>
      <c r="T212" s="537"/>
      <c r="U212" s="537"/>
      <c r="V212" s="537"/>
      <c r="W212" s="537"/>
      <c r="X212" s="537"/>
      <c r="Y212" s="644"/>
      <c r="Z212" s="644"/>
      <c r="AA212" s="644"/>
      <c r="AB212" s="644"/>
      <c r="AC212" s="537"/>
      <c r="AD212" s="537"/>
      <c r="AE212" s="611"/>
      <c r="AF212" s="611"/>
      <c r="AG212" s="611"/>
      <c r="AH212" s="611"/>
      <c r="AI212" s="611"/>
      <c r="AJ212" s="611"/>
      <c r="AK212" s="611"/>
    </row>
    <row r="213" spans="1:37">
      <c r="A213" s="606"/>
      <c r="B213" s="499" t="s">
        <v>1594</v>
      </c>
      <c r="C213" s="664"/>
      <c r="D213" s="828"/>
      <c r="E213" s="828"/>
      <c r="F213" s="828"/>
      <c r="G213" s="828"/>
      <c r="H213" s="828"/>
      <c r="I213" s="828"/>
      <c r="J213" s="828"/>
      <c r="K213" s="537"/>
      <c r="L213" s="537"/>
      <c r="M213" s="537"/>
      <c r="N213" s="537"/>
      <c r="O213" s="537"/>
      <c r="P213" s="537"/>
      <c r="Q213" s="537"/>
      <c r="R213" s="537"/>
      <c r="S213" s="537"/>
      <c r="T213" s="537"/>
      <c r="U213" s="537"/>
      <c r="V213" s="537"/>
      <c r="W213" s="537"/>
      <c r="X213" s="537"/>
      <c r="Y213" s="644"/>
      <c r="Z213" s="644"/>
      <c r="AA213" s="644"/>
      <c r="AB213" s="644"/>
      <c r="AC213" s="537"/>
      <c r="AD213" s="537"/>
      <c r="AE213" s="611"/>
      <c r="AF213" s="611"/>
      <c r="AG213" s="611"/>
      <c r="AH213" s="611"/>
      <c r="AI213" s="611"/>
      <c r="AJ213" s="611"/>
      <c r="AK213" s="611"/>
    </row>
    <row r="214" spans="1:37">
      <c r="A214" s="606"/>
      <c r="B214" s="477" t="s">
        <v>1625</v>
      </c>
      <c r="C214" s="664"/>
      <c r="D214" s="828"/>
      <c r="E214" s="828"/>
      <c r="F214" s="828"/>
      <c r="G214" s="828"/>
      <c r="H214" s="828"/>
      <c r="I214" s="828"/>
      <c r="J214" s="828"/>
      <c r="K214" s="537"/>
      <c r="L214" s="537"/>
      <c r="M214" s="537"/>
      <c r="N214" s="537"/>
      <c r="O214" s="537"/>
      <c r="P214" s="537"/>
      <c r="Q214" s="537"/>
      <c r="R214" s="537"/>
      <c r="S214" s="537"/>
      <c r="T214" s="537"/>
      <c r="U214" s="537"/>
      <c r="V214" s="537"/>
      <c r="W214" s="537"/>
      <c r="X214" s="537"/>
      <c r="Y214" s="644"/>
      <c r="Z214" s="644"/>
      <c r="AA214" s="644"/>
      <c r="AB214" s="644"/>
      <c r="AC214" s="537"/>
      <c r="AD214" s="537"/>
      <c r="AE214" s="611"/>
      <c r="AF214" s="611"/>
      <c r="AG214" s="611"/>
      <c r="AH214" s="611"/>
      <c r="AI214" s="611"/>
      <c r="AJ214" s="611"/>
      <c r="AK214" s="611"/>
    </row>
    <row r="215" spans="1:37">
      <c r="A215" s="855"/>
      <c r="B215" s="878" t="s">
        <v>1596</v>
      </c>
      <c r="C215" s="879"/>
      <c r="D215" s="880"/>
      <c r="E215" s="880"/>
      <c r="F215" s="880"/>
      <c r="G215" s="880"/>
      <c r="H215" s="880"/>
      <c r="I215" s="880"/>
      <c r="J215" s="880"/>
      <c r="K215" s="881"/>
      <c r="L215" s="881"/>
      <c r="M215" s="881"/>
      <c r="N215" s="881"/>
      <c r="O215" s="881"/>
      <c r="P215" s="881"/>
      <c r="Q215" s="881"/>
      <c r="R215" s="881"/>
      <c r="S215" s="745"/>
      <c r="T215" s="745"/>
      <c r="U215" s="745"/>
      <c r="V215" s="745"/>
      <c r="W215" s="745"/>
      <c r="X215" s="745"/>
      <c r="Y215" s="829"/>
      <c r="Z215" s="829"/>
      <c r="AA215" s="829"/>
      <c r="AB215" s="829"/>
      <c r="AC215" s="745"/>
      <c r="AD215" s="745"/>
      <c r="AE215" s="830"/>
      <c r="AF215" s="830"/>
      <c r="AG215" s="830"/>
      <c r="AH215" s="830"/>
      <c r="AI215" s="830"/>
      <c r="AJ215" s="831"/>
      <c r="AK215" s="611"/>
    </row>
    <row r="216" spans="1:37">
      <c r="A216" s="855"/>
      <c r="B216" s="882" t="s">
        <v>1597</v>
      </c>
      <c r="C216" s="883"/>
      <c r="D216" s="884"/>
      <c r="E216" s="884"/>
      <c r="F216" s="884"/>
      <c r="G216" s="884"/>
      <c r="H216" s="884"/>
      <c r="I216" s="884"/>
      <c r="J216" s="884"/>
      <c r="K216" s="885"/>
      <c r="L216" s="885"/>
      <c r="M216" s="885"/>
      <c r="N216" s="885"/>
      <c r="O216" s="885"/>
      <c r="P216" s="885"/>
      <c r="Q216" s="885"/>
      <c r="R216" s="885"/>
      <c r="S216" s="537"/>
      <c r="T216" s="537"/>
      <c r="U216" s="537"/>
      <c r="V216" s="537"/>
      <c r="W216" s="537"/>
      <c r="X216" s="537"/>
      <c r="Y216" s="644"/>
      <c r="Z216" s="644"/>
      <c r="AA216" s="644"/>
      <c r="AB216" s="644"/>
      <c r="AC216" s="537"/>
      <c r="AD216" s="537"/>
      <c r="AE216" s="611"/>
      <c r="AF216" s="611"/>
      <c r="AG216" s="611"/>
      <c r="AH216" s="611"/>
      <c r="AI216" s="611"/>
      <c r="AJ216" s="832"/>
      <c r="AK216" s="611"/>
    </row>
    <row r="217" spans="1:37">
      <c r="A217" s="855"/>
      <c r="B217" s="882" t="s">
        <v>2024</v>
      </c>
      <c r="C217" s="883"/>
      <c r="D217" s="884"/>
      <c r="E217" s="884"/>
      <c r="F217" s="884"/>
      <c r="G217" s="884"/>
      <c r="H217" s="884"/>
      <c r="I217" s="884"/>
      <c r="J217" s="884"/>
      <c r="K217" s="885"/>
      <c r="L217" s="885"/>
      <c r="M217" s="885"/>
      <c r="N217" s="885"/>
      <c r="O217" s="885"/>
      <c r="P217" s="885"/>
      <c r="Q217" s="885"/>
      <c r="R217" s="885"/>
      <c r="S217" s="537"/>
      <c r="T217" s="537"/>
      <c r="U217" s="537"/>
      <c r="V217" s="537"/>
      <c r="W217" s="537"/>
      <c r="X217" s="537"/>
      <c r="Y217" s="644"/>
      <c r="Z217" s="644"/>
      <c r="AA217" s="644"/>
      <c r="AB217" s="644"/>
      <c r="AC217" s="537"/>
      <c r="AD217" s="537"/>
      <c r="AE217" s="611"/>
      <c r="AF217" s="611"/>
      <c r="AG217" s="611"/>
      <c r="AH217" s="611"/>
      <c r="AI217" s="611"/>
      <c r="AJ217" s="832"/>
      <c r="AK217" s="611"/>
    </row>
    <row r="218" spans="1:37">
      <c r="A218" s="855"/>
      <c r="B218" s="882" t="s">
        <v>1598</v>
      </c>
      <c r="C218" s="883"/>
      <c r="D218" s="884"/>
      <c r="E218" s="884"/>
      <c r="F218" s="884"/>
      <c r="G218" s="884"/>
      <c r="H218" s="884"/>
      <c r="I218" s="884"/>
      <c r="J218" s="884"/>
      <c r="K218" s="885"/>
      <c r="L218" s="885"/>
      <c r="M218" s="885"/>
      <c r="N218" s="885"/>
      <c r="O218" s="885"/>
      <c r="P218" s="885"/>
      <c r="Q218" s="885"/>
      <c r="R218" s="885"/>
      <c r="S218" s="537"/>
      <c r="T218" s="537"/>
      <c r="U218" s="537"/>
      <c r="V218" s="537"/>
      <c r="W218" s="537"/>
      <c r="X218" s="537"/>
      <c r="Y218" s="644"/>
      <c r="Z218" s="644"/>
      <c r="AA218" s="644"/>
      <c r="AB218" s="644"/>
      <c r="AC218" s="537"/>
      <c r="AD218" s="537"/>
      <c r="AE218" s="611"/>
      <c r="AF218" s="611"/>
      <c r="AG218" s="611"/>
      <c r="AH218" s="611"/>
      <c r="AI218" s="611"/>
      <c r="AJ218" s="832"/>
      <c r="AK218" s="611"/>
    </row>
    <row r="219" spans="1:37">
      <c r="A219" s="855"/>
      <c r="B219" s="886" t="s">
        <v>1599</v>
      </c>
      <c r="C219" s="883"/>
      <c r="D219" s="884"/>
      <c r="E219" s="884"/>
      <c r="F219" s="884"/>
      <c r="G219" s="884"/>
      <c r="H219" s="884"/>
      <c r="I219" s="884"/>
      <c r="J219" s="884"/>
      <c r="K219" s="885"/>
      <c r="L219" s="885"/>
      <c r="M219" s="885"/>
      <c r="N219" s="885"/>
      <c r="O219" s="885"/>
      <c r="P219" s="885"/>
      <c r="Q219" s="885"/>
      <c r="R219" s="885"/>
      <c r="S219" s="537"/>
      <c r="T219" s="537"/>
      <c r="U219" s="537"/>
      <c r="V219" s="537"/>
      <c r="W219" s="537"/>
      <c r="X219" s="537"/>
      <c r="Y219" s="644"/>
      <c r="Z219" s="644"/>
      <c r="AA219" s="644"/>
      <c r="AB219" s="644"/>
      <c r="AC219" s="537"/>
      <c r="AD219" s="537"/>
      <c r="AE219" s="611"/>
      <c r="AF219" s="611"/>
      <c r="AG219" s="611"/>
      <c r="AH219" s="611"/>
      <c r="AI219" s="611"/>
      <c r="AJ219" s="832"/>
      <c r="AK219" s="611"/>
    </row>
    <row r="220" spans="1:37">
      <c r="A220" s="855"/>
      <c r="B220" s="887" t="s">
        <v>1635</v>
      </c>
      <c r="C220" s="888"/>
      <c r="D220" s="889"/>
      <c r="E220" s="889"/>
      <c r="F220" s="889"/>
      <c r="G220" s="889"/>
      <c r="H220" s="889"/>
      <c r="I220" s="889"/>
      <c r="J220" s="889"/>
      <c r="K220" s="890"/>
      <c r="L220" s="890"/>
      <c r="M220" s="890"/>
      <c r="N220" s="890"/>
      <c r="O220" s="890"/>
      <c r="P220" s="890"/>
      <c r="Q220" s="890"/>
      <c r="R220" s="890"/>
      <c r="S220" s="738"/>
      <c r="T220" s="738"/>
      <c r="U220" s="738"/>
      <c r="V220" s="738"/>
      <c r="W220" s="738"/>
      <c r="X220" s="738"/>
      <c r="Y220" s="833"/>
      <c r="Z220" s="833"/>
      <c r="AA220" s="833"/>
      <c r="AB220" s="833"/>
      <c r="AC220" s="738"/>
      <c r="AD220" s="738"/>
      <c r="AE220" s="834"/>
      <c r="AF220" s="834"/>
      <c r="AG220" s="834"/>
      <c r="AH220" s="834"/>
      <c r="AI220" s="834"/>
      <c r="AJ220" s="835"/>
      <c r="AK220" s="611"/>
    </row>
    <row r="221" spans="1:37">
      <c r="A221" s="606"/>
      <c r="B221" s="606"/>
      <c r="C221" s="664"/>
      <c r="D221" s="828"/>
      <c r="E221" s="828"/>
      <c r="F221" s="828"/>
      <c r="G221" s="828"/>
      <c r="H221" s="828"/>
      <c r="I221" s="828"/>
      <c r="J221" s="828"/>
      <c r="K221" s="537"/>
      <c r="L221" s="537"/>
      <c r="M221" s="537"/>
      <c r="N221" s="537"/>
      <c r="O221" s="537"/>
      <c r="P221" s="537"/>
      <c r="Q221" s="537"/>
      <c r="R221" s="537"/>
      <c r="S221" s="537"/>
      <c r="T221" s="537"/>
      <c r="U221" s="537"/>
      <c r="V221" s="537"/>
      <c r="W221" s="537"/>
      <c r="X221" s="537"/>
      <c r="Y221" s="644"/>
      <c r="Z221" s="644"/>
      <c r="AA221" s="644"/>
      <c r="AB221" s="644"/>
      <c r="AC221" s="537"/>
      <c r="AD221" s="537"/>
      <c r="AE221" s="611"/>
      <c r="AF221" s="611"/>
      <c r="AG221" s="611"/>
      <c r="AH221" s="611"/>
      <c r="AI221" s="611"/>
      <c r="AJ221" s="611"/>
      <c r="AK221" s="611"/>
    </row>
    <row r="222" spans="1:37">
      <c r="A222" s="606"/>
      <c r="B222" s="849"/>
      <c r="C222" s="477"/>
      <c r="D222" s="477"/>
      <c r="I222" s="2397" t="s">
        <v>1606</v>
      </c>
      <c r="J222" s="2397"/>
      <c r="K222" s="2397"/>
      <c r="L222" s="537"/>
      <c r="M222" s="537"/>
      <c r="N222" s="537"/>
      <c r="O222" s="537"/>
      <c r="P222" s="537"/>
      <c r="Q222" s="537"/>
      <c r="R222" s="537"/>
      <c r="S222" s="537"/>
      <c r="T222" s="2585" t="s">
        <v>1600</v>
      </c>
      <c r="U222" s="2585"/>
      <c r="V222" s="2585"/>
      <c r="W222" s="2585"/>
      <c r="X222" s="2585"/>
      <c r="Y222" s="2585"/>
      <c r="Z222" s="850"/>
      <c r="AA222" s="490"/>
      <c r="AB222" s="2392" t="s">
        <v>1601</v>
      </c>
      <c r="AC222" s="2392"/>
      <c r="AD222" s="2392"/>
      <c r="AE222" s="2392"/>
      <c r="AF222" s="2392"/>
      <c r="AG222" s="2392"/>
      <c r="AH222" s="828"/>
      <c r="AI222" s="828"/>
      <c r="AJ222" s="828"/>
      <c r="AK222" s="611"/>
    </row>
    <row r="223" spans="1:37">
      <c r="A223" s="606"/>
      <c r="B223" s="2395" t="s">
        <v>1586</v>
      </c>
      <c r="C223" s="2395"/>
      <c r="D223" s="2395"/>
      <c r="E223" s="2395"/>
      <c r="F223" s="2395"/>
      <c r="G223" s="2395"/>
      <c r="I223" s="2396" t="s">
        <v>1607</v>
      </c>
      <c r="J223" s="2396"/>
      <c r="K223" s="2396"/>
      <c r="L223" s="1009"/>
      <c r="N223" s="2402" t="s">
        <v>1602</v>
      </c>
      <c r="O223" s="2402"/>
      <c r="P223" s="2402"/>
      <c r="Q223" s="2402"/>
      <c r="R223" s="2402"/>
      <c r="T223" s="2402" t="s">
        <v>1603</v>
      </c>
      <c r="U223" s="2402"/>
      <c r="V223" s="2402"/>
      <c r="W223" s="2402"/>
      <c r="X223" s="2402"/>
      <c r="Y223" s="2402"/>
      <c r="Z223" s="851"/>
      <c r="AA223" s="490"/>
      <c r="AB223" s="2539" t="s">
        <v>1604</v>
      </c>
      <c r="AC223" s="2539"/>
      <c r="AD223" s="2539"/>
      <c r="AE223" s="2539"/>
      <c r="AF223" s="2539"/>
      <c r="AG223" s="2539"/>
      <c r="AH223" s="828"/>
      <c r="AI223" s="828"/>
      <c r="AJ223" s="828"/>
      <c r="AK223" s="611"/>
    </row>
    <row r="224" spans="1:37">
      <c r="A224" s="606"/>
      <c r="B224" s="2399" t="s">
        <v>1183</v>
      </c>
      <c r="C224" s="2399"/>
      <c r="D224" s="2399"/>
      <c r="E224" s="2399"/>
      <c r="F224" s="2399"/>
      <c r="G224" s="2399"/>
      <c r="H224" s="853"/>
      <c r="I224" s="2398"/>
      <c r="J224" s="2398"/>
      <c r="K224" s="2398"/>
      <c r="L224" s="1009"/>
      <c r="N224" s="2403"/>
      <c r="O224" s="2403"/>
      <c r="P224" s="2403"/>
      <c r="Q224" s="2403"/>
      <c r="R224" s="2403"/>
      <c r="T224" s="2551"/>
      <c r="U224" s="2551"/>
      <c r="V224" s="2551"/>
      <c r="W224" s="2551"/>
      <c r="X224" s="2551"/>
      <c r="Y224" s="2551"/>
      <c r="Z224" s="852"/>
      <c r="AA224" s="852"/>
      <c r="AB224" s="2400">
        <f t="shared" ref="AB224:AB233" si="0">MAX(($T224-$N224)*$I224*12,0)</f>
        <v>0</v>
      </c>
      <c r="AC224" s="2400"/>
      <c r="AD224" s="2400"/>
      <c r="AE224" s="2400"/>
      <c r="AF224" s="2400"/>
      <c r="AG224" s="2400"/>
      <c r="AH224" s="828"/>
      <c r="AI224" s="828"/>
      <c r="AJ224" s="828"/>
      <c r="AK224" s="611"/>
    </row>
    <row r="225" spans="1:37">
      <c r="A225" s="606"/>
      <c r="B225" s="2399" t="s">
        <v>1183</v>
      </c>
      <c r="C225" s="2399"/>
      <c r="D225" s="2399"/>
      <c r="E225" s="2399"/>
      <c r="F225" s="2399"/>
      <c r="G225" s="2399"/>
      <c r="I225" s="2398"/>
      <c r="J225" s="2398"/>
      <c r="K225" s="2398"/>
      <c r="L225" s="1009"/>
      <c r="N225" s="2403"/>
      <c r="O225" s="2403"/>
      <c r="P225" s="2403"/>
      <c r="Q225" s="2403"/>
      <c r="R225" s="2403"/>
      <c r="T225" s="2551"/>
      <c r="U225" s="2551"/>
      <c r="V225" s="2551"/>
      <c r="W225" s="2551"/>
      <c r="X225" s="2551"/>
      <c r="Y225" s="2551"/>
      <c r="Z225" s="852"/>
      <c r="AA225" s="852"/>
      <c r="AB225" s="2400">
        <f t="shared" si="0"/>
        <v>0</v>
      </c>
      <c r="AC225" s="2400"/>
      <c r="AD225" s="2400"/>
      <c r="AE225" s="2400"/>
      <c r="AF225" s="2400"/>
      <c r="AG225" s="2400"/>
      <c r="AH225" s="828"/>
      <c r="AI225" s="828"/>
      <c r="AJ225" s="828"/>
      <c r="AK225" s="611"/>
    </row>
    <row r="226" spans="1:37">
      <c r="A226" s="606"/>
      <c r="B226" s="2399" t="s">
        <v>1183</v>
      </c>
      <c r="C226" s="2399"/>
      <c r="D226" s="2399"/>
      <c r="E226" s="2399"/>
      <c r="F226" s="2399"/>
      <c r="G226" s="2399"/>
      <c r="I226" s="2398"/>
      <c r="J226" s="2398"/>
      <c r="K226" s="2398"/>
      <c r="L226" s="1009"/>
      <c r="N226" s="2403"/>
      <c r="O226" s="2403"/>
      <c r="P226" s="2403"/>
      <c r="Q226" s="2403"/>
      <c r="R226" s="2403"/>
      <c r="T226" s="2551"/>
      <c r="U226" s="2551"/>
      <c r="V226" s="2551"/>
      <c r="W226" s="2551"/>
      <c r="X226" s="2551"/>
      <c r="Y226" s="2551"/>
      <c r="Z226" s="852"/>
      <c r="AA226" s="852"/>
      <c r="AB226" s="2400">
        <f t="shared" si="0"/>
        <v>0</v>
      </c>
      <c r="AC226" s="2400"/>
      <c r="AD226" s="2400"/>
      <c r="AE226" s="2400"/>
      <c r="AF226" s="2400"/>
      <c r="AG226" s="2400"/>
      <c r="AH226" s="828"/>
      <c r="AI226" s="828"/>
      <c r="AJ226" s="828"/>
      <c r="AK226" s="611"/>
    </row>
    <row r="227" spans="1:37">
      <c r="A227" s="606"/>
      <c r="B227" s="2399" t="s">
        <v>1183</v>
      </c>
      <c r="C227" s="2399"/>
      <c r="D227" s="2399"/>
      <c r="E227" s="2399"/>
      <c r="F227" s="2399"/>
      <c r="G227" s="2399"/>
      <c r="I227" s="2398"/>
      <c r="J227" s="2398"/>
      <c r="K227" s="2398"/>
      <c r="L227" s="1009"/>
      <c r="N227" s="2403"/>
      <c r="O227" s="2403"/>
      <c r="P227" s="2403"/>
      <c r="Q227" s="2403"/>
      <c r="R227" s="2403"/>
      <c r="T227" s="2551"/>
      <c r="U227" s="2551"/>
      <c r="V227" s="2551"/>
      <c r="W227" s="2551"/>
      <c r="X227" s="2551"/>
      <c r="Y227" s="2551"/>
      <c r="Z227" s="852"/>
      <c r="AA227" s="852"/>
      <c r="AB227" s="2400">
        <f t="shared" si="0"/>
        <v>0</v>
      </c>
      <c r="AC227" s="2400"/>
      <c r="AD227" s="2400"/>
      <c r="AE227" s="2400"/>
      <c r="AF227" s="2400"/>
      <c r="AG227" s="2400"/>
      <c r="AH227" s="828"/>
      <c r="AI227" s="828"/>
      <c r="AJ227" s="828"/>
      <c r="AK227" s="611"/>
    </row>
    <row r="228" spans="1:37">
      <c r="A228" s="606"/>
      <c r="B228" s="2399" t="s">
        <v>1183</v>
      </c>
      <c r="C228" s="2399"/>
      <c r="D228" s="2399"/>
      <c r="E228" s="2399"/>
      <c r="F228" s="2399"/>
      <c r="G228" s="2399"/>
      <c r="I228" s="2398"/>
      <c r="J228" s="2398"/>
      <c r="K228" s="2398"/>
      <c r="L228" s="1016"/>
      <c r="N228" s="2403"/>
      <c r="O228" s="2403"/>
      <c r="P228" s="2403"/>
      <c r="Q228" s="2403"/>
      <c r="R228" s="2403"/>
      <c r="T228" s="2551"/>
      <c r="U228" s="2551"/>
      <c r="V228" s="2551"/>
      <c r="W228" s="2551"/>
      <c r="X228" s="2551"/>
      <c r="Y228" s="2551"/>
      <c r="Z228" s="852"/>
      <c r="AA228" s="852"/>
      <c r="AB228" s="2400">
        <f t="shared" si="0"/>
        <v>0</v>
      </c>
      <c r="AC228" s="2400"/>
      <c r="AD228" s="2400"/>
      <c r="AE228" s="2400"/>
      <c r="AF228" s="2400"/>
      <c r="AG228" s="2400"/>
      <c r="AH228" s="828"/>
      <c r="AI228" s="828"/>
      <c r="AJ228" s="828"/>
      <c r="AK228" s="611"/>
    </row>
    <row r="229" spans="1:37">
      <c r="A229" s="606"/>
      <c r="B229" s="2399" t="s">
        <v>1183</v>
      </c>
      <c r="C229" s="2399"/>
      <c r="D229" s="2399"/>
      <c r="E229" s="2399"/>
      <c r="F229" s="2399"/>
      <c r="G229" s="2399"/>
      <c r="I229" s="2398"/>
      <c r="J229" s="2398"/>
      <c r="K229" s="2398"/>
      <c r="L229" s="1016"/>
      <c r="N229" s="2403"/>
      <c r="O229" s="2403"/>
      <c r="P229" s="2403"/>
      <c r="Q229" s="2403"/>
      <c r="R229" s="2403"/>
      <c r="T229" s="2551"/>
      <c r="U229" s="2551"/>
      <c r="V229" s="2551"/>
      <c r="W229" s="2551"/>
      <c r="X229" s="2551"/>
      <c r="Y229" s="2551"/>
      <c r="Z229" s="852"/>
      <c r="AA229" s="852"/>
      <c r="AB229" s="2400">
        <f t="shared" si="0"/>
        <v>0</v>
      </c>
      <c r="AC229" s="2400"/>
      <c r="AD229" s="2400"/>
      <c r="AE229" s="2400"/>
      <c r="AF229" s="2400"/>
      <c r="AG229" s="2400"/>
      <c r="AH229" s="828"/>
      <c r="AI229" s="828"/>
      <c r="AJ229" s="828"/>
      <c r="AK229" s="611"/>
    </row>
    <row r="230" spans="1:37">
      <c r="A230" s="606"/>
      <c r="B230" s="2399" t="s">
        <v>1183</v>
      </c>
      <c r="C230" s="2399"/>
      <c r="D230" s="2399"/>
      <c r="E230" s="2399"/>
      <c r="F230" s="2399"/>
      <c r="G230" s="2399"/>
      <c r="I230" s="2398"/>
      <c r="J230" s="2398"/>
      <c r="K230" s="2398"/>
      <c r="L230" s="1016"/>
      <c r="N230" s="2403"/>
      <c r="O230" s="2403"/>
      <c r="P230" s="2403"/>
      <c r="Q230" s="2403"/>
      <c r="R230" s="2403"/>
      <c r="T230" s="2551"/>
      <c r="U230" s="2551"/>
      <c r="V230" s="2551"/>
      <c r="W230" s="2551"/>
      <c r="X230" s="2551"/>
      <c r="Y230" s="2551"/>
      <c r="Z230" s="852"/>
      <c r="AA230" s="852"/>
      <c r="AB230" s="2400">
        <f t="shared" si="0"/>
        <v>0</v>
      </c>
      <c r="AC230" s="2400"/>
      <c r="AD230" s="2400"/>
      <c r="AE230" s="2400"/>
      <c r="AF230" s="2400"/>
      <c r="AG230" s="2400"/>
      <c r="AH230" s="828"/>
      <c r="AI230" s="828"/>
      <c r="AJ230" s="828"/>
      <c r="AK230" s="611"/>
    </row>
    <row r="231" spans="1:37">
      <c r="A231" s="606"/>
      <c r="B231" s="2399" t="s">
        <v>1183</v>
      </c>
      <c r="C231" s="2399"/>
      <c r="D231" s="2399"/>
      <c r="E231" s="2399"/>
      <c r="F231" s="2399"/>
      <c r="G231" s="2399"/>
      <c r="I231" s="2398"/>
      <c r="J231" s="2398"/>
      <c r="K231" s="2398"/>
      <c r="L231" s="1016"/>
      <c r="N231" s="2403"/>
      <c r="O231" s="2403"/>
      <c r="P231" s="2403"/>
      <c r="Q231" s="2403"/>
      <c r="R231" s="2403"/>
      <c r="T231" s="2551"/>
      <c r="U231" s="2551"/>
      <c r="V231" s="2551"/>
      <c r="W231" s="2551"/>
      <c r="X231" s="2551"/>
      <c r="Y231" s="2551"/>
      <c r="Z231" s="852"/>
      <c r="AA231" s="852"/>
      <c r="AB231" s="2400">
        <f t="shared" si="0"/>
        <v>0</v>
      </c>
      <c r="AC231" s="2400"/>
      <c r="AD231" s="2400"/>
      <c r="AE231" s="2400"/>
      <c r="AF231" s="2400"/>
      <c r="AG231" s="2400"/>
      <c r="AH231" s="828"/>
      <c r="AI231" s="828"/>
      <c r="AJ231" s="828"/>
      <c r="AK231" s="611"/>
    </row>
    <row r="232" spans="1:37">
      <c r="A232" s="606"/>
      <c r="B232" s="2399" t="s">
        <v>1183</v>
      </c>
      <c r="C232" s="2399"/>
      <c r="D232" s="2399"/>
      <c r="E232" s="2399"/>
      <c r="F232" s="2399"/>
      <c r="G232" s="2399"/>
      <c r="I232" s="2398"/>
      <c r="J232" s="2398"/>
      <c r="K232" s="2398"/>
      <c r="L232" s="1016"/>
      <c r="N232" s="2403"/>
      <c r="O232" s="2403"/>
      <c r="P232" s="2403"/>
      <c r="Q232" s="2403"/>
      <c r="R232" s="2403"/>
      <c r="T232" s="2551"/>
      <c r="U232" s="2551"/>
      <c r="V232" s="2551"/>
      <c r="W232" s="2551"/>
      <c r="X232" s="2551"/>
      <c r="Y232" s="2551"/>
      <c r="Z232" s="852"/>
      <c r="AA232" s="852"/>
      <c r="AB232" s="2400">
        <f t="shared" si="0"/>
        <v>0</v>
      </c>
      <c r="AC232" s="2400"/>
      <c r="AD232" s="2400"/>
      <c r="AE232" s="2400"/>
      <c r="AF232" s="2400"/>
      <c r="AG232" s="2400"/>
      <c r="AH232" s="828"/>
      <c r="AI232" s="828"/>
      <c r="AJ232" s="828"/>
      <c r="AK232" s="611"/>
    </row>
    <row r="233" spans="1:37">
      <c r="A233" s="606"/>
      <c r="B233" s="2399" t="s">
        <v>1183</v>
      </c>
      <c r="C233" s="2399"/>
      <c r="D233" s="2399"/>
      <c r="E233" s="2399"/>
      <c r="F233" s="2399"/>
      <c r="G233" s="2399"/>
      <c r="I233" s="2401"/>
      <c r="J233" s="2401"/>
      <c r="K233" s="2401"/>
      <c r="L233" s="1016"/>
      <c r="N233" s="2403"/>
      <c r="O233" s="2403"/>
      <c r="P233" s="2403"/>
      <c r="Q233" s="2403"/>
      <c r="R233" s="2403"/>
      <c r="T233" s="2551"/>
      <c r="U233" s="2551"/>
      <c r="V233" s="2551"/>
      <c r="W233" s="2551"/>
      <c r="X233" s="2551"/>
      <c r="Y233" s="2551"/>
      <c r="Z233" s="852"/>
      <c r="AA233" s="852"/>
      <c r="AB233" s="2549">
        <f t="shared" si="0"/>
        <v>0</v>
      </c>
      <c r="AC233" s="2549"/>
      <c r="AD233" s="2549"/>
      <c r="AE233" s="2549"/>
      <c r="AF233" s="2549"/>
      <c r="AG233" s="2549"/>
      <c r="AH233" s="828"/>
      <c r="AI233" s="828"/>
      <c r="AJ233" s="828"/>
      <c r="AK233" s="611"/>
    </row>
    <row r="234" spans="1:37">
      <c r="A234" s="606"/>
      <c r="B234" s="477"/>
      <c r="C234" s="853"/>
      <c r="D234" s="477"/>
      <c r="K234" s="537"/>
      <c r="L234" s="537"/>
      <c r="M234" s="537"/>
      <c r="N234" s="537"/>
      <c r="O234" s="537"/>
      <c r="P234" s="537"/>
      <c r="Q234" s="537"/>
      <c r="R234" s="537"/>
      <c r="S234" s="537"/>
      <c r="T234" s="537"/>
      <c r="U234" s="537"/>
      <c r="V234" s="537"/>
      <c r="W234" s="537"/>
      <c r="X234" s="537"/>
      <c r="Y234" s="854" t="s">
        <v>1605</v>
      </c>
      <c r="AA234" s="854"/>
      <c r="AB234" s="2400">
        <f>SUM(AB224:AB233)</f>
        <v>0</v>
      </c>
      <c r="AC234" s="2400"/>
      <c r="AD234" s="2400"/>
      <c r="AE234" s="2400"/>
      <c r="AF234" s="2400"/>
      <c r="AG234" s="2400"/>
      <c r="AH234" s="828"/>
      <c r="AI234" s="828"/>
      <c r="AJ234" s="828"/>
      <c r="AK234" s="611"/>
    </row>
    <row r="235" spans="1:37">
      <c r="A235" s="606"/>
      <c r="B235" s="606"/>
      <c r="C235" s="664"/>
      <c r="D235" s="828"/>
      <c r="E235" s="828"/>
      <c r="F235" s="828"/>
      <c r="G235" s="828"/>
      <c r="H235" s="828"/>
      <c r="I235" s="828"/>
      <c r="J235" s="828"/>
      <c r="K235" s="551"/>
      <c r="L235" s="551"/>
      <c r="M235" s="551"/>
      <c r="N235" s="551"/>
      <c r="O235" s="551"/>
      <c r="P235" s="551"/>
      <c r="Q235" s="551"/>
      <c r="R235" s="551"/>
      <c r="S235" s="551"/>
      <c r="T235" s="551"/>
      <c r="U235" s="551"/>
      <c r="V235" s="551"/>
      <c r="W235" s="551"/>
      <c r="X235" s="551"/>
      <c r="Y235" s="644"/>
      <c r="Z235" s="644"/>
      <c r="AA235" s="644"/>
      <c r="AB235" s="644"/>
      <c r="AC235" s="551"/>
      <c r="AD235" s="551"/>
      <c r="AE235" s="611"/>
      <c r="AF235" s="611"/>
      <c r="AG235" s="611"/>
      <c r="AH235" s="611"/>
      <c r="AI235" s="611"/>
      <c r="AJ235" s="611"/>
      <c r="AK235" s="611"/>
    </row>
    <row r="236" spans="1:37">
      <c r="A236" s="1138" t="s">
        <v>1595</v>
      </c>
      <c r="C236" s="664"/>
      <c r="D236" s="828"/>
      <c r="E236" s="828"/>
      <c r="F236" s="828"/>
      <c r="G236" s="828"/>
      <c r="H236" s="828"/>
      <c r="I236" s="828"/>
      <c r="J236" s="828"/>
      <c r="K236" s="537"/>
      <c r="L236" s="537"/>
      <c r="M236" s="537"/>
      <c r="N236" s="537"/>
      <c r="O236" s="537"/>
      <c r="P236" s="537"/>
      <c r="Q236" s="537"/>
      <c r="R236" s="537"/>
      <c r="S236" s="537"/>
      <c r="T236" s="537"/>
      <c r="U236" s="537"/>
      <c r="V236" s="537"/>
      <c r="W236" s="537"/>
      <c r="X236" s="537"/>
      <c r="Y236" s="644"/>
      <c r="Z236" s="644"/>
      <c r="AA236" s="644"/>
      <c r="AB236" s="644"/>
      <c r="AC236" s="537"/>
      <c r="AD236" s="537"/>
      <c r="AE236" s="611"/>
      <c r="AF236" s="611"/>
      <c r="AG236" s="611"/>
      <c r="AH236" s="611"/>
      <c r="AI236" s="611"/>
      <c r="AJ236" s="611"/>
      <c r="AK236" s="611"/>
    </row>
    <row r="237" spans="1:37">
      <c r="A237" s="606"/>
      <c r="B237" s="477" t="s">
        <v>1623</v>
      </c>
      <c r="C237" s="664"/>
      <c r="D237" s="828"/>
      <c r="E237" s="828"/>
      <c r="F237" s="828"/>
      <c r="G237" s="828"/>
      <c r="H237" s="828"/>
      <c r="I237" s="828"/>
      <c r="J237" s="828"/>
      <c r="K237" s="537"/>
      <c r="L237" s="537"/>
      <c r="M237" s="537"/>
      <c r="N237" s="537"/>
      <c r="O237" s="537"/>
      <c r="P237" s="537"/>
      <c r="Q237" s="537"/>
      <c r="R237" s="537"/>
      <c r="S237" s="537"/>
      <c r="T237" s="537"/>
      <c r="U237" s="537"/>
      <c r="V237" s="537"/>
      <c r="W237" s="537"/>
      <c r="X237" s="537"/>
      <c r="Y237" s="644"/>
      <c r="Z237" s="644"/>
      <c r="AA237" s="644"/>
      <c r="AB237" s="644"/>
      <c r="AC237" s="537"/>
      <c r="AD237" s="537"/>
      <c r="AE237" s="611"/>
      <c r="AF237" s="611"/>
      <c r="AG237" s="611"/>
      <c r="AH237" s="611"/>
      <c r="AI237" s="611"/>
      <c r="AJ237" s="611"/>
      <c r="AK237" s="611"/>
    </row>
    <row r="238" spans="1:37">
      <c r="A238" s="606"/>
      <c r="B238" s="477"/>
      <c r="C238" s="664"/>
      <c r="D238" s="828"/>
      <c r="E238" s="828"/>
      <c r="F238" s="828"/>
      <c r="G238" s="828"/>
      <c r="H238" s="828"/>
      <c r="I238" s="828"/>
      <c r="J238" s="828"/>
      <c r="K238" s="537"/>
      <c r="L238" s="537"/>
      <c r="M238" s="537"/>
      <c r="N238" s="537"/>
      <c r="O238" s="537"/>
      <c r="P238" s="537"/>
      <c r="Q238" s="537"/>
      <c r="R238" s="537"/>
      <c r="S238" s="537"/>
      <c r="T238" s="537"/>
      <c r="U238" s="537"/>
      <c r="V238" s="537"/>
      <c r="W238" s="537"/>
      <c r="X238" s="537"/>
      <c r="Y238" s="644"/>
      <c r="Z238" s="644"/>
      <c r="AA238" s="644"/>
      <c r="AB238" s="644"/>
      <c r="AC238" s="537"/>
      <c r="AD238" s="537"/>
      <c r="AE238" s="611"/>
      <c r="AF238" s="611"/>
      <c r="AG238" s="611"/>
      <c r="AH238" s="611"/>
      <c r="AI238" s="611"/>
      <c r="AJ238" s="611"/>
      <c r="AK238" s="611"/>
    </row>
    <row r="239" spans="1:37">
      <c r="A239" s="606"/>
      <c r="B239" s="837" t="s">
        <v>1621</v>
      </c>
      <c r="C239" s="664"/>
      <c r="D239" s="828"/>
      <c r="E239" s="828"/>
      <c r="F239" s="828"/>
      <c r="G239" s="828"/>
      <c r="H239" s="828"/>
      <c r="I239" s="828"/>
      <c r="J239" s="828"/>
      <c r="K239" s="537"/>
      <c r="L239" s="537"/>
      <c r="M239" s="537"/>
      <c r="N239" s="537"/>
      <c r="O239" s="537"/>
      <c r="P239" s="537"/>
      <c r="Q239" s="537"/>
      <c r="R239" s="537"/>
      <c r="S239" s="537"/>
      <c r="T239" s="537"/>
      <c r="U239" s="537"/>
      <c r="V239" s="537"/>
      <c r="W239" s="537"/>
      <c r="X239" s="537"/>
      <c r="Y239" s="644"/>
      <c r="Z239" s="644"/>
      <c r="AA239" s="644"/>
      <c r="AB239" s="644"/>
      <c r="AC239" s="537"/>
      <c r="AD239" s="537"/>
      <c r="AE239" s="611"/>
      <c r="AF239" s="611"/>
      <c r="AG239" s="611"/>
      <c r="AH239" s="611"/>
      <c r="AI239" s="611"/>
      <c r="AJ239" s="611"/>
      <c r="AK239" s="611"/>
    </row>
    <row r="240" spans="1:37">
      <c r="A240" s="606"/>
      <c r="B240" s="837" t="s">
        <v>1615</v>
      </c>
      <c r="C240" s="664"/>
      <c r="D240" s="828"/>
      <c r="E240" s="828"/>
      <c r="F240" s="828"/>
      <c r="G240" s="828"/>
      <c r="H240" s="828"/>
      <c r="I240" s="828"/>
      <c r="J240" s="828"/>
      <c r="K240" s="537"/>
      <c r="L240" s="537"/>
      <c r="M240" s="537"/>
      <c r="N240" s="537"/>
      <c r="O240" s="537"/>
      <c r="P240" s="537"/>
      <c r="Q240" s="537"/>
      <c r="R240" s="537"/>
      <c r="S240" s="537"/>
      <c r="T240" s="537"/>
      <c r="U240" s="537"/>
      <c r="V240" s="537"/>
      <c r="W240" s="537"/>
      <c r="X240" s="537"/>
      <c r="Y240" s="644"/>
      <c r="Z240" s="644"/>
      <c r="AA240" s="644"/>
      <c r="AB240" s="2552"/>
      <c r="AC240" s="2552"/>
      <c r="AD240" s="2552"/>
      <c r="AE240" s="2552"/>
      <c r="AF240" s="2552"/>
      <c r="AG240" s="2552"/>
      <c r="AH240" s="611"/>
      <c r="AI240" s="611"/>
      <c r="AJ240" s="611"/>
      <c r="AK240" s="611"/>
    </row>
    <row r="241" spans="1:37">
      <c r="A241" s="606"/>
      <c r="B241" s="838" t="s">
        <v>1620</v>
      </c>
      <c r="C241" s="617"/>
      <c r="D241" s="836"/>
      <c r="E241" s="828"/>
      <c r="F241" s="828"/>
      <c r="G241" s="828"/>
      <c r="H241" s="828"/>
      <c r="I241" s="828"/>
      <c r="J241" s="828"/>
      <c r="K241" s="537"/>
      <c r="L241" s="537"/>
      <c r="M241" s="537"/>
      <c r="N241" s="537"/>
      <c r="O241" s="537"/>
      <c r="P241" s="537"/>
      <c r="Q241" s="537"/>
      <c r="R241" s="537"/>
      <c r="S241" s="537"/>
      <c r="T241" s="537"/>
      <c r="U241" s="537"/>
      <c r="V241" s="537"/>
      <c r="W241" s="537"/>
      <c r="X241" s="537"/>
      <c r="Y241" s="644"/>
      <c r="Z241" s="644"/>
      <c r="AA241" s="644"/>
      <c r="AB241" s="644"/>
      <c r="AC241" s="537"/>
      <c r="AD241" s="537"/>
      <c r="AE241" s="611"/>
      <c r="AF241" s="611"/>
      <c r="AG241" s="611"/>
      <c r="AH241" s="611"/>
      <c r="AI241" s="611"/>
      <c r="AJ241" s="611"/>
      <c r="AK241" s="611"/>
    </row>
    <row r="242" spans="1:37">
      <c r="A242" s="606"/>
      <c r="B242" s="839" t="s">
        <v>1622</v>
      </c>
      <c r="C242" s="664"/>
      <c r="D242" s="828"/>
      <c r="E242" s="828"/>
      <c r="F242" s="828"/>
      <c r="G242" s="828"/>
      <c r="H242" s="828"/>
      <c r="I242" s="828"/>
      <c r="J242" s="828"/>
      <c r="K242" s="537"/>
      <c r="L242" s="537"/>
      <c r="M242" s="537"/>
      <c r="N242" s="537"/>
      <c r="O242" s="537"/>
      <c r="P242" s="537"/>
      <c r="Q242" s="537"/>
      <c r="R242" s="537"/>
      <c r="S242" s="537"/>
      <c r="T242" s="537"/>
      <c r="U242" s="537"/>
      <c r="V242" s="537"/>
      <c r="W242" s="537"/>
      <c r="X242" s="537"/>
      <c r="Y242" s="644"/>
      <c r="Z242" s="644"/>
      <c r="AA242" s="644"/>
      <c r="AB242" s="644"/>
      <c r="AC242" s="537"/>
      <c r="AD242" s="537"/>
      <c r="AE242" s="611"/>
      <c r="AF242" s="611"/>
      <c r="AG242" s="611"/>
      <c r="AH242" s="611"/>
      <c r="AI242" s="611"/>
      <c r="AJ242" s="611"/>
      <c r="AK242" s="611"/>
    </row>
    <row r="243" spans="1:37">
      <c r="A243" s="606"/>
      <c r="B243" s="839" t="s">
        <v>1616</v>
      </c>
      <c r="C243" s="664"/>
      <c r="D243" s="828"/>
      <c r="E243" s="828"/>
      <c r="F243" s="828"/>
      <c r="G243" s="828"/>
      <c r="H243" s="828"/>
      <c r="I243" s="828"/>
      <c r="J243" s="828"/>
      <c r="K243" s="537"/>
      <c r="L243" s="537"/>
      <c r="M243" s="537"/>
      <c r="N243" s="537"/>
      <c r="O243" s="537"/>
      <c r="P243" s="537"/>
      <c r="Q243" s="537"/>
      <c r="R243" s="537"/>
      <c r="S243" s="537"/>
      <c r="T243" s="537"/>
      <c r="U243" s="537"/>
      <c r="V243" s="537"/>
      <c r="W243" s="537"/>
      <c r="X243" s="537"/>
      <c r="Y243" s="644"/>
      <c r="Z243" s="644"/>
      <c r="AA243" s="644"/>
      <c r="AB243" s="2552"/>
      <c r="AC243" s="2552"/>
      <c r="AD243" s="2552"/>
      <c r="AE243" s="2552"/>
      <c r="AF243" s="2552"/>
      <c r="AG243" s="2552"/>
      <c r="AH243" s="611"/>
      <c r="AI243" s="611"/>
      <c r="AJ243" s="611"/>
      <c r="AK243" s="611"/>
    </row>
    <row r="244" spans="1:37">
      <c r="A244" s="606"/>
      <c r="B244" s="839" t="s">
        <v>1617</v>
      </c>
      <c r="C244" s="664"/>
      <c r="D244" s="828"/>
      <c r="E244" s="828"/>
      <c r="F244" s="828"/>
      <c r="G244" s="828"/>
      <c r="H244" s="828"/>
      <c r="I244" s="828"/>
      <c r="J244" s="828"/>
      <c r="K244" s="537"/>
      <c r="L244" s="537"/>
      <c r="M244" s="537"/>
      <c r="N244" s="537"/>
      <c r="O244" s="537"/>
      <c r="P244" s="537"/>
      <c r="Q244" s="537"/>
      <c r="R244" s="537"/>
      <c r="S244" s="537"/>
      <c r="T244" s="537"/>
      <c r="U244" s="537"/>
      <c r="V244" s="537"/>
      <c r="W244" s="537"/>
      <c r="X244" s="537"/>
      <c r="Y244" s="644"/>
      <c r="Z244" s="644"/>
      <c r="AA244" s="644"/>
      <c r="AB244" s="2584"/>
      <c r="AC244" s="2584"/>
      <c r="AD244" s="2584"/>
      <c r="AE244" s="2584"/>
      <c r="AF244" s="2584"/>
      <c r="AG244" s="2584"/>
      <c r="AH244" s="611"/>
      <c r="AI244" s="611"/>
      <c r="AJ244" s="611"/>
      <c r="AK244" s="611"/>
    </row>
    <row r="245" spans="1:37">
      <c r="A245" s="606"/>
      <c r="B245" s="839" t="s">
        <v>1618</v>
      </c>
      <c r="C245" s="664"/>
      <c r="D245" s="828"/>
      <c r="E245" s="828"/>
      <c r="F245" s="828"/>
      <c r="G245" s="828"/>
      <c r="H245" s="828"/>
      <c r="I245" s="828"/>
      <c r="J245" s="828"/>
      <c r="K245" s="537"/>
      <c r="L245" s="537"/>
      <c r="M245" s="537"/>
      <c r="N245" s="537"/>
      <c r="O245" s="537"/>
      <c r="P245" s="537"/>
      <c r="Q245" s="537"/>
      <c r="R245" s="537"/>
      <c r="S245" s="537"/>
      <c r="T245" s="537"/>
      <c r="U245" s="537"/>
      <c r="V245" s="537"/>
      <c r="W245" s="537"/>
      <c r="X245" s="537"/>
      <c r="Y245" s="644"/>
      <c r="Z245" s="644"/>
      <c r="AA245" s="644"/>
      <c r="AB245" s="2566">
        <f>IFERROR(AB243/AB244,0)</f>
        <v>0</v>
      </c>
      <c r="AC245" s="2566"/>
      <c r="AD245" s="2566"/>
      <c r="AE245" s="2566"/>
      <c r="AF245" s="2566"/>
      <c r="AG245" s="2566"/>
      <c r="AH245" s="611"/>
      <c r="AI245" s="611"/>
      <c r="AJ245" s="611"/>
      <c r="AK245" s="611"/>
    </row>
    <row r="246" spans="1:37">
      <c r="A246" s="606"/>
      <c r="B246" s="477"/>
      <c r="C246" s="664"/>
      <c r="D246" s="828"/>
      <c r="E246" s="828"/>
      <c r="F246" s="828"/>
      <c r="G246" s="828"/>
      <c r="H246" s="828"/>
      <c r="I246" s="828"/>
      <c r="J246" s="828"/>
      <c r="K246" s="537"/>
      <c r="L246" s="537"/>
      <c r="M246" s="537"/>
      <c r="N246" s="537"/>
      <c r="O246" s="537"/>
      <c r="P246" s="537"/>
      <c r="Q246" s="537"/>
      <c r="R246" s="537"/>
      <c r="S246" s="537"/>
      <c r="T246" s="537"/>
      <c r="U246" s="537"/>
      <c r="V246" s="537"/>
      <c r="W246" s="537"/>
      <c r="X246" s="537"/>
      <c r="Y246" s="644"/>
      <c r="Z246" s="644"/>
      <c r="AA246" s="644"/>
      <c r="AB246" s="644"/>
      <c r="AC246" s="537"/>
      <c r="AD246" s="537"/>
      <c r="AE246" s="611"/>
      <c r="AF246" s="611"/>
      <c r="AG246" s="611"/>
      <c r="AH246" s="611"/>
      <c r="AI246" s="611"/>
      <c r="AJ246" s="611"/>
      <c r="AK246" s="611"/>
    </row>
    <row r="247" spans="1:37">
      <c r="A247" s="606"/>
      <c r="B247" s="477" t="s">
        <v>1619</v>
      </c>
      <c r="C247" s="664"/>
      <c r="D247" s="828"/>
      <c r="E247" s="828"/>
      <c r="F247" s="828"/>
      <c r="G247" s="828"/>
      <c r="H247" s="828"/>
      <c r="I247" s="828"/>
      <c r="J247" s="828"/>
      <c r="K247" s="537"/>
      <c r="L247" s="537"/>
      <c r="M247" s="537"/>
      <c r="N247" s="537"/>
      <c r="O247" s="537"/>
      <c r="P247" s="537"/>
      <c r="Q247" s="537"/>
      <c r="R247" s="537"/>
      <c r="S247" s="537"/>
      <c r="T247" s="537"/>
      <c r="U247" s="537"/>
      <c r="V247" s="537"/>
      <c r="W247" s="537"/>
      <c r="X247" s="537"/>
      <c r="Y247" s="644"/>
      <c r="Z247" s="644"/>
      <c r="AA247" s="644"/>
      <c r="AB247" s="2549">
        <f>MAX(AB240,AB245)</f>
        <v>0</v>
      </c>
      <c r="AC247" s="2549"/>
      <c r="AD247" s="2549"/>
      <c r="AE247" s="2549"/>
      <c r="AF247" s="2549"/>
      <c r="AG247" s="2549"/>
      <c r="AH247" s="611"/>
      <c r="AI247" s="611"/>
      <c r="AJ247" s="611"/>
      <c r="AK247" s="611"/>
    </row>
    <row r="248" spans="1:37">
      <c r="A248" s="606"/>
      <c r="B248" s="477"/>
      <c r="C248" s="664"/>
      <c r="D248" s="828"/>
      <c r="E248" s="828"/>
      <c r="F248" s="828"/>
      <c r="G248" s="828"/>
      <c r="H248" s="828"/>
      <c r="I248" s="828"/>
      <c r="J248" s="828"/>
      <c r="K248" s="537"/>
      <c r="L248" s="537"/>
      <c r="M248" s="537"/>
      <c r="N248" s="537"/>
      <c r="O248" s="537"/>
      <c r="P248" s="537"/>
      <c r="Q248" s="537"/>
      <c r="R248" s="537"/>
      <c r="S248" s="537"/>
      <c r="T248" s="537"/>
      <c r="U248" s="537"/>
      <c r="V248" s="537"/>
      <c r="W248" s="537"/>
      <c r="X248" s="537"/>
      <c r="Y248" s="644"/>
      <c r="Z248" s="644"/>
      <c r="AA248" s="644"/>
      <c r="AB248" s="644"/>
      <c r="AC248" s="537"/>
      <c r="AD248" s="537"/>
      <c r="AE248" s="611"/>
      <c r="AF248" s="611"/>
      <c r="AG248" s="611"/>
      <c r="AH248" s="611"/>
      <c r="AI248" s="611"/>
      <c r="AJ248" s="611"/>
      <c r="AK248" s="611"/>
    </row>
    <row r="249" spans="1:37">
      <c r="A249" s="606"/>
      <c r="B249" s="477"/>
      <c r="C249" s="664"/>
      <c r="D249" s="828"/>
      <c r="E249" s="828"/>
      <c r="F249" s="828"/>
      <c r="G249" s="828"/>
      <c r="H249" s="828"/>
      <c r="I249" s="828"/>
      <c r="J249" s="828"/>
      <c r="K249" s="537"/>
      <c r="L249" s="537"/>
      <c r="M249" s="537"/>
      <c r="N249" s="537"/>
      <c r="O249" s="537"/>
      <c r="P249" s="537"/>
      <c r="Q249" s="537"/>
      <c r="R249" s="537"/>
      <c r="S249" s="537"/>
      <c r="T249" s="537"/>
      <c r="U249" s="537"/>
      <c r="V249" s="537"/>
      <c r="W249" s="537"/>
      <c r="X249" s="537"/>
      <c r="Y249" s="644"/>
      <c r="Z249" s="644"/>
      <c r="AA249" s="644"/>
      <c r="AB249" s="644"/>
      <c r="AC249" s="537"/>
      <c r="AD249" s="537"/>
      <c r="AE249" s="611"/>
      <c r="AF249" s="611"/>
      <c r="AG249" s="611"/>
      <c r="AH249" s="611"/>
      <c r="AI249" s="611"/>
      <c r="AJ249" s="611"/>
      <c r="AK249" s="611"/>
    </row>
    <row r="250" spans="1:37">
      <c r="A250" s="606"/>
      <c r="B250" s="477" t="s">
        <v>1608</v>
      </c>
      <c r="C250" s="664"/>
      <c r="D250" s="828"/>
      <c r="E250" s="828"/>
      <c r="F250" s="828"/>
      <c r="G250" s="828"/>
      <c r="H250" s="828"/>
      <c r="I250" s="828"/>
      <c r="J250" s="828"/>
      <c r="K250" s="537"/>
      <c r="L250" s="537"/>
      <c r="M250" s="537"/>
      <c r="N250" s="537"/>
      <c r="O250" s="537"/>
      <c r="P250" s="537"/>
      <c r="Q250" s="537"/>
      <c r="R250" s="537"/>
      <c r="S250" s="537"/>
      <c r="U250" s="840"/>
      <c r="V250" s="840"/>
      <c r="W250" s="840"/>
      <c r="X250" s="840"/>
      <c r="Y250" s="840"/>
      <c r="Z250" s="644"/>
      <c r="AA250" s="644"/>
      <c r="AB250" s="2400">
        <f>AB234+AB247</f>
        <v>0</v>
      </c>
      <c r="AC250" s="2400"/>
      <c r="AD250" s="2400"/>
      <c r="AE250" s="2400"/>
      <c r="AF250" s="2400"/>
      <c r="AG250" s="2400"/>
      <c r="AH250" s="611"/>
      <c r="AI250" s="611"/>
      <c r="AJ250" s="611"/>
      <c r="AK250" s="611"/>
    </row>
    <row r="251" spans="1:37">
      <c r="A251" s="606"/>
      <c r="B251" s="477" t="s">
        <v>838</v>
      </c>
      <c r="C251" s="664"/>
      <c r="D251" s="828"/>
      <c r="E251" s="828"/>
      <c r="F251" s="828"/>
      <c r="G251" s="828"/>
      <c r="H251" s="828"/>
      <c r="I251" s="828"/>
      <c r="J251" s="828"/>
      <c r="K251" s="537"/>
      <c r="L251" s="537"/>
      <c r="M251" s="537"/>
      <c r="N251" s="537"/>
      <c r="O251" s="537"/>
      <c r="P251" s="537"/>
      <c r="Q251" s="537"/>
      <c r="R251" s="537"/>
      <c r="S251" s="537"/>
      <c r="U251" s="841"/>
      <c r="V251" s="841"/>
      <c r="W251" s="841"/>
      <c r="X251" s="841"/>
      <c r="Y251" s="841"/>
      <c r="Z251" s="644"/>
      <c r="AA251" s="644"/>
      <c r="AB251" s="2432">
        <v>0.05</v>
      </c>
      <c r="AC251" s="2432"/>
      <c r="AD251" s="2432"/>
      <c r="AE251" s="2432"/>
      <c r="AF251" s="2432"/>
      <c r="AG251" s="2432"/>
      <c r="AH251" s="611"/>
      <c r="AI251" s="611"/>
      <c r="AJ251" s="611"/>
      <c r="AK251" s="611"/>
    </row>
    <row r="252" spans="1:37">
      <c r="A252" s="606"/>
      <c r="B252" s="477" t="s">
        <v>1609</v>
      </c>
      <c r="C252" s="664"/>
      <c r="D252" s="828"/>
      <c r="E252" s="828"/>
      <c r="F252" s="828"/>
      <c r="G252" s="828"/>
      <c r="H252" s="828"/>
      <c r="I252" s="828"/>
      <c r="J252" s="828"/>
      <c r="K252" s="537"/>
      <c r="L252" s="537"/>
      <c r="M252" s="537"/>
      <c r="N252" s="537"/>
      <c r="O252" s="537"/>
      <c r="P252" s="537"/>
      <c r="Q252" s="537"/>
      <c r="R252" s="537"/>
      <c r="S252" s="537"/>
      <c r="U252" s="840"/>
      <c r="V252" s="840"/>
      <c r="W252" s="840"/>
      <c r="X252" s="840"/>
      <c r="Y252" s="840"/>
      <c r="Z252" s="644"/>
      <c r="AA252" s="644"/>
      <c r="AB252" s="2433">
        <f>AB250-(AB250*AB251)</f>
        <v>0</v>
      </c>
      <c r="AC252" s="2433"/>
      <c r="AD252" s="2433"/>
      <c r="AE252" s="2433"/>
      <c r="AF252" s="2433"/>
      <c r="AG252" s="2433"/>
      <c r="AH252" s="611"/>
      <c r="AI252" s="611"/>
      <c r="AJ252" s="611"/>
      <c r="AK252" s="611"/>
    </row>
    <row r="253" spans="1:37">
      <c r="A253" s="606"/>
      <c r="B253" s="477" t="s">
        <v>1610</v>
      </c>
      <c r="C253" s="664"/>
      <c r="D253" s="828"/>
      <c r="E253" s="828"/>
      <c r="F253" s="828"/>
      <c r="G253" s="828"/>
      <c r="H253" s="828"/>
      <c r="I253" s="828"/>
      <c r="J253" s="828"/>
      <c r="K253" s="537"/>
      <c r="L253" s="537"/>
      <c r="M253" s="537"/>
      <c r="N253" s="537"/>
      <c r="O253" s="537"/>
      <c r="P253" s="537"/>
      <c r="Q253" s="537"/>
      <c r="R253" s="537"/>
      <c r="S253" s="537"/>
      <c r="U253" s="537"/>
      <c r="V253" s="537"/>
      <c r="W253" s="537"/>
      <c r="X253" s="537"/>
      <c r="Y253" s="842"/>
      <c r="Z253" s="644"/>
      <c r="AA253" s="644"/>
      <c r="AB253" s="537"/>
      <c r="AC253" s="537"/>
      <c r="AD253" s="537"/>
      <c r="AE253" s="611"/>
      <c r="AF253" s="611"/>
      <c r="AG253" s="611"/>
      <c r="AH253" s="611"/>
      <c r="AI253" s="611"/>
      <c r="AJ253" s="611"/>
      <c r="AK253" s="611"/>
    </row>
    <row r="254" spans="1:37">
      <c r="A254" s="606"/>
      <c r="B254" s="477" t="s">
        <v>1611</v>
      </c>
      <c r="C254" s="664"/>
      <c r="D254" s="828"/>
      <c r="E254" s="828"/>
      <c r="F254" s="828"/>
      <c r="G254" s="828"/>
      <c r="H254" s="828"/>
      <c r="I254" s="828"/>
      <c r="J254" s="828"/>
      <c r="K254" s="537"/>
      <c r="L254" s="537"/>
      <c r="M254" s="537"/>
      <c r="N254" s="537"/>
      <c r="O254" s="537"/>
      <c r="P254" s="537"/>
      <c r="Q254" s="537"/>
      <c r="R254" s="537"/>
      <c r="S254" s="537"/>
      <c r="U254" s="840"/>
      <c r="V254" s="840"/>
      <c r="W254" s="840"/>
      <c r="X254" s="840"/>
      <c r="Y254" s="840"/>
      <c r="Z254" s="644"/>
      <c r="AA254" s="644"/>
      <c r="AB254" s="2400">
        <f>AB252/AB258</f>
        <v>0</v>
      </c>
      <c r="AC254" s="2400"/>
      <c r="AD254" s="2400"/>
      <c r="AE254" s="2400"/>
      <c r="AF254" s="2400"/>
      <c r="AG254" s="2400"/>
      <c r="AH254" s="611"/>
      <c r="AI254" s="611"/>
      <c r="AJ254" s="611"/>
      <c r="AK254" s="611"/>
    </row>
    <row r="255" spans="1:37">
      <c r="A255" s="606"/>
      <c r="B255" s="477"/>
      <c r="C255" s="664"/>
      <c r="D255" s="828"/>
      <c r="E255" s="828"/>
      <c r="F255" s="828"/>
      <c r="G255" s="828"/>
      <c r="H255" s="828"/>
      <c r="I255" s="828"/>
      <c r="J255" s="828"/>
      <c r="K255" s="537"/>
      <c r="L255" s="537"/>
      <c r="M255" s="537"/>
      <c r="N255" s="537"/>
      <c r="O255" s="537"/>
      <c r="P255" s="537"/>
      <c r="Q255" s="537"/>
      <c r="R255" s="537"/>
      <c r="S255" s="537"/>
      <c r="U255" s="537"/>
      <c r="V255" s="537"/>
      <c r="W255" s="537"/>
      <c r="X255" s="537"/>
      <c r="Y255" s="477"/>
      <c r="Z255" s="644"/>
      <c r="AA255" s="644"/>
      <c r="AB255" s="537"/>
      <c r="AC255" s="537"/>
      <c r="AD255" s="537"/>
      <c r="AE255" s="611"/>
      <c r="AF255" s="611"/>
      <c r="AG255" s="611"/>
      <c r="AH255" s="611"/>
      <c r="AI255" s="611"/>
      <c r="AJ255" s="611"/>
      <c r="AK255" s="611"/>
    </row>
    <row r="256" spans="1:37">
      <c r="A256" s="606"/>
      <c r="B256" s="477" t="s">
        <v>1612</v>
      </c>
      <c r="C256" s="664"/>
      <c r="D256" s="828"/>
      <c r="E256" s="828"/>
      <c r="F256" s="828"/>
      <c r="G256" s="828"/>
      <c r="H256" s="828"/>
      <c r="I256" s="828"/>
      <c r="J256" s="828"/>
      <c r="K256" s="537"/>
      <c r="L256" s="537"/>
      <c r="M256" s="537"/>
      <c r="N256" s="537"/>
      <c r="O256" s="537"/>
      <c r="P256" s="537"/>
      <c r="Q256" s="537"/>
      <c r="R256" s="537"/>
      <c r="S256" s="537"/>
      <c r="U256" s="477"/>
      <c r="V256" s="477"/>
      <c r="W256" s="477"/>
      <c r="X256" s="477"/>
      <c r="Y256" s="477"/>
      <c r="Z256" s="644"/>
      <c r="AA256" s="644"/>
      <c r="AB256" s="2392">
        <v>15</v>
      </c>
      <c r="AC256" s="2392"/>
      <c r="AD256" s="2392"/>
      <c r="AE256" s="2392"/>
      <c r="AF256" s="2392"/>
      <c r="AG256" s="2392"/>
      <c r="AH256" s="611"/>
      <c r="AI256" s="611"/>
      <c r="AJ256" s="611"/>
      <c r="AK256" s="611"/>
    </row>
    <row r="257" spans="1:37">
      <c r="A257" s="606"/>
      <c r="B257" s="477" t="s">
        <v>1613</v>
      </c>
      <c r="C257" s="664"/>
      <c r="D257" s="828"/>
      <c r="E257" s="828"/>
      <c r="F257" s="828"/>
      <c r="G257" s="828"/>
      <c r="H257" s="828"/>
      <c r="I257" s="828"/>
      <c r="J257" s="828"/>
      <c r="K257" s="537"/>
      <c r="L257" s="537"/>
      <c r="M257" s="537"/>
      <c r="N257" s="537"/>
      <c r="O257" s="537"/>
      <c r="P257" s="537"/>
      <c r="Q257" s="537"/>
      <c r="R257" s="537"/>
      <c r="S257" s="537"/>
      <c r="U257" s="841"/>
      <c r="V257" s="841"/>
      <c r="W257" s="841"/>
      <c r="X257" s="841"/>
      <c r="Y257" s="841"/>
      <c r="Z257" s="644"/>
      <c r="AA257" s="644"/>
      <c r="AB257" s="2434">
        <v>0.04</v>
      </c>
      <c r="AC257" s="2434"/>
      <c r="AD257" s="2434"/>
      <c r="AE257" s="2434"/>
      <c r="AF257" s="2434"/>
      <c r="AG257" s="2434"/>
      <c r="AH257" s="611"/>
      <c r="AI257" s="611"/>
      <c r="AJ257" s="611"/>
      <c r="AK257" s="611"/>
    </row>
    <row r="258" spans="1:37">
      <c r="A258" s="606"/>
      <c r="B258" s="477" t="s">
        <v>850</v>
      </c>
      <c r="C258" s="664"/>
      <c r="D258" s="828"/>
      <c r="E258" s="828"/>
      <c r="F258" s="828"/>
      <c r="G258" s="828"/>
      <c r="H258" s="828"/>
      <c r="I258" s="828"/>
      <c r="J258" s="828"/>
      <c r="K258" s="537"/>
      <c r="L258" s="537"/>
      <c r="M258" s="537"/>
      <c r="N258" s="537"/>
      <c r="O258" s="537"/>
      <c r="P258" s="537"/>
      <c r="Q258" s="537"/>
      <c r="R258" s="537"/>
      <c r="S258" s="537"/>
      <c r="U258" s="843"/>
      <c r="V258" s="843"/>
      <c r="W258" s="843"/>
      <c r="X258" s="843"/>
      <c r="Y258" s="843"/>
      <c r="Z258" s="644"/>
      <c r="AA258" s="644"/>
      <c r="AB258" s="2405">
        <v>1.1499999999999999</v>
      </c>
      <c r="AC258" s="2405"/>
      <c r="AD258" s="2405"/>
      <c r="AE258" s="2405"/>
      <c r="AF258" s="2405"/>
      <c r="AG258" s="2405"/>
      <c r="AH258" s="611"/>
      <c r="AI258" s="611"/>
      <c r="AJ258" s="611"/>
      <c r="AK258" s="611"/>
    </row>
    <row r="259" spans="1:37">
      <c r="A259" s="606"/>
      <c r="B259" s="477"/>
      <c r="C259" s="664"/>
      <c r="D259" s="828"/>
      <c r="E259" s="828"/>
      <c r="F259" s="828"/>
      <c r="G259" s="828"/>
      <c r="H259" s="828"/>
      <c r="I259" s="828"/>
      <c r="J259" s="828"/>
      <c r="K259" s="537"/>
      <c r="L259" s="537"/>
      <c r="M259" s="537"/>
      <c r="N259" s="537"/>
      <c r="O259" s="537"/>
      <c r="P259" s="537"/>
      <c r="Q259" s="537"/>
      <c r="R259" s="537"/>
      <c r="S259" s="537"/>
      <c r="U259" s="537"/>
      <c r="V259" s="537"/>
      <c r="W259" s="537"/>
      <c r="X259" s="537"/>
      <c r="Y259" s="490"/>
      <c r="Z259" s="644"/>
      <c r="AA259" s="644"/>
      <c r="AB259" s="537"/>
      <c r="AC259" s="537"/>
      <c r="AD259" s="537"/>
      <c r="AE259" s="611"/>
      <c r="AF259" s="611"/>
      <c r="AG259" s="611"/>
      <c r="AH259" s="611"/>
      <c r="AI259" s="611"/>
      <c r="AJ259" s="611"/>
      <c r="AK259" s="611"/>
    </row>
    <row r="260" spans="1:37">
      <c r="A260" s="606"/>
      <c r="B260" s="845" t="s">
        <v>1614</v>
      </c>
      <c r="C260" s="664"/>
      <c r="D260" s="828"/>
      <c r="E260" s="828"/>
      <c r="F260" s="828"/>
      <c r="G260" s="828"/>
      <c r="H260" s="828"/>
      <c r="I260" s="828"/>
      <c r="J260" s="828"/>
      <c r="K260" s="537"/>
      <c r="L260" s="537"/>
      <c r="M260" s="537"/>
      <c r="N260" s="537"/>
      <c r="O260" s="537"/>
      <c r="P260" s="537"/>
      <c r="Q260" s="537"/>
      <c r="R260" s="537"/>
      <c r="S260" s="537"/>
      <c r="U260" s="844"/>
      <c r="V260" s="844"/>
      <c r="W260" s="844"/>
      <c r="X260" s="844"/>
      <c r="Y260" s="844"/>
      <c r="Z260" s="644"/>
      <c r="AA260" s="644"/>
      <c r="AB260" s="2425">
        <f>PV(AB257/12,AB256*12,-AB254/12, ,0)</f>
        <v>0</v>
      </c>
      <c r="AC260" s="2426"/>
      <c r="AD260" s="2426"/>
      <c r="AE260" s="2426"/>
      <c r="AF260" s="2426"/>
      <c r="AG260" s="2427"/>
      <c r="AH260" s="611"/>
      <c r="AI260" s="611"/>
      <c r="AJ260" s="611"/>
      <c r="AK260" s="611"/>
    </row>
    <row r="261" spans="1:37">
      <c r="A261" s="606"/>
      <c r="B261" s="845"/>
      <c r="C261" s="664"/>
      <c r="D261" s="828"/>
      <c r="E261" s="828"/>
      <c r="F261" s="828"/>
      <c r="G261" s="828"/>
      <c r="H261" s="828"/>
      <c r="I261" s="828"/>
      <c r="J261" s="828"/>
      <c r="K261" s="537"/>
      <c r="L261" s="537"/>
      <c r="M261" s="537"/>
      <c r="N261" s="537"/>
      <c r="O261" s="537"/>
      <c r="P261" s="537"/>
      <c r="Q261" s="537"/>
      <c r="R261" s="537"/>
      <c r="S261" s="537"/>
      <c r="U261" s="844"/>
      <c r="V261" s="844"/>
      <c r="W261" s="844"/>
      <c r="X261" s="844"/>
      <c r="Y261" s="844"/>
      <c r="Z261" s="644"/>
      <c r="AA261" s="644"/>
      <c r="AB261" s="856"/>
      <c r="AC261" s="856"/>
      <c r="AD261" s="856"/>
      <c r="AE261" s="856"/>
      <c r="AF261" s="856"/>
      <c r="AG261" s="856"/>
      <c r="AH261" s="611"/>
      <c r="AI261" s="611"/>
      <c r="AJ261" s="611"/>
      <c r="AK261" s="611"/>
    </row>
    <row r="262" spans="1:37">
      <c r="A262" s="606"/>
      <c r="B262" s="845"/>
      <c r="C262" s="664"/>
      <c r="D262" s="828"/>
      <c r="E262" s="828"/>
      <c r="F262" s="828"/>
      <c r="G262" s="828"/>
      <c r="H262" s="828"/>
      <c r="I262" s="828"/>
      <c r="J262" s="828"/>
      <c r="K262" s="537"/>
      <c r="L262" s="537"/>
      <c r="M262" s="537"/>
      <c r="N262" s="537"/>
      <c r="O262" s="537"/>
      <c r="P262" s="537"/>
      <c r="Q262" s="537"/>
      <c r="R262" s="537"/>
      <c r="S262" s="537"/>
      <c r="U262" s="844"/>
      <c r="V262" s="844"/>
      <c r="W262" s="844"/>
      <c r="X262" s="844"/>
      <c r="Y262" s="844"/>
      <c r="Z262" s="644"/>
      <c r="AA262" s="644"/>
      <c r="AB262" s="856"/>
      <c r="AC262" s="856"/>
      <c r="AD262" s="856"/>
      <c r="AE262" s="856"/>
      <c r="AF262" s="856"/>
      <c r="AG262" s="856"/>
      <c r="AH262" s="611"/>
      <c r="AI262" s="611"/>
      <c r="AJ262" s="611"/>
      <c r="AK262" s="611"/>
    </row>
    <row r="263" spans="1:37">
      <c r="A263" s="606"/>
      <c r="B263" s="848" t="s">
        <v>1590</v>
      </c>
      <c r="C263" s="848"/>
      <c r="D263" s="828"/>
      <c r="E263" s="828"/>
      <c r="F263" s="828"/>
      <c r="G263" s="828"/>
      <c r="H263" s="828"/>
      <c r="I263" s="828"/>
      <c r="J263" s="828"/>
      <c r="K263" s="537"/>
      <c r="L263" s="537"/>
      <c r="M263" s="537"/>
      <c r="N263" s="537"/>
      <c r="O263" s="537"/>
      <c r="P263" s="537"/>
      <c r="Q263" s="537"/>
      <c r="R263" s="537"/>
      <c r="S263" s="537"/>
      <c r="T263" s="537"/>
      <c r="U263" s="537"/>
      <c r="V263" s="537"/>
      <c r="W263" s="537"/>
      <c r="X263" s="537"/>
      <c r="Y263" s="644"/>
      <c r="Z263" s="644"/>
      <c r="AA263" s="644"/>
      <c r="AB263" s="644"/>
      <c r="AC263" s="537"/>
      <c r="AD263" s="537"/>
      <c r="AE263" s="611"/>
      <c r="AF263" s="611"/>
      <c r="AG263" s="611"/>
      <c r="AH263" s="611"/>
      <c r="AI263" s="611"/>
      <c r="AJ263" s="611"/>
      <c r="AK263" s="611"/>
    </row>
    <row r="264" spans="1:37">
      <c r="A264" s="606"/>
      <c r="B264" s="606" t="s">
        <v>1593</v>
      </c>
      <c r="C264" s="664"/>
      <c r="D264" s="828"/>
      <c r="E264" s="828"/>
      <c r="F264" s="828"/>
      <c r="G264" s="828"/>
      <c r="H264" s="828"/>
      <c r="I264" s="828"/>
      <c r="J264" s="828"/>
      <c r="K264" s="537"/>
      <c r="L264" s="537"/>
      <c r="M264" s="537"/>
      <c r="N264" s="537"/>
      <c r="O264" s="537"/>
      <c r="P264" s="537"/>
      <c r="Q264" s="537"/>
      <c r="R264" s="537"/>
      <c r="S264" s="537"/>
      <c r="T264" s="537"/>
      <c r="U264" s="537"/>
      <c r="V264" s="537"/>
      <c r="W264" s="537"/>
      <c r="X264" s="537"/>
      <c r="Y264" s="644"/>
      <c r="Z264" s="644"/>
      <c r="AA264" s="644"/>
      <c r="AB264" s="644"/>
      <c r="AC264" s="537"/>
      <c r="AD264" s="537"/>
      <c r="AE264" s="611"/>
      <c r="AF264" s="611"/>
      <c r="AG264" s="611"/>
      <c r="AH264" s="611"/>
      <c r="AI264" s="611"/>
      <c r="AJ264" s="611"/>
      <c r="AK264" s="611"/>
    </row>
    <row r="265" spans="1:37">
      <c r="A265" s="606"/>
      <c r="B265" s="606" t="s">
        <v>1592</v>
      </c>
      <c r="C265" s="664"/>
      <c r="D265" s="828"/>
      <c r="E265" s="828"/>
      <c r="F265" s="828"/>
      <c r="G265" s="828"/>
      <c r="H265" s="828"/>
      <c r="I265" s="828"/>
      <c r="J265" s="828"/>
      <c r="K265" s="537"/>
      <c r="L265" s="537"/>
      <c r="M265" s="537"/>
      <c r="N265" s="537"/>
      <c r="O265" s="537"/>
      <c r="P265" s="537"/>
      <c r="Q265" s="537"/>
      <c r="R265" s="537"/>
      <c r="S265" s="537"/>
      <c r="T265" s="537"/>
      <c r="U265" s="537"/>
      <c r="V265" s="537"/>
      <c r="W265" s="537"/>
      <c r="X265" s="537"/>
      <c r="Y265" s="644"/>
      <c r="Z265" s="644"/>
      <c r="AA265" s="644"/>
      <c r="AB265" s="644"/>
      <c r="AC265" s="537"/>
      <c r="AD265" s="537"/>
      <c r="AE265" s="611"/>
      <c r="AF265" s="611"/>
      <c r="AG265" s="611"/>
      <c r="AH265" s="611"/>
      <c r="AI265" s="611"/>
      <c r="AJ265" s="611"/>
      <c r="AK265" s="611"/>
    </row>
    <row r="266" spans="1:37">
      <c r="A266" s="606"/>
      <c r="B266" s="606" t="s">
        <v>1591</v>
      </c>
      <c r="C266" s="664"/>
      <c r="D266" s="828"/>
      <c r="E266" s="828"/>
      <c r="F266" s="828"/>
      <c r="G266" s="828"/>
      <c r="H266" s="828"/>
      <c r="I266" s="828"/>
      <c r="J266" s="828"/>
      <c r="K266" s="537"/>
      <c r="L266" s="537"/>
      <c r="M266" s="537"/>
      <c r="N266" s="537"/>
      <c r="O266" s="537"/>
      <c r="P266" s="537"/>
      <c r="Q266" s="537"/>
      <c r="R266" s="537"/>
      <c r="S266" s="537"/>
      <c r="T266" s="537"/>
      <c r="U266" s="537"/>
      <c r="V266" s="537"/>
      <c r="W266" s="537"/>
      <c r="X266" s="537"/>
      <c r="Y266" s="644"/>
      <c r="Z266" s="644"/>
      <c r="AA266" s="644"/>
      <c r="AB266" s="2429">
        <f>IFERROR(('Sources and Uses Budget'!D105/'Sources and Uses Budget'!B105),0)</f>
        <v>0</v>
      </c>
      <c r="AC266" s="2430"/>
      <c r="AD266" s="2430"/>
      <c r="AE266" s="2430"/>
      <c r="AF266" s="2430"/>
      <c r="AG266" s="2431"/>
      <c r="AH266" s="857"/>
      <c r="AI266" s="857"/>
      <c r="AJ266" s="857"/>
      <c r="AK266" s="611"/>
    </row>
    <row r="267" spans="1:37">
      <c r="A267" s="606"/>
      <c r="B267" s="477"/>
      <c r="C267" s="664"/>
      <c r="D267" s="828"/>
      <c r="E267" s="828"/>
      <c r="F267" s="828"/>
      <c r="G267" s="828"/>
      <c r="H267" s="828"/>
      <c r="I267" s="828"/>
      <c r="J267" s="828"/>
      <c r="K267" s="537"/>
      <c r="L267" s="537"/>
      <c r="M267" s="537"/>
      <c r="N267" s="537"/>
      <c r="O267" s="537"/>
      <c r="P267" s="537"/>
      <c r="Q267" s="537"/>
      <c r="R267" s="537"/>
      <c r="S267" s="537"/>
      <c r="T267" s="537"/>
      <c r="U267" s="537"/>
      <c r="V267" s="537"/>
      <c r="W267" s="537"/>
      <c r="X267" s="537"/>
      <c r="Y267" s="644"/>
      <c r="Z267" s="644"/>
      <c r="AA267" s="644"/>
      <c r="AB267" s="644"/>
      <c r="AC267" s="537"/>
      <c r="AD267" s="537"/>
      <c r="AE267" s="611"/>
      <c r="AF267" s="611"/>
      <c r="AG267" s="611"/>
      <c r="AH267" s="611"/>
      <c r="AI267" s="611"/>
      <c r="AJ267" s="611"/>
      <c r="AK267" s="611"/>
    </row>
    <row r="268" spans="1:37">
      <c r="A268" s="623"/>
      <c r="B268" s="448" t="s">
        <v>1372</v>
      </c>
      <c r="C268" s="624"/>
      <c r="D268" s="624"/>
      <c r="E268" s="624"/>
      <c r="F268" s="624"/>
      <c r="H268" s="625"/>
      <c r="I268" s="625"/>
      <c r="J268" s="625"/>
      <c r="K268" s="625"/>
      <c r="L268" s="625"/>
      <c r="M268" s="625"/>
      <c r="N268" s="625"/>
      <c r="O268" s="625"/>
      <c r="P268" s="625"/>
      <c r="Q268" s="625"/>
      <c r="R268" s="625"/>
      <c r="Y268" s="625"/>
      <c r="Z268" s="625"/>
      <c r="AA268" s="625"/>
      <c r="AB268" s="623"/>
      <c r="AC268" s="623"/>
      <c r="AD268" s="623"/>
      <c r="AE268" s="623"/>
      <c r="AG268" s="2419">
        <f>AD211*(1-AB266)</f>
        <v>6895259.04</v>
      </c>
      <c r="AH268" s="2419"/>
      <c r="AI268" s="2419"/>
      <c r="AJ268" s="2419"/>
      <c r="AK268" s="2419"/>
    </row>
    <row r="269" spans="1:37">
      <c r="A269" s="623"/>
      <c r="B269" s="626" t="s">
        <v>1373</v>
      </c>
      <c r="C269" s="627"/>
      <c r="D269" s="625"/>
      <c r="E269" s="625"/>
      <c r="F269" s="627"/>
      <c r="G269" s="627"/>
      <c r="H269" s="627"/>
      <c r="I269" s="627"/>
      <c r="J269" s="627"/>
      <c r="K269" s="627"/>
      <c r="L269" s="627"/>
      <c r="M269" s="625"/>
      <c r="N269" s="627"/>
      <c r="O269" s="627"/>
      <c r="P269" s="627"/>
      <c r="Q269" s="627"/>
      <c r="R269" s="627"/>
      <c r="Y269" s="625"/>
      <c r="Z269" s="625"/>
      <c r="AA269" s="625"/>
      <c r="AB269" s="623"/>
      <c r="AC269" s="623"/>
      <c r="AD269" s="623"/>
      <c r="AE269" s="623"/>
      <c r="AG269" s="2419">
        <f>'Sources and Uses Budget'!C105</f>
        <v>86190738</v>
      </c>
      <c r="AH269" s="2419"/>
      <c r="AI269" s="2419"/>
      <c r="AJ269" s="2419"/>
      <c r="AK269" s="2419"/>
    </row>
    <row r="270" spans="1:37">
      <c r="A270" s="623"/>
      <c r="B270" s="625" t="s">
        <v>13</v>
      </c>
      <c r="C270" s="625"/>
      <c r="D270" s="625"/>
      <c r="E270" s="625"/>
      <c r="F270" s="625"/>
      <c r="G270" s="625"/>
      <c r="H270" s="625"/>
      <c r="I270" s="625"/>
      <c r="J270" s="625"/>
      <c r="K270" s="625"/>
      <c r="L270" s="625"/>
      <c r="M270" s="625"/>
      <c r="N270" s="625"/>
      <c r="O270" s="625"/>
      <c r="P270" s="625"/>
      <c r="Q270" s="625"/>
      <c r="R270" s="625"/>
      <c r="Y270" s="625"/>
      <c r="Z270" s="625"/>
      <c r="AA270" s="625"/>
      <c r="AB270" s="623"/>
      <c r="AC270" s="623"/>
      <c r="AD270" s="623"/>
      <c r="AE270" s="623"/>
      <c r="AG270" s="2420">
        <f>ROUNDDOWN(IF(AND(C292="Yes",AK84=10),((AG268*2)/AG269),AG268/AG269),2)</f>
        <v>0.08</v>
      </c>
      <c r="AH270" s="2420"/>
      <c r="AI270" s="2420"/>
      <c r="AJ270" s="2420"/>
      <c r="AK270" s="2420"/>
    </row>
    <row r="271" spans="1:37">
      <c r="A271" s="623"/>
      <c r="B271" s="979" t="s">
        <v>1740</v>
      </c>
      <c r="C271" s="625"/>
      <c r="D271" s="625"/>
      <c r="E271" s="625"/>
      <c r="F271" s="625"/>
      <c r="G271" s="625"/>
      <c r="H271" s="625"/>
      <c r="I271" s="625"/>
      <c r="J271" s="625"/>
      <c r="K271" s="625"/>
      <c r="L271" s="625"/>
      <c r="M271" s="625"/>
      <c r="N271" s="625"/>
      <c r="O271" s="625"/>
      <c r="P271" s="625"/>
      <c r="Q271" s="625"/>
      <c r="R271" s="625"/>
      <c r="Y271" s="625"/>
      <c r="Z271" s="625"/>
      <c r="AA271" s="625"/>
      <c r="AB271" s="623"/>
      <c r="AC271" s="623"/>
      <c r="AD271" s="623"/>
      <c r="AE271" s="623"/>
      <c r="AG271" s="978"/>
      <c r="AH271" s="978"/>
      <c r="AI271" s="978"/>
      <c r="AJ271" s="978"/>
      <c r="AK271" s="978"/>
    </row>
    <row r="272" spans="1:37">
      <c r="A272" s="628"/>
      <c r="B272" s="628"/>
      <c r="C272" s="628"/>
      <c r="D272" s="628"/>
      <c r="E272" s="628"/>
      <c r="F272" s="628"/>
      <c r="G272" s="628"/>
      <c r="H272" s="628"/>
      <c r="I272" s="628"/>
      <c r="J272" s="628"/>
      <c r="K272" s="628"/>
      <c r="L272" s="628"/>
      <c r="M272" s="628"/>
      <c r="N272" s="628"/>
      <c r="O272" s="628"/>
      <c r="P272" s="628"/>
      <c r="Q272" s="628"/>
      <c r="R272" s="628"/>
      <c r="S272" s="628"/>
      <c r="T272" s="628"/>
      <c r="U272" s="628"/>
      <c r="V272" s="628"/>
      <c r="W272" s="628"/>
      <c r="X272" s="628"/>
      <c r="Y272" s="628"/>
      <c r="Z272" s="628"/>
      <c r="AA272" s="628"/>
      <c r="AB272" s="628"/>
      <c r="AC272" s="628"/>
      <c r="AD272" s="628"/>
      <c r="AE272" s="628"/>
      <c r="AF272" s="628"/>
      <c r="AG272" s="628"/>
      <c r="AH272" s="628"/>
      <c r="AI272" s="628"/>
      <c r="AJ272" s="628"/>
    </row>
    <row r="273" spans="1:52">
      <c r="A273" s="629"/>
      <c r="B273" s="629"/>
      <c r="C273" s="629"/>
      <c r="D273" s="629"/>
      <c r="E273" s="629"/>
      <c r="F273" s="629"/>
      <c r="G273" s="629"/>
      <c r="H273" s="629"/>
      <c r="I273" s="629"/>
      <c r="J273" s="629"/>
      <c r="K273" s="629"/>
      <c r="L273" s="629"/>
      <c r="M273" s="629"/>
      <c r="N273" s="629"/>
      <c r="O273" s="629"/>
      <c r="P273" s="629"/>
      <c r="Q273" s="629"/>
      <c r="R273" s="629"/>
      <c r="S273" s="629"/>
      <c r="T273" s="629"/>
      <c r="U273" s="629"/>
      <c r="V273" s="629"/>
      <c r="W273" s="629"/>
      <c r="X273" s="629"/>
      <c r="Y273" s="629"/>
      <c r="Z273" s="629"/>
      <c r="AA273" s="629"/>
      <c r="AB273" s="629"/>
      <c r="AC273" s="629"/>
      <c r="AD273" s="629"/>
      <c r="AE273" s="629"/>
      <c r="AF273" s="629"/>
      <c r="AG273" s="629"/>
      <c r="AH273" s="630"/>
      <c r="AI273" s="566"/>
      <c r="AJ273" s="566" t="s">
        <v>1374</v>
      </c>
      <c r="AK273" s="2421">
        <f>IFERROR(IF(AG270=0,0,IF((AG270*100)&gt;8,8,(AG270*100))),0)</f>
        <v>8</v>
      </c>
      <c r="AL273" s="2421"/>
      <c r="AM273" s="2422"/>
    </row>
    <row r="274" spans="1:52" ht="13.5" thickBot="1"/>
    <row r="275" spans="1:52" s="551" customFormat="1" ht="12.75" customHeight="1" thickTop="1">
      <c r="A275" s="613"/>
      <c r="B275" s="631"/>
      <c r="C275" s="631"/>
      <c r="D275" s="631"/>
      <c r="E275" s="631"/>
      <c r="F275" s="631"/>
      <c r="G275" s="631"/>
      <c r="H275" s="631"/>
      <c r="I275" s="631"/>
      <c r="J275" s="631"/>
      <c r="K275" s="631"/>
      <c r="L275" s="631"/>
      <c r="M275" s="631"/>
      <c r="N275" s="631"/>
      <c r="O275" s="631"/>
      <c r="P275" s="631"/>
      <c r="Q275" s="631"/>
      <c r="R275" s="631"/>
      <c r="S275" s="631"/>
      <c r="T275" s="631"/>
      <c r="U275" s="631"/>
      <c r="V275" s="631"/>
      <c r="W275" s="631"/>
      <c r="X275" s="631"/>
      <c r="Y275" s="631"/>
      <c r="Z275" s="631"/>
      <c r="AA275" s="631"/>
      <c r="AB275" s="631"/>
      <c r="AC275" s="632"/>
      <c r="AD275" s="631"/>
      <c r="AE275" s="631"/>
      <c r="AF275" s="631"/>
      <c r="AG275" s="631"/>
      <c r="AH275" s="613"/>
      <c r="AI275" s="633"/>
      <c r="AJ275" s="633"/>
      <c r="AK275" s="634"/>
      <c r="AL275" s="634"/>
      <c r="AM275" s="635"/>
      <c r="AN275" s="598"/>
      <c r="AP275" s="537"/>
      <c r="AQ275" s="537"/>
      <c r="AR275" s="537"/>
      <c r="AS275" s="537"/>
      <c r="AT275" s="537"/>
      <c r="AU275" s="537"/>
      <c r="AV275" s="537"/>
      <c r="AW275" s="537"/>
      <c r="AX275" s="537"/>
      <c r="AY275" s="537"/>
      <c r="AZ275" s="537"/>
    </row>
    <row r="276" spans="1:52">
      <c r="A276" s="539" t="s">
        <v>1375</v>
      </c>
      <c r="B276" s="539" t="s">
        <v>1376</v>
      </c>
      <c r="C276" s="540"/>
      <c r="D276" s="551"/>
      <c r="E276" s="551"/>
      <c r="F276" s="551"/>
      <c r="G276" s="551"/>
      <c r="H276" s="551"/>
      <c r="I276" s="551"/>
      <c r="J276" s="551"/>
      <c r="K276" s="551"/>
      <c r="L276" s="551"/>
      <c r="M276" s="551"/>
      <c r="N276" s="551"/>
      <c r="O276" s="551"/>
      <c r="P276" s="551"/>
      <c r="Q276" s="551"/>
      <c r="R276" s="551"/>
      <c r="S276" s="551"/>
      <c r="T276" s="551"/>
      <c r="U276" s="551"/>
      <c r="V276" s="551"/>
      <c r="W276" s="551"/>
      <c r="X276" s="551"/>
      <c r="Y276" s="551"/>
      <c r="Z276" s="551"/>
      <c r="AA276" s="551"/>
      <c r="AB276" s="551"/>
      <c r="AC276" s="551"/>
      <c r="AD276" s="551"/>
      <c r="AE276" s="551"/>
      <c r="AF276" s="551"/>
      <c r="AG276" s="551"/>
      <c r="AH276" s="592" t="s">
        <v>1313</v>
      </c>
      <c r="AI276" s="551"/>
      <c r="AJ276" s="551"/>
      <c r="AK276" s="551"/>
      <c r="AL276" s="551"/>
      <c r="AM276" s="551"/>
      <c r="AO276" s="551"/>
    </row>
    <row r="277" spans="1:52" ht="14.25" customHeight="1">
      <c r="A277" s="592"/>
      <c r="AI277" s="552"/>
      <c r="AJ277" s="551"/>
      <c r="AK277" s="551"/>
      <c r="AL277" s="551"/>
      <c r="AM277" s="551"/>
      <c r="AO277" s="551"/>
    </row>
    <row r="278" spans="1:52" ht="13.7" customHeight="1">
      <c r="A278" s="551"/>
      <c r="B278" s="597"/>
      <c r="C278" s="2413" t="s">
        <v>545</v>
      </c>
      <c r="D278" s="2413"/>
      <c r="E278" s="548"/>
      <c r="F278" s="2570" t="s">
        <v>2025</v>
      </c>
      <c r="G278" s="2571"/>
      <c r="H278" s="2571"/>
      <c r="I278" s="2571"/>
      <c r="J278" s="2571"/>
      <c r="K278" s="2571"/>
      <c r="L278" s="2571"/>
      <c r="M278" s="2571"/>
      <c r="N278" s="2571"/>
      <c r="O278" s="2571"/>
      <c r="P278" s="2571"/>
      <c r="Q278" s="2571"/>
      <c r="R278" s="2571"/>
      <c r="S278" s="2571"/>
      <c r="T278" s="2571"/>
      <c r="U278" s="2571"/>
      <c r="V278" s="2571"/>
      <c r="W278" s="2571"/>
      <c r="X278" s="2571"/>
      <c r="Y278" s="2571"/>
      <c r="Z278" s="2571"/>
      <c r="AA278" s="2571"/>
      <c r="AB278" s="2571"/>
      <c r="AC278" s="2571"/>
      <c r="AD278" s="2572"/>
      <c r="AE278" s="551"/>
      <c r="AF278" s="636"/>
      <c r="AG278" s="2414" t="s">
        <v>1362</v>
      </c>
      <c r="AH278" s="2414"/>
      <c r="AI278" s="2414"/>
      <c r="AJ278" s="2414"/>
      <c r="AK278" s="551"/>
      <c r="AL278" s="551"/>
      <c r="AM278" s="551"/>
      <c r="AO278" s="551"/>
    </row>
    <row r="279" spans="1:52" ht="13.7" customHeight="1">
      <c r="A279" s="551"/>
      <c r="B279" s="597"/>
      <c r="C279" s="637"/>
      <c r="D279" s="551"/>
      <c r="E279" s="548"/>
      <c r="F279" s="2573"/>
      <c r="G279" s="2574"/>
      <c r="H279" s="2574"/>
      <c r="I279" s="2574"/>
      <c r="J279" s="2574"/>
      <c r="K279" s="2574"/>
      <c r="L279" s="2574"/>
      <c r="M279" s="2574"/>
      <c r="N279" s="2574"/>
      <c r="O279" s="2574"/>
      <c r="P279" s="2574"/>
      <c r="Q279" s="2574"/>
      <c r="R279" s="2574"/>
      <c r="S279" s="2574"/>
      <c r="T279" s="2574"/>
      <c r="U279" s="2574"/>
      <c r="V279" s="2574"/>
      <c r="W279" s="2574"/>
      <c r="X279" s="2574"/>
      <c r="Y279" s="2574"/>
      <c r="Z279" s="2574"/>
      <c r="AA279" s="2574"/>
      <c r="AB279" s="2574"/>
      <c r="AC279" s="2574"/>
      <c r="AD279" s="2575"/>
      <c r="AE279" s="551"/>
      <c r="AF279" s="636"/>
      <c r="AG279" s="636"/>
      <c r="AH279" s="636"/>
      <c r="AI279" s="636"/>
      <c r="AJ279" s="551"/>
      <c r="AK279" s="551"/>
      <c r="AL279" s="551"/>
      <c r="AM279" s="551"/>
      <c r="AO279" s="551"/>
    </row>
    <row r="280" spans="1:52">
      <c r="A280" s="551"/>
      <c r="B280" s="597"/>
      <c r="C280" s="637"/>
      <c r="D280" s="551"/>
      <c r="E280" s="548"/>
      <c r="F280" s="2573"/>
      <c r="G280" s="2574"/>
      <c r="H280" s="2574"/>
      <c r="I280" s="2574"/>
      <c r="J280" s="2574"/>
      <c r="K280" s="2574"/>
      <c r="L280" s="2574"/>
      <c r="M280" s="2574"/>
      <c r="N280" s="2574"/>
      <c r="O280" s="2574"/>
      <c r="P280" s="2574"/>
      <c r="Q280" s="2574"/>
      <c r="R280" s="2574"/>
      <c r="S280" s="2574"/>
      <c r="T280" s="2574"/>
      <c r="U280" s="2574"/>
      <c r="V280" s="2574"/>
      <c r="W280" s="2574"/>
      <c r="X280" s="2574"/>
      <c r="Y280" s="2574"/>
      <c r="Z280" s="2574"/>
      <c r="AA280" s="2574"/>
      <c r="AB280" s="2574"/>
      <c r="AC280" s="2574"/>
      <c r="AD280" s="2575"/>
      <c r="AE280" s="551"/>
      <c r="AF280" s="636"/>
      <c r="AG280" s="636"/>
      <c r="AH280" s="636"/>
      <c r="AI280" s="636"/>
      <c r="AJ280" s="551"/>
      <c r="AK280" s="551"/>
      <c r="AL280" s="551"/>
      <c r="AM280" s="551"/>
      <c r="AO280" s="551"/>
      <c r="AP280" s="638"/>
    </row>
    <row r="281" spans="1:52">
      <c r="A281" s="551"/>
      <c r="B281" s="597"/>
      <c r="C281" s="637"/>
      <c r="D281" s="551"/>
      <c r="E281" s="548"/>
      <c r="F281" s="2573"/>
      <c r="G281" s="2574"/>
      <c r="H281" s="2574"/>
      <c r="I281" s="2574"/>
      <c r="J281" s="2574"/>
      <c r="K281" s="2574"/>
      <c r="L281" s="2574"/>
      <c r="M281" s="2574"/>
      <c r="N281" s="2574"/>
      <c r="O281" s="2574"/>
      <c r="P281" s="2574"/>
      <c r="Q281" s="2574"/>
      <c r="R281" s="2574"/>
      <c r="S281" s="2574"/>
      <c r="T281" s="2574"/>
      <c r="U281" s="2574"/>
      <c r="V281" s="2574"/>
      <c r="W281" s="2574"/>
      <c r="X281" s="2574"/>
      <c r="Y281" s="2574"/>
      <c r="Z281" s="2574"/>
      <c r="AA281" s="2574"/>
      <c r="AB281" s="2574"/>
      <c r="AC281" s="2574"/>
      <c r="AD281" s="2575"/>
      <c r="AE281" s="551"/>
      <c r="AF281" s="636"/>
      <c r="AG281" s="636"/>
      <c r="AH281" s="636"/>
      <c r="AI281" s="636"/>
      <c r="AJ281" s="551"/>
      <c r="AK281" s="551"/>
      <c r="AL281" s="551"/>
      <c r="AM281" s="551"/>
      <c r="AO281" s="551"/>
      <c r="AP281" s="638"/>
    </row>
    <row r="282" spans="1:52" ht="13.7" customHeight="1">
      <c r="A282" s="551"/>
      <c r="B282" s="597"/>
      <c r="C282" s="2415"/>
      <c r="D282" s="2415"/>
      <c r="E282" s="548"/>
      <c r="F282" s="2576"/>
      <c r="G282" s="2577"/>
      <c r="H282" s="2577"/>
      <c r="I282" s="2577"/>
      <c r="J282" s="2577"/>
      <c r="K282" s="2577"/>
      <c r="L282" s="2577"/>
      <c r="M282" s="2577"/>
      <c r="N282" s="2577"/>
      <c r="O282" s="2577"/>
      <c r="P282" s="2577"/>
      <c r="Q282" s="2577"/>
      <c r="R282" s="2577"/>
      <c r="S282" s="2577"/>
      <c r="T282" s="2577"/>
      <c r="U282" s="2577"/>
      <c r="V282" s="2577"/>
      <c r="W282" s="2577"/>
      <c r="X282" s="2577"/>
      <c r="Y282" s="2577"/>
      <c r="Z282" s="2577"/>
      <c r="AA282" s="2577"/>
      <c r="AB282" s="2577"/>
      <c r="AC282" s="2577"/>
      <c r="AD282" s="2578"/>
      <c r="AE282" s="551"/>
      <c r="AF282" s="636"/>
      <c r="AG282" s="2414"/>
      <c r="AH282" s="2414"/>
      <c r="AI282" s="2414"/>
      <c r="AJ282" s="2414"/>
      <c r="AK282" s="551"/>
      <c r="AL282" s="551"/>
      <c r="AM282" s="551"/>
    </row>
    <row r="283" spans="1:52" ht="13.7" hidden="1" customHeight="1">
      <c r="A283" s="551"/>
      <c r="C283" s="604"/>
      <c r="D283" s="604"/>
      <c r="E283" s="604"/>
      <c r="F283" s="1024"/>
      <c r="G283" s="1025"/>
      <c r="H283" s="1025"/>
      <c r="I283" s="1025"/>
      <c r="J283" s="1025"/>
      <c r="K283" s="1025"/>
      <c r="L283" s="1025"/>
      <c r="M283" s="1025"/>
      <c r="N283" s="1025"/>
      <c r="O283" s="1025"/>
      <c r="P283" s="1025"/>
      <c r="Q283" s="1025"/>
      <c r="R283" s="1025"/>
      <c r="S283" s="1025"/>
      <c r="T283" s="1025"/>
      <c r="U283" s="1025"/>
      <c r="V283" s="1025"/>
      <c r="W283" s="1025"/>
      <c r="X283" s="1025"/>
      <c r="Y283" s="1025"/>
      <c r="Z283" s="1025"/>
      <c r="AA283" s="1025"/>
      <c r="AB283" s="1025"/>
      <c r="AC283" s="1025"/>
      <c r="AD283" s="1026"/>
      <c r="AE283" s="604"/>
      <c r="AF283" s="604"/>
      <c r="AG283" s="604"/>
      <c r="AH283" s="604"/>
      <c r="AI283" s="636"/>
      <c r="AJ283" s="551"/>
      <c r="AK283" s="551"/>
      <c r="AL283" s="551"/>
      <c r="AM283" s="551"/>
    </row>
    <row r="284" spans="1:52">
      <c r="A284" s="551"/>
      <c r="B284" s="604"/>
      <c r="C284" s="604"/>
      <c r="D284" s="604"/>
      <c r="E284" s="604"/>
      <c r="F284" s="604"/>
      <c r="G284" s="604"/>
      <c r="H284" s="604"/>
      <c r="I284" s="604"/>
      <c r="J284" s="604"/>
      <c r="K284" s="604"/>
      <c r="L284" s="604"/>
      <c r="M284" s="604"/>
      <c r="N284" s="604"/>
      <c r="O284" s="604"/>
      <c r="P284" s="604"/>
      <c r="Q284" s="604"/>
      <c r="R284" s="604"/>
      <c r="S284" s="604"/>
      <c r="T284" s="604"/>
      <c r="U284" s="604"/>
      <c r="V284" s="604"/>
      <c r="W284" s="604"/>
      <c r="X284" s="604"/>
      <c r="Y284" s="604"/>
      <c r="Z284" s="604"/>
      <c r="AA284" s="604"/>
      <c r="AB284" s="604"/>
      <c r="AC284" s="604"/>
      <c r="AD284" s="604"/>
      <c r="AE284" s="604"/>
      <c r="AF284" s="604"/>
      <c r="AG284" s="604"/>
      <c r="AH284" s="604"/>
      <c r="AI284" s="604"/>
      <c r="AJ284" s="604"/>
      <c r="AK284" s="604"/>
      <c r="AL284" s="551"/>
      <c r="AM284" s="551"/>
      <c r="AN284" s="73"/>
    </row>
    <row r="285" spans="1:52">
      <c r="A285" s="607"/>
      <c r="B285" s="565"/>
      <c r="C285" s="565"/>
      <c r="D285" s="565"/>
      <c r="E285" s="565"/>
      <c r="F285" s="565"/>
      <c r="G285" s="565"/>
      <c r="H285" s="565"/>
      <c r="I285" s="565"/>
      <c r="J285" s="565"/>
      <c r="K285" s="565"/>
      <c r="L285" s="565"/>
      <c r="M285" s="565"/>
      <c r="N285" s="565"/>
      <c r="O285" s="565"/>
      <c r="P285" s="565"/>
      <c r="Q285" s="565"/>
      <c r="R285" s="565"/>
      <c r="S285" s="565"/>
      <c r="T285" s="565"/>
      <c r="U285" s="565"/>
      <c r="V285" s="565"/>
      <c r="W285" s="565"/>
      <c r="X285" s="565"/>
      <c r="Y285" s="565"/>
      <c r="Z285" s="565"/>
      <c r="AA285" s="565"/>
      <c r="AB285" s="565"/>
      <c r="AC285" s="565"/>
      <c r="AD285" s="565"/>
      <c r="AE285" s="565"/>
      <c r="AF285" s="565"/>
      <c r="AG285" s="565"/>
      <c r="AH285" s="565"/>
      <c r="AI285" s="566"/>
      <c r="AJ285" s="566" t="s">
        <v>1378</v>
      </c>
      <c r="AK285" s="2421">
        <f>IF($C$278="yes",10,0)</f>
        <v>10</v>
      </c>
      <c r="AL285" s="2421"/>
      <c r="AM285" s="2422"/>
      <c r="AN285" s="73"/>
    </row>
    <row r="286" spans="1:52" ht="13.5" thickBot="1"/>
    <row r="287" spans="1:52" ht="13.5" thickTop="1">
      <c r="A287" s="639"/>
      <c r="B287" s="639"/>
      <c r="C287" s="639"/>
      <c r="D287" s="639"/>
      <c r="E287" s="639"/>
      <c r="F287" s="639"/>
      <c r="G287" s="639"/>
      <c r="H287" s="639"/>
      <c r="I287" s="639"/>
      <c r="J287" s="639"/>
      <c r="K287" s="639"/>
      <c r="L287" s="639"/>
      <c r="M287" s="639"/>
      <c r="N287" s="639"/>
      <c r="O287" s="639"/>
      <c r="P287" s="639"/>
      <c r="Q287" s="639"/>
      <c r="R287" s="639"/>
      <c r="S287" s="639"/>
      <c r="T287" s="639"/>
      <c r="U287" s="639"/>
      <c r="V287" s="639"/>
      <c r="W287" s="639"/>
      <c r="X287" s="639"/>
      <c r="Y287" s="639"/>
      <c r="Z287" s="639"/>
      <c r="AA287" s="639"/>
      <c r="AB287" s="639"/>
      <c r="AC287" s="639"/>
      <c r="AD287" s="639"/>
      <c r="AE287" s="639"/>
      <c r="AF287" s="639"/>
      <c r="AG287" s="639"/>
      <c r="AH287" s="639"/>
      <c r="AI287" s="639"/>
      <c r="AJ287" s="639"/>
      <c r="AK287" s="639"/>
      <c r="AL287" s="639"/>
      <c r="AM287" s="640"/>
    </row>
    <row r="288" spans="1:52">
      <c r="A288" s="539" t="s">
        <v>1379</v>
      </c>
      <c r="B288" s="539" t="s">
        <v>1853</v>
      </c>
      <c r="AH288" s="592" t="s">
        <v>1313</v>
      </c>
    </row>
    <row r="289" spans="1:49" ht="15" customHeight="1">
      <c r="B289" s="540"/>
    </row>
    <row r="290" spans="1:49" ht="15" customHeight="1">
      <c r="B290" s="540" t="s">
        <v>1727</v>
      </c>
    </row>
    <row r="291" spans="1:49">
      <c r="B291" s="551"/>
      <c r="C291" s="641"/>
      <c r="D291" s="551"/>
      <c r="E291" s="551"/>
      <c r="F291" s="551"/>
      <c r="G291" s="551"/>
      <c r="H291" s="551"/>
      <c r="I291" s="551"/>
      <c r="J291" s="551"/>
      <c r="K291" s="551"/>
      <c r="L291" s="551"/>
      <c r="M291" s="551"/>
      <c r="N291" s="551"/>
      <c r="O291" s="551"/>
      <c r="P291" s="551"/>
      <c r="Q291" s="551"/>
      <c r="R291" s="551"/>
      <c r="S291" s="551"/>
      <c r="T291" s="551"/>
      <c r="U291" s="551"/>
      <c r="V291" s="551"/>
      <c r="W291" s="551"/>
      <c r="X291" s="551"/>
      <c r="Y291" s="551"/>
      <c r="Z291" s="551"/>
      <c r="AA291" s="551"/>
      <c r="AB291" s="551"/>
      <c r="AC291" s="551"/>
      <c r="AD291" s="551"/>
      <c r="AG291" s="551"/>
      <c r="AI291" s="551"/>
      <c r="AJ291" s="551"/>
      <c r="AK291" s="551"/>
      <c r="AL291" s="551"/>
      <c r="AM291" s="551"/>
      <c r="AN291" s="73"/>
      <c r="AO291" s="14"/>
      <c r="AP291" s="571"/>
      <c r="AQ291" s="642"/>
      <c r="AR291" s="571"/>
      <c r="AS291" s="571"/>
      <c r="AT291" s="571"/>
      <c r="AU291" s="571"/>
      <c r="AV291" s="32"/>
      <c r="AW291" s="32"/>
    </row>
    <row r="292" spans="1:49" ht="12.75" customHeight="1">
      <c r="A292" s="1634" t="s">
        <v>1381</v>
      </c>
      <c r="B292" s="1634"/>
      <c r="C292" s="2409" t="s">
        <v>591</v>
      </c>
      <c r="D292" s="2413"/>
      <c r="E292" s="548"/>
      <c r="F292" s="2441" t="s">
        <v>1382</v>
      </c>
      <c r="G292" s="2442"/>
      <c r="H292" s="2442"/>
      <c r="I292" s="2442"/>
      <c r="J292" s="2442"/>
      <c r="K292" s="2442"/>
      <c r="L292" s="2442"/>
      <c r="M292" s="2442"/>
      <c r="N292" s="2442"/>
      <c r="O292" s="2442"/>
      <c r="P292" s="2442"/>
      <c r="Q292" s="2442"/>
      <c r="R292" s="2442"/>
      <c r="S292" s="2442"/>
      <c r="T292" s="2442"/>
      <c r="U292" s="2442"/>
      <c r="V292" s="2442"/>
      <c r="W292" s="2442"/>
      <c r="X292" s="2442"/>
      <c r="Y292" s="2442"/>
      <c r="Z292" s="2442"/>
      <c r="AA292" s="2442"/>
      <c r="AB292" s="2442"/>
      <c r="AC292" s="2442"/>
      <c r="AD292" s="2443"/>
      <c r="AE292" s="643"/>
      <c r="AF292" s="551"/>
      <c r="AG292" s="2444" t="s">
        <v>2018</v>
      </c>
      <c r="AH292" s="2444"/>
      <c r="AI292" s="2444"/>
      <c r="AJ292" s="2444"/>
      <c r="AK292" s="2444"/>
      <c r="AL292" s="551"/>
      <c r="AM292" s="551"/>
      <c r="AN292" s="73"/>
      <c r="AO292" s="14"/>
      <c r="AP292" s="30"/>
      <c r="AS292" s="571"/>
      <c r="AT292" s="571"/>
      <c r="AU292" s="571"/>
      <c r="AV292" s="32"/>
      <c r="AW292" s="32"/>
    </row>
    <row r="293" spans="1:49">
      <c r="A293" s="641"/>
      <c r="B293" s="597"/>
      <c r="F293" s="2435"/>
      <c r="G293" s="2436"/>
      <c r="H293" s="2436"/>
      <c r="I293" s="2436"/>
      <c r="J293" s="2436"/>
      <c r="K293" s="2436"/>
      <c r="L293" s="2436"/>
      <c r="M293" s="2436"/>
      <c r="N293" s="2436"/>
      <c r="O293" s="2436"/>
      <c r="P293" s="2436"/>
      <c r="Q293" s="2436"/>
      <c r="R293" s="2436"/>
      <c r="S293" s="2436"/>
      <c r="T293" s="2436"/>
      <c r="U293" s="2436"/>
      <c r="V293" s="2436"/>
      <c r="W293" s="2436"/>
      <c r="X293" s="2436"/>
      <c r="Y293" s="2436"/>
      <c r="Z293" s="2436"/>
      <c r="AA293" s="2436"/>
      <c r="AB293" s="2436"/>
      <c r="AC293" s="2436"/>
      <c r="AD293" s="2437"/>
      <c r="AE293" s="643"/>
      <c r="AF293" s="552"/>
      <c r="AH293" s="552"/>
      <c r="AI293" s="552"/>
      <c r="AJ293" s="551"/>
      <c r="AK293" s="551"/>
      <c r="AL293" s="551"/>
      <c r="AM293" s="551"/>
      <c r="AN293" s="73"/>
      <c r="AO293" s="14"/>
      <c r="AP293" s="551">
        <f>IF($C$292="yes",10,IF(C292="50% Met",9,0))</f>
        <v>0</v>
      </c>
      <c r="AS293" s="571"/>
      <c r="AT293" s="571"/>
      <c r="AU293" s="571"/>
      <c r="AV293" s="32"/>
      <c r="AW293" s="32"/>
    </row>
    <row r="294" spans="1:49" ht="15" customHeight="1">
      <c r="A294" s="641"/>
      <c r="B294" s="597"/>
      <c r="F294" s="2435"/>
      <c r="G294" s="2436"/>
      <c r="H294" s="2436"/>
      <c r="I294" s="2436"/>
      <c r="J294" s="2436"/>
      <c r="K294" s="2436"/>
      <c r="L294" s="2436"/>
      <c r="M294" s="2436"/>
      <c r="N294" s="2436"/>
      <c r="O294" s="2436"/>
      <c r="P294" s="2436"/>
      <c r="Q294" s="2436"/>
      <c r="R294" s="2436"/>
      <c r="S294" s="2436"/>
      <c r="T294" s="2436"/>
      <c r="U294" s="2436"/>
      <c r="V294" s="2436"/>
      <c r="W294" s="2436"/>
      <c r="X294" s="2436"/>
      <c r="Y294" s="2436"/>
      <c r="Z294" s="2436"/>
      <c r="AA294" s="2436"/>
      <c r="AB294" s="2436"/>
      <c r="AC294" s="2436"/>
      <c r="AD294" s="2437"/>
      <c r="AE294" s="643"/>
      <c r="AF294" s="552"/>
      <c r="AH294" s="552"/>
      <c r="AI294" s="552"/>
      <c r="AJ294" s="551"/>
      <c r="AK294" s="551"/>
      <c r="AL294" s="551"/>
      <c r="AM294" s="551"/>
      <c r="AN294" s="73"/>
      <c r="AO294" s="14"/>
      <c r="AP294" s="551">
        <f>IF($C$302="yes",9,0)</f>
        <v>9</v>
      </c>
      <c r="AS294" s="571"/>
      <c r="AT294" s="571"/>
      <c r="AU294" s="571"/>
      <c r="AV294" s="32"/>
      <c r="AW294" s="32"/>
    </row>
    <row r="295" spans="1:49" ht="12.75" customHeight="1">
      <c r="A295" s="641"/>
      <c r="B295" s="597"/>
      <c r="F295" s="2435" t="s">
        <v>2026</v>
      </c>
      <c r="G295" s="2436"/>
      <c r="H295" s="2436"/>
      <c r="I295" s="2436"/>
      <c r="J295" s="2436"/>
      <c r="K295" s="2436"/>
      <c r="L295" s="2436"/>
      <c r="M295" s="2436"/>
      <c r="N295" s="2436"/>
      <c r="O295" s="2436"/>
      <c r="P295" s="2436"/>
      <c r="Q295" s="2436"/>
      <c r="R295" s="2436"/>
      <c r="S295" s="2436"/>
      <c r="T295" s="2436"/>
      <c r="U295" s="2436"/>
      <c r="V295" s="2436"/>
      <c r="W295" s="2436"/>
      <c r="X295" s="2436"/>
      <c r="Y295" s="2436"/>
      <c r="Z295" s="2436"/>
      <c r="AA295" s="2436"/>
      <c r="AB295" s="2436"/>
      <c r="AC295" s="2436"/>
      <c r="AD295" s="2437"/>
      <c r="AE295" s="643"/>
      <c r="AF295" s="552"/>
      <c r="AH295" s="552"/>
      <c r="AI295" s="552"/>
      <c r="AJ295" s="551"/>
      <c r="AK295" s="551"/>
      <c r="AL295" s="551"/>
      <c r="AM295" s="551"/>
      <c r="AN295" s="73"/>
      <c r="AO295" s="14"/>
      <c r="AP295" s="612">
        <f>MAX(AP293,AP294)</f>
        <v>9</v>
      </c>
      <c r="AQ295" s="575" t="s">
        <v>1315</v>
      </c>
      <c r="AS295" s="571"/>
      <c r="AT295" s="571"/>
      <c r="AU295" s="571"/>
      <c r="AV295" s="32"/>
      <c r="AW295" s="32"/>
    </row>
    <row r="296" spans="1:49">
      <c r="A296" s="641"/>
      <c r="B296" s="597"/>
      <c r="F296" s="2435"/>
      <c r="G296" s="2436"/>
      <c r="H296" s="2436"/>
      <c r="I296" s="2436"/>
      <c r="J296" s="2436"/>
      <c r="K296" s="2436"/>
      <c r="L296" s="2436"/>
      <c r="M296" s="2436"/>
      <c r="N296" s="2436"/>
      <c r="O296" s="2436"/>
      <c r="P296" s="2436"/>
      <c r="Q296" s="2436"/>
      <c r="R296" s="2436"/>
      <c r="S296" s="2436"/>
      <c r="T296" s="2436"/>
      <c r="U296" s="2436"/>
      <c r="V296" s="2436"/>
      <c r="W296" s="2436"/>
      <c r="X296" s="2436"/>
      <c r="Y296" s="2436"/>
      <c r="Z296" s="2436"/>
      <c r="AA296" s="2436"/>
      <c r="AB296" s="2436"/>
      <c r="AC296" s="2436"/>
      <c r="AD296" s="2437"/>
      <c r="AE296" s="643"/>
      <c r="AF296" s="552"/>
      <c r="AH296" s="552"/>
      <c r="AI296" s="552"/>
      <c r="AJ296" s="551"/>
      <c r="AK296" s="551"/>
      <c r="AL296" s="551"/>
      <c r="AM296" s="551"/>
      <c r="AN296" s="73"/>
      <c r="AO296" s="14"/>
      <c r="AP296" s="551"/>
      <c r="AS296" s="571"/>
      <c r="AT296" s="571"/>
      <c r="AU296" s="571"/>
      <c r="AV296" s="32"/>
      <c r="AW296" s="32"/>
    </row>
    <row r="297" spans="1:49" ht="12.75" customHeight="1">
      <c r="A297" s="551"/>
      <c r="B297" s="552"/>
      <c r="C297" s="551"/>
      <c r="D297" s="552"/>
      <c r="E297" s="551"/>
      <c r="F297" s="2435" t="s">
        <v>1383</v>
      </c>
      <c r="G297" s="2436"/>
      <c r="H297" s="2436"/>
      <c r="I297" s="2436"/>
      <c r="J297" s="2436"/>
      <c r="K297" s="2436"/>
      <c r="L297" s="2436"/>
      <c r="M297" s="2436"/>
      <c r="N297" s="2436"/>
      <c r="O297" s="2436"/>
      <c r="P297" s="2436"/>
      <c r="Q297" s="2436"/>
      <c r="R297" s="2436"/>
      <c r="S297" s="2436"/>
      <c r="T297" s="2436"/>
      <c r="U297" s="2436"/>
      <c r="V297" s="2436"/>
      <c r="W297" s="2436"/>
      <c r="X297" s="2436"/>
      <c r="Y297" s="2436"/>
      <c r="Z297" s="2436"/>
      <c r="AA297" s="2436"/>
      <c r="AB297" s="2436"/>
      <c r="AC297" s="2436"/>
      <c r="AD297" s="2437"/>
      <c r="AE297" s="643"/>
      <c r="AF297" s="552"/>
      <c r="AG297" s="552"/>
      <c r="AH297" s="552"/>
      <c r="AI297" s="552"/>
      <c r="AJ297" s="551"/>
      <c r="AK297" s="551"/>
      <c r="AL297" s="551"/>
      <c r="AM297" s="551"/>
      <c r="AN297" s="73"/>
      <c r="AO297" s="14"/>
      <c r="AS297" s="571"/>
      <c r="AT297" s="571"/>
      <c r="AU297" s="571"/>
      <c r="AV297" s="32"/>
      <c r="AW297" s="32"/>
    </row>
    <row r="298" spans="1:49" ht="15" customHeight="1">
      <c r="A298" s="551"/>
      <c r="B298" s="552"/>
      <c r="C298" s="552"/>
      <c r="D298" s="552"/>
      <c r="E298" s="552"/>
      <c r="F298" s="2435"/>
      <c r="G298" s="2436"/>
      <c r="H298" s="2436"/>
      <c r="I298" s="2436"/>
      <c r="J298" s="2436"/>
      <c r="K298" s="2436"/>
      <c r="L298" s="2436"/>
      <c r="M298" s="2436"/>
      <c r="N298" s="2436"/>
      <c r="O298" s="2436"/>
      <c r="P298" s="2436"/>
      <c r="Q298" s="2436"/>
      <c r="R298" s="2436"/>
      <c r="S298" s="2436"/>
      <c r="T298" s="2436"/>
      <c r="U298" s="2436"/>
      <c r="V298" s="2436"/>
      <c r="W298" s="2436"/>
      <c r="X298" s="2436"/>
      <c r="Y298" s="2436"/>
      <c r="Z298" s="2436"/>
      <c r="AA298" s="2436"/>
      <c r="AB298" s="2436"/>
      <c r="AC298" s="2436"/>
      <c r="AD298" s="2437"/>
      <c r="AE298" s="643"/>
      <c r="AF298" s="552"/>
      <c r="AG298" s="552"/>
      <c r="AH298" s="552"/>
      <c r="AI298" s="552"/>
      <c r="AJ298" s="551"/>
      <c r="AK298" s="551"/>
      <c r="AL298" s="551"/>
      <c r="AM298" s="551"/>
      <c r="AN298" s="73"/>
      <c r="AO298" s="14"/>
      <c r="AS298" s="571"/>
      <c r="AT298" s="571"/>
      <c r="AU298" s="571"/>
      <c r="AV298" s="32"/>
      <c r="AW298" s="32"/>
    </row>
    <row r="299" spans="1:49" ht="12.75" customHeight="1">
      <c r="A299" s="551"/>
      <c r="B299" s="552"/>
      <c r="C299" s="552"/>
      <c r="D299" s="552"/>
      <c r="E299" s="552"/>
      <c r="F299" s="2435" t="s">
        <v>1384</v>
      </c>
      <c r="G299" s="2436"/>
      <c r="H299" s="2436"/>
      <c r="I299" s="2436"/>
      <c r="J299" s="2436"/>
      <c r="K299" s="2436"/>
      <c r="L299" s="2436"/>
      <c r="M299" s="2436"/>
      <c r="N299" s="2436"/>
      <c r="O299" s="2436"/>
      <c r="P299" s="2436"/>
      <c r="Q299" s="2436"/>
      <c r="R299" s="2436"/>
      <c r="S299" s="2436"/>
      <c r="T299" s="2436"/>
      <c r="U299" s="2436"/>
      <c r="V299" s="2436"/>
      <c r="W299" s="2436"/>
      <c r="X299" s="2436"/>
      <c r="Y299" s="2436"/>
      <c r="Z299" s="2436"/>
      <c r="AA299" s="2436"/>
      <c r="AB299" s="2436"/>
      <c r="AC299" s="2436"/>
      <c r="AD299" s="2437"/>
      <c r="AE299" s="644"/>
      <c r="AF299" s="552"/>
      <c r="AG299" s="552"/>
      <c r="AH299" s="552"/>
      <c r="AI299" s="552"/>
      <c r="AJ299" s="551"/>
      <c r="AK299" s="551"/>
      <c r="AL299" s="551"/>
      <c r="AM299" s="551"/>
      <c r="AN299" s="73"/>
      <c r="AO299" s="14"/>
      <c r="AP299" s="551"/>
      <c r="AS299" s="571"/>
      <c r="AT299" s="571"/>
      <c r="AU299" s="571"/>
      <c r="AV299" s="32"/>
      <c r="AW299" s="32"/>
    </row>
    <row r="300" spans="1:49">
      <c r="A300" s="551"/>
      <c r="B300" s="552"/>
      <c r="C300" s="552"/>
      <c r="D300" s="552"/>
      <c r="E300" s="552"/>
      <c r="F300" s="2438"/>
      <c r="G300" s="2439"/>
      <c r="H300" s="2439"/>
      <c r="I300" s="2439"/>
      <c r="J300" s="2439"/>
      <c r="K300" s="2439"/>
      <c r="L300" s="2439"/>
      <c r="M300" s="2439"/>
      <c r="N300" s="2439"/>
      <c r="O300" s="2439"/>
      <c r="P300" s="2439"/>
      <c r="Q300" s="2439"/>
      <c r="R300" s="2439"/>
      <c r="S300" s="2439"/>
      <c r="T300" s="2439"/>
      <c r="U300" s="2439"/>
      <c r="V300" s="2439"/>
      <c r="W300" s="2439"/>
      <c r="X300" s="2439"/>
      <c r="Y300" s="2439"/>
      <c r="Z300" s="2439"/>
      <c r="AA300" s="2439"/>
      <c r="AB300" s="2439"/>
      <c r="AC300" s="2439"/>
      <c r="AD300" s="2440"/>
      <c r="AE300" s="644"/>
      <c r="AF300" s="552"/>
      <c r="AG300" s="552"/>
      <c r="AH300" s="552"/>
      <c r="AI300" s="552"/>
      <c r="AJ300" s="551"/>
      <c r="AK300" s="551"/>
      <c r="AL300" s="551"/>
      <c r="AM300" s="551"/>
      <c r="AN300" s="73"/>
      <c r="AO300" s="14"/>
      <c r="AP300" s="551"/>
      <c r="AS300" s="571"/>
      <c r="AT300" s="571"/>
      <c r="AU300" s="571"/>
      <c r="AV300" s="32"/>
      <c r="AW300" s="32"/>
    </row>
    <row r="301" spans="1:49">
      <c r="A301" s="551"/>
      <c r="B301" s="552"/>
      <c r="C301" s="552"/>
      <c r="D301" s="552"/>
      <c r="E301" s="552"/>
      <c r="F301" s="644"/>
      <c r="G301" s="644"/>
      <c r="H301" s="644"/>
      <c r="I301" s="644"/>
      <c r="J301" s="644"/>
      <c r="K301" s="644"/>
      <c r="L301" s="644"/>
      <c r="M301" s="644"/>
      <c r="N301" s="644"/>
      <c r="O301" s="644"/>
      <c r="P301" s="644"/>
      <c r="Q301" s="644"/>
      <c r="R301" s="644"/>
      <c r="S301" s="644"/>
      <c r="T301" s="644"/>
      <c r="U301" s="644"/>
      <c r="V301" s="644"/>
      <c r="W301" s="644"/>
      <c r="X301" s="644"/>
      <c r="Y301" s="644"/>
      <c r="Z301" s="644"/>
      <c r="AA301" s="644"/>
      <c r="AB301" s="644"/>
      <c r="AC301" s="644"/>
      <c r="AD301" s="644"/>
      <c r="AE301" s="552"/>
      <c r="AF301" s="552"/>
      <c r="AG301" s="552"/>
      <c r="AH301" s="552"/>
      <c r="AI301" s="552"/>
      <c r="AJ301" s="551"/>
      <c r="AK301" s="551"/>
      <c r="AL301" s="551"/>
      <c r="AM301" s="551"/>
      <c r="AN301" s="73"/>
      <c r="AO301" s="14"/>
      <c r="AS301" s="571"/>
      <c r="AT301" s="571"/>
      <c r="AU301" s="571"/>
      <c r="AV301" s="32"/>
      <c r="AW301" s="32"/>
    </row>
    <row r="302" spans="1:49" ht="15" customHeight="1">
      <c r="A302" s="1634" t="s">
        <v>1385</v>
      </c>
      <c r="B302" s="1634"/>
      <c r="C302" s="2413" t="s">
        <v>545</v>
      </c>
      <c r="D302" s="2413"/>
      <c r="E302" s="548"/>
      <c r="F302" s="645" t="s">
        <v>2019</v>
      </c>
      <c r="G302" s="646"/>
      <c r="H302" s="646"/>
      <c r="I302" s="646"/>
      <c r="J302" s="646"/>
      <c r="K302" s="646"/>
      <c r="L302" s="646"/>
      <c r="M302" s="646"/>
      <c r="N302" s="646"/>
      <c r="O302" s="646"/>
      <c r="P302" s="646"/>
      <c r="Q302" s="646"/>
      <c r="R302" s="646"/>
      <c r="S302" s="646"/>
      <c r="T302" s="646"/>
      <c r="U302" s="646"/>
      <c r="V302" s="646"/>
      <c r="W302" s="646"/>
      <c r="X302" s="646"/>
      <c r="Y302" s="646"/>
      <c r="Z302" s="646"/>
      <c r="AA302" s="646"/>
      <c r="AB302" s="646"/>
      <c r="AC302" s="646"/>
      <c r="AD302" s="647"/>
      <c r="AE302" s="552"/>
      <c r="AF302" s="552"/>
      <c r="AG302" s="540" t="s">
        <v>1387</v>
      </c>
      <c r="AH302" s="552"/>
      <c r="AI302" s="552"/>
      <c r="AJ302" s="551"/>
      <c r="AK302" s="551"/>
      <c r="AL302" s="551"/>
      <c r="AM302" s="551"/>
      <c r="AN302" s="648"/>
      <c r="AO302" s="14"/>
    </row>
    <row r="303" spans="1:49">
      <c r="A303" s="551"/>
      <c r="B303" s="552"/>
      <c r="C303" s="551"/>
      <c r="D303" s="552"/>
      <c r="E303" s="551"/>
      <c r="F303" s="2343" t="s">
        <v>2020</v>
      </c>
      <c r="G303" s="2344"/>
      <c r="H303" s="2344"/>
      <c r="I303" s="2344"/>
      <c r="J303" s="2344"/>
      <c r="K303" s="2344"/>
      <c r="L303" s="2344"/>
      <c r="M303" s="2344"/>
      <c r="N303" s="2344"/>
      <c r="O303" s="2344"/>
      <c r="P303" s="2344"/>
      <c r="Q303" s="2344"/>
      <c r="R303" s="2344"/>
      <c r="S303" s="2344"/>
      <c r="T303" s="2344"/>
      <c r="U303" s="2344"/>
      <c r="V303" s="2344"/>
      <c r="W303" s="2344"/>
      <c r="X303" s="2344"/>
      <c r="Y303" s="2344"/>
      <c r="Z303" s="2344"/>
      <c r="AA303" s="2344"/>
      <c r="AB303" s="2344"/>
      <c r="AC303" s="2344"/>
      <c r="AD303" s="2345"/>
      <c r="AE303" s="552"/>
      <c r="AF303" s="552"/>
      <c r="AG303" s="552"/>
      <c r="AH303" s="552"/>
      <c r="AI303" s="552"/>
      <c r="AJ303" s="551"/>
      <c r="AK303" s="551"/>
      <c r="AL303" s="551"/>
      <c r="AM303" s="551"/>
      <c r="AR303" s="649"/>
    </row>
    <row r="304" spans="1:49" ht="15" customHeight="1">
      <c r="A304" s="551"/>
      <c r="B304" s="552"/>
      <c r="C304" s="551"/>
      <c r="D304" s="552"/>
      <c r="E304" s="551"/>
      <c r="F304" s="2343"/>
      <c r="G304" s="2344"/>
      <c r="H304" s="2344"/>
      <c r="I304" s="2344"/>
      <c r="J304" s="2344"/>
      <c r="K304" s="2344"/>
      <c r="L304" s="2344"/>
      <c r="M304" s="2344"/>
      <c r="N304" s="2344"/>
      <c r="O304" s="2344"/>
      <c r="P304" s="2344"/>
      <c r="Q304" s="2344"/>
      <c r="R304" s="2344"/>
      <c r="S304" s="2344"/>
      <c r="T304" s="2344"/>
      <c r="U304" s="2344"/>
      <c r="V304" s="2344"/>
      <c r="W304" s="2344"/>
      <c r="X304" s="2344"/>
      <c r="Y304" s="2344"/>
      <c r="Z304" s="2344"/>
      <c r="AA304" s="2344"/>
      <c r="AB304" s="2344"/>
      <c r="AC304" s="2344"/>
      <c r="AD304" s="2345"/>
      <c r="AE304" s="552"/>
      <c r="AF304" s="552"/>
      <c r="AG304" s="552"/>
      <c r="AH304" s="552"/>
      <c r="AI304" s="552"/>
      <c r="AJ304" s="551"/>
      <c r="AK304" s="551"/>
      <c r="AL304" s="551"/>
      <c r="AM304" s="551"/>
      <c r="AR304" s="649"/>
    </row>
    <row r="305" spans="1:44">
      <c r="A305" s="551"/>
      <c r="B305" s="552"/>
      <c r="C305" s="551"/>
      <c r="D305" s="552"/>
      <c r="E305" s="551"/>
      <c r="F305" s="2343"/>
      <c r="G305" s="2344"/>
      <c r="H305" s="2344"/>
      <c r="I305" s="2344"/>
      <c r="J305" s="2344"/>
      <c r="K305" s="2344"/>
      <c r="L305" s="2344"/>
      <c r="M305" s="2344"/>
      <c r="N305" s="2344"/>
      <c r="O305" s="2344"/>
      <c r="P305" s="2344"/>
      <c r="Q305" s="2344"/>
      <c r="R305" s="2344"/>
      <c r="S305" s="2344"/>
      <c r="T305" s="2344"/>
      <c r="U305" s="2344"/>
      <c r="V305" s="2344"/>
      <c r="W305" s="2344"/>
      <c r="X305" s="2344"/>
      <c r="Y305" s="2344"/>
      <c r="Z305" s="2344"/>
      <c r="AA305" s="2344"/>
      <c r="AB305" s="2344"/>
      <c r="AC305" s="2344"/>
      <c r="AD305" s="2345"/>
      <c r="AE305" s="552"/>
      <c r="AF305" s="552"/>
      <c r="AG305" s="552"/>
      <c r="AH305" s="552"/>
      <c r="AI305" s="552"/>
      <c r="AJ305" s="551"/>
      <c r="AK305" s="551"/>
      <c r="AL305" s="551"/>
      <c r="AM305" s="551"/>
      <c r="AP305" s="612"/>
      <c r="AQ305" s="575"/>
      <c r="AR305" s="649"/>
    </row>
    <row r="306" spans="1:44" ht="15" customHeight="1">
      <c r="A306" s="551"/>
      <c r="B306" s="552"/>
      <c r="C306" s="551"/>
      <c r="D306" s="552"/>
      <c r="E306" s="551"/>
      <c r="F306" s="2340"/>
      <c r="G306" s="2341"/>
      <c r="H306" s="2341"/>
      <c r="I306" s="2341"/>
      <c r="J306" s="2341"/>
      <c r="K306" s="2341"/>
      <c r="L306" s="2341"/>
      <c r="M306" s="2341"/>
      <c r="N306" s="2341"/>
      <c r="O306" s="2341"/>
      <c r="P306" s="2341"/>
      <c r="Q306" s="2341"/>
      <c r="R306" s="2341"/>
      <c r="S306" s="2341"/>
      <c r="T306" s="2341"/>
      <c r="U306" s="2341"/>
      <c r="V306" s="2341"/>
      <c r="W306" s="2341"/>
      <c r="X306" s="2341"/>
      <c r="Y306" s="2341"/>
      <c r="Z306" s="2341"/>
      <c r="AA306" s="2341"/>
      <c r="AB306" s="2341"/>
      <c r="AC306" s="2341"/>
      <c r="AD306" s="2342"/>
      <c r="AE306" s="552"/>
      <c r="AF306" s="552"/>
      <c r="AG306" s="552"/>
      <c r="AH306" s="552"/>
      <c r="AI306" s="552"/>
      <c r="AJ306" s="551"/>
      <c r="AK306" s="551"/>
      <c r="AL306" s="551"/>
      <c r="AM306" s="551"/>
      <c r="AP306" s="612"/>
      <c r="AQ306" s="575"/>
      <c r="AR306" s="649"/>
    </row>
    <row r="307" spans="1:44">
      <c r="A307" s="551"/>
      <c r="B307" s="552"/>
      <c r="C307" s="552"/>
      <c r="D307" s="552"/>
      <c r="E307" s="552"/>
      <c r="F307" s="552"/>
      <c r="G307" s="552"/>
      <c r="H307" s="552"/>
      <c r="I307" s="552"/>
      <c r="J307" s="552"/>
      <c r="K307" s="552"/>
      <c r="L307" s="552"/>
      <c r="M307" s="552"/>
      <c r="N307" s="552"/>
      <c r="O307" s="552"/>
      <c r="P307" s="552"/>
      <c r="Q307" s="552"/>
      <c r="R307" s="552"/>
      <c r="S307" s="552"/>
      <c r="T307" s="552"/>
      <c r="U307" s="552"/>
      <c r="V307" s="552"/>
      <c r="W307" s="552"/>
      <c r="X307" s="552"/>
      <c r="Y307" s="552"/>
      <c r="Z307" s="552"/>
      <c r="AA307" s="552"/>
      <c r="AB307" s="552"/>
      <c r="AC307" s="552"/>
      <c r="AD307" s="552"/>
      <c r="AE307" s="552"/>
      <c r="AF307" s="552"/>
      <c r="AG307" s="552"/>
      <c r="AH307" s="552"/>
      <c r="AI307" s="552"/>
      <c r="AJ307" s="551"/>
      <c r="AK307" s="551"/>
      <c r="AL307" s="551"/>
      <c r="AM307" s="551"/>
      <c r="AP307" s="612"/>
      <c r="AQ307" s="575"/>
      <c r="AR307" s="649"/>
    </row>
    <row r="308" spans="1:44" hidden="1">
      <c r="A308" s="551"/>
      <c r="B308" s="552"/>
      <c r="C308" s="552"/>
      <c r="D308" s="552"/>
      <c r="E308" s="552"/>
      <c r="F308" s="552"/>
      <c r="G308" s="552"/>
      <c r="H308" s="552"/>
      <c r="I308" s="552"/>
      <c r="J308" s="552"/>
      <c r="K308" s="552"/>
      <c r="L308" s="552"/>
      <c r="M308" s="552"/>
      <c r="N308" s="552"/>
      <c r="O308" s="552"/>
      <c r="P308" s="552"/>
      <c r="Q308" s="552"/>
      <c r="R308" s="552"/>
      <c r="S308" s="552"/>
      <c r="T308" s="552"/>
      <c r="U308" s="552"/>
      <c r="V308" s="552"/>
      <c r="W308" s="552"/>
      <c r="X308" s="552"/>
      <c r="Y308" s="552"/>
      <c r="Z308" s="552"/>
      <c r="AA308" s="552"/>
      <c r="AB308" s="552"/>
      <c r="AC308" s="552"/>
      <c r="AD308" s="552"/>
      <c r="AE308" s="552"/>
      <c r="AF308" s="552"/>
      <c r="AG308" s="552"/>
      <c r="AH308" s="552"/>
      <c r="AI308" s="552"/>
      <c r="AJ308" s="551"/>
      <c r="AK308" s="551"/>
      <c r="AL308" s="551"/>
      <c r="AM308" s="551"/>
      <c r="AP308" s="612"/>
      <c r="AQ308" s="575"/>
      <c r="AR308" s="649"/>
    </row>
    <row r="309" spans="1:44" hidden="1">
      <c r="A309" s="551"/>
      <c r="B309" s="552"/>
      <c r="C309" s="552"/>
      <c r="D309" s="552"/>
      <c r="E309" s="552"/>
      <c r="F309" s="552"/>
      <c r="G309" s="552"/>
      <c r="H309" s="552"/>
      <c r="I309" s="552"/>
      <c r="J309" s="552"/>
      <c r="K309" s="552"/>
      <c r="L309" s="552"/>
      <c r="M309" s="552"/>
      <c r="N309" s="552"/>
      <c r="O309" s="552"/>
      <c r="P309" s="552"/>
      <c r="Q309" s="552"/>
      <c r="R309" s="552"/>
      <c r="S309" s="552"/>
      <c r="T309" s="552"/>
      <c r="U309" s="552"/>
      <c r="V309" s="552"/>
      <c r="W309" s="552"/>
      <c r="X309" s="552"/>
      <c r="Y309" s="552"/>
      <c r="Z309" s="552"/>
      <c r="AA309" s="552"/>
      <c r="AB309" s="552"/>
      <c r="AC309" s="552"/>
      <c r="AD309" s="552"/>
      <c r="AE309" s="552"/>
      <c r="AF309" s="552"/>
      <c r="AG309" s="552"/>
      <c r="AH309" s="552"/>
      <c r="AI309" s="552"/>
      <c r="AJ309" s="551"/>
      <c r="AK309" s="551"/>
      <c r="AL309" s="551"/>
      <c r="AM309" s="551"/>
      <c r="AN309" s="73"/>
      <c r="AO309" s="14"/>
    </row>
    <row r="310" spans="1:44" hidden="1">
      <c r="A310" s="1634" t="s">
        <v>1388</v>
      </c>
      <c r="B310" s="1634"/>
      <c r="C310" s="2413" t="s">
        <v>591</v>
      </c>
      <c r="D310" s="2413"/>
      <c r="E310" s="548"/>
      <c r="F310" s="645" t="s">
        <v>1386</v>
      </c>
      <c r="G310" s="650"/>
      <c r="H310" s="650"/>
      <c r="I310" s="650"/>
      <c r="J310" s="650"/>
      <c r="K310" s="650"/>
      <c r="L310" s="650"/>
      <c r="M310" s="650"/>
      <c r="N310" s="650"/>
      <c r="O310" s="650"/>
      <c r="P310" s="650"/>
      <c r="Q310" s="650"/>
      <c r="R310" s="650"/>
      <c r="S310" s="650"/>
      <c r="T310" s="650"/>
      <c r="U310" s="650"/>
      <c r="V310" s="650"/>
      <c r="W310" s="650"/>
      <c r="X310" s="650"/>
      <c r="Y310" s="650"/>
      <c r="Z310" s="650"/>
      <c r="AA310" s="650"/>
      <c r="AB310" s="650"/>
      <c r="AC310" s="650"/>
      <c r="AD310" s="651"/>
      <c r="AE310" s="552"/>
      <c r="AF310" s="552"/>
      <c r="AG310" s="540" t="s">
        <v>1387</v>
      </c>
      <c r="AH310" s="552"/>
      <c r="AI310" s="552"/>
      <c r="AJ310" s="551"/>
      <c r="AK310" s="551"/>
      <c r="AL310" s="551"/>
      <c r="AM310" s="551"/>
      <c r="AN310" s="73"/>
      <c r="AO310" s="14"/>
    </row>
    <row r="311" spans="1:44" hidden="1">
      <c r="A311" s="89"/>
      <c r="B311" s="89"/>
      <c r="C311" s="731"/>
      <c r="D311" s="731"/>
      <c r="E311" s="548"/>
      <c r="F311" s="2435" t="s">
        <v>2027</v>
      </c>
      <c r="G311" s="2436"/>
      <c r="H311" s="2436"/>
      <c r="I311" s="2436"/>
      <c r="J311" s="2436"/>
      <c r="K311" s="2436"/>
      <c r="L311" s="2436"/>
      <c r="M311" s="2436"/>
      <c r="N311" s="2436"/>
      <c r="O311" s="2436"/>
      <c r="P311" s="2436"/>
      <c r="Q311" s="2436"/>
      <c r="R311" s="2436"/>
      <c r="S311" s="2436"/>
      <c r="T311" s="2436"/>
      <c r="U311" s="2436"/>
      <c r="V311" s="2436"/>
      <c r="W311" s="2436"/>
      <c r="X311" s="2436"/>
      <c r="Y311" s="2436"/>
      <c r="Z311" s="2436"/>
      <c r="AA311" s="2436"/>
      <c r="AB311" s="2436"/>
      <c r="AC311" s="2436"/>
      <c r="AD311" s="2437"/>
      <c r="AE311" s="552"/>
      <c r="AF311" s="552"/>
      <c r="AG311" s="540"/>
      <c r="AH311" s="552"/>
      <c r="AI311" s="552"/>
      <c r="AJ311" s="551"/>
      <c r="AK311" s="551"/>
      <c r="AL311" s="551"/>
      <c r="AM311" s="551"/>
      <c r="AN311" s="73"/>
      <c r="AO311" s="14"/>
      <c r="AP311" s="558" t="s">
        <v>1183</v>
      </c>
    </row>
    <row r="312" spans="1:44" hidden="1">
      <c r="F312" s="2435"/>
      <c r="G312" s="2436"/>
      <c r="H312" s="2436"/>
      <c r="I312" s="2436"/>
      <c r="J312" s="2436"/>
      <c r="K312" s="2436"/>
      <c r="L312" s="2436"/>
      <c r="M312" s="2436"/>
      <c r="N312" s="2436"/>
      <c r="O312" s="2436"/>
      <c r="P312" s="2436"/>
      <c r="Q312" s="2436"/>
      <c r="R312" s="2436"/>
      <c r="S312" s="2436"/>
      <c r="T312" s="2436"/>
      <c r="U312" s="2436"/>
      <c r="V312" s="2436"/>
      <c r="W312" s="2436"/>
      <c r="X312" s="2436"/>
      <c r="Y312" s="2436"/>
      <c r="Z312" s="2436"/>
      <c r="AA312" s="2436"/>
      <c r="AB312" s="2436"/>
      <c r="AC312" s="2436"/>
      <c r="AD312" s="2437"/>
      <c r="AE312" s="552"/>
      <c r="AF312" s="552"/>
      <c r="AH312" s="552"/>
      <c r="AI312" s="552"/>
      <c r="AJ312" s="551"/>
      <c r="AK312" s="551"/>
      <c r="AL312" s="551"/>
      <c r="AM312" s="551"/>
      <c r="AN312" s="73"/>
      <c r="AO312" s="14"/>
      <c r="AP312" s="558" t="s">
        <v>1729</v>
      </c>
    </row>
    <row r="313" spans="1:44" hidden="1">
      <c r="A313" s="551"/>
      <c r="B313" s="552"/>
      <c r="C313" s="731"/>
      <c r="D313" s="731"/>
      <c r="E313" s="548"/>
      <c r="F313" s="653" t="s">
        <v>1389</v>
      </c>
      <c r="G313" s="664"/>
      <c r="H313" s="664"/>
      <c r="I313" s="664"/>
      <c r="J313" s="664"/>
      <c r="K313" s="664"/>
      <c r="L313" s="664"/>
      <c r="M313" s="664"/>
      <c r="N313" s="664"/>
      <c r="O313" s="664"/>
      <c r="P313" s="664"/>
      <c r="Q313" s="664"/>
      <c r="R313" s="664"/>
      <c r="S313" s="664"/>
      <c r="T313" s="664"/>
      <c r="U313" s="664"/>
      <c r="V313" s="664"/>
      <c r="W313" s="664"/>
      <c r="X313" s="664"/>
      <c r="Y313" s="664"/>
      <c r="Z313" s="664"/>
      <c r="AA313" s="664"/>
      <c r="AB313" s="664"/>
      <c r="AC313" s="664"/>
      <c r="AD313" s="1021"/>
      <c r="AE313" s="552"/>
      <c r="AF313" s="552"/>
      <c r="AG313" s="540"/>
      <c r="AH313" s="552"/>
      <c r="AI313" s="552"/>
      <c r="AJ313" s="551"/>
      <c r="AK313" s="551"/>
      <c r="AL313" s="551"/>
      <c r="AM313" s="551"/>
      <c r="AN313" s="73"/>
      <c r="AO313" s="14"/>
      <c r="AP313" s="558" t="s">
        <v>1731</v>
      </c>
    </row>
    <row r="314" spans="1:44" hidden="1">
      <c r="A314" s="551"/>
      <c r="B314" s="552"/>
      <c r="C314" s="731"/>
      <c r="D314" s="731"/>
      <c r="E314" s="548"/>
      <c r="F314" s="653"/>
      <c r="G314" s="664"/>
      <c r="H314" s="664"/>
      <c r="I314" s="664"/>
      <c r="J314" s="664"/>
      <c r="K314" s="664"/>
      <c r="L314" s="664"/>
      <c r="M314" s="664"/>
      <c r="N314" s="664"/>
      <c r="O314" s="664"/>
      <c r="P314" s="664"/>
      <c r="Q314" s="664"/>
      <c r="R314" s="664"/>
      <c r="S314" s="664"/>
      <c r="T314" s="664"/>
      <c r="U314" s="664"/>
      <c r="V314" s="664"/>
      <c r="W314" s="664"/>
      <c r="X314" s="664"/>
      <c r="Y314" s="664"/>
      <c r="Z314" s="664"/>
      <c r="AA314" s="664"/>
      <c r="AB314" s="664"/>
      <c r="AC314" s="664"/>
      <c r="AD314" s="1021"/>
      <c r="AE314" s="552"/>
      <c r="AF314" s="552"/>
      <c r="AG314" s="540"/>
      <c r="AH314" s="552"/>
      <c r="AI314" s="552"/>
      <c r="AJ314" s="551"/>
      <c r="AK314" s="551"/>
      <c r="AL314" s="551"/>
      <c r="AM314" s="551"/>
      <c r="AN314" s="73"/>
      <c r="AO314" s="14"/>
      <c r="AP314" s="558" t="s">
        <v>1855</v>
      </c>
    </row>
    <row r="315" spans="1:44" ht="12.75" hidden="1" customHeight="1">
      <c r="A315" s="551"/>
      <c r="B315" s="552"/>
      <c r="C315" s="731"/>
      <c r="D315" s="731"/>
      <c r="E315" s="548"/>
      <c r="F315" s="653"/>
      <c r="G315" s="643"/>
      <c r="H315" s="643"/>
      <c r="I315" s="643"/>
      <c r="J315" s="643"/>
      <c r="K315" s="643"/>
      <c r="L315" s="643"/>
      <c r="M315" s="643"/>
      <c r="N315" s="643"/>
      <c r="O315" s="643"/>
      <c r="P315" s="643"/>
      <c r="Q315" s="643"/>
      <c r="R315" s="643"/>
      <c r="S315" s="643"/>
      <c r="T315" s="643"/>
      <c r="U315" s="643"/>
      <c r="V315" s="643"/>
      <c r="W315" s="643"/>
      <c r="X315" s="643"/>
      <c r="Y315" s="643"/>
      <c r="Z315" s="643"/>
      <c r="AA315" s="643"/>
      <c r="AB315" s="643"/>
      <c r="AC315" s="643"/>
      <c r="AD315" s="654"/>
      <c r="AE315" s="552"/>
      <c r="AF315" s="552"/>
      <c r="AG315" s="540"/>
      <c r="AH315" s="552"/>
      <c r="AI315" s="552"/>
      <c r="AJ315" s="551"/>
      <c r="AK315" s="551"/>
      <c r="AL315" s="551"/>
      <c r="AM315" s="551"/>
      <c r="AN315" s="73"/>
      <c r="AO315" s="14"/>
      <c r="AP315" s="30"/>
    </row>
    <row r="316" spans="1:44" ht="12.75" hidden="1" customHeight="1">
      <c r="A316" s="551"/>
      <c r="B316" s="552"/>
      <c r="C316" s="731"/>
      <c r="D316" s="731"/>
      <c r="E316" s="548"/>
      <c r="F316" s="2445" t="s">
        <v>1183</v>
      </c>
      <c r="G316" s="2446"/>
      <c r="H316" s="2446"/>
      <c r="I316" s="2446"/>
      <c r="J316" s="2446"/>
      <c r="K316" s="2446"/>
      <c r="L316" s="2446"/>
      <c r="M316" s="2446"/>
      <c r="N316" s="2446"/>
      <c r="O316" s="2446"/>
      <c r="P316" s="2446"/>
      <c r="Q316" s="2446"/>
      <c r="R316" s="2446"/>
      <c r="S316" s="2446"/>
      <c r="T316" s="2446"/>
      <c r="U316" s="2446"/>
      <c r="V316" s="2446"/>
      <c r="W316" s="2446"/>
      <c r="X316" s="2446"/>
      <c r="Y316" s="2446"/>
      <c r="Z316" s="2446"/>
      <c r="AA316" s="2446"/>
      <c r="AB316" s="2446"/>
      <c r="AC316" s="2446"/>
      <c r="AD316" s="2447"/>
      <c r="AE316" s="643"/>
      <c r="AF316" s="643"/>
      <c r="AG316" s="643"/>
      <c r="AH316" s="643"/>
      <c r="AI316" s="643"/>
      <c r="AJ316" s="643"/>
      <c r="AK316" s="643"/>
      <c r="AL316" s="551"/>
      <c r="AM316" s="551"/>
      <c r="AN316" s="73"/>
      <c r="AO316" s="14"/>
      <c r="AP316" s="30"/>
    </row>
    <row r="317" spans="1:44" hidden="1">
      <c r="A317" s="551"/>
      <c r="B317" s="552"/>
      <c r="C317" s="731"/>
      <c r="D317" s="731"/>
      <c r="E317" s="548"/>
      <c r="F317" s="2445"/>
      <c r="G317" s="2446"/>
      <c r="H317" s="2446"/>
      <c r="I317" s="2446"/>
      <c r="J317" s="2446"/>
      <c r="K317" s="2446"/>
      <c r="L317" s="2446"/>
      <c r="M317" s="2446"/>
      <c r="N317" s="2446"/>
      <c r="O317" s="2446"/>
      <c r="P317" s="2446"/>
      <c r="Q317" s="2446"/>
      <c r="R317" s="2446"/>
      <c r="S317" s="2446"/>
      <c r="T317" s="2446"/>
      <c r="U317" s="2446"/>
      <c r="V317" s="2446"/>
      <c r="W317" s="2446"/>
      <c r="X317" s="2446"/>
      <c r="Y317" s="2446"/>
      <c r="Z317" s="2446"/>
      <c r="AA317" s="2446"/>
      <c r="AB317" s="2446"/>
      <c r="AC317" s="2446"/>
      <c r="AD317" s="2447"/>
      <c r="AE317" s="552"/>
      <c r="AF317" s="552"/>
      <c r="AG317" s="540"/>
      <c r="AH317" s="552"/>
      <c r="AI317" s="552"/>
      <c r="AJ317" s="551"/>
      <c r="AK317" s="551"/>
      <c r="AL317" s="551"/>
      <c r="AM317" s="551"/>
      <c r="AN317" s="73"/>
      <c r="AO317" s="14"/>
      <c r="AP317" s="30"/>
    </row>
    <row r="318" spans="1:44" hidden="1">
      <c r="A318" s="551"/>
      <c r="B318" s="552"/>
      <c r="C318" s="731"/>
      <c r="D318" s="731"/>
      <c r="E318" s="548"/>
      <c r="F318" s="2445"/>
      <c r="G318" s="2446"/>
      <c r="H318" s="2446"/>
      <c r="I318" s="2446"/>
      <c r="J318" s="2446"/>
      <c r="K318" s="2446"/>
      <c r="L318" s="2446"/>
      <c r="M318" s="2446"/>
      <c r="N318" s="2446"/>
      <c r="O318" s="2446"/>
      <c r="P318" s="2446"/>
      <c r="Q318" s="2446"/>
      <c r="R318" s="2446"/>
      <c r="S318" s="2446"/>
      <c r="T318" s="2446"/>
      <c r="U318" s="2446"/>
      <c r="V318" s="2446"/>
      <c r="W318" s="2446"/>
      <c r="X318" s="2446"/>
      <c r="Y318" s="2446"/>
      <c r="Z318" s="2446"/>
      <c r="AA318" s="2446"/>
      <c r="AB318" s="2446"/>
      <c r="AC318" s="2446"/>
      <c r="AD318" s="2447"/>
      <c r="AE318" s="552"/>
      <c r="AF318" s="552"/>
      <c r="AG318" s="540"/>
      <c r="AH318" s="552"/>
      <c r="AI318" s="552"/>
      <c r="AJ318" s="551"/>
      <c r="AK318" s="551"/>
      <c r="AL318" s="551"/>
      <c r="AM318" s="551"/>
      <c r="AN318" s="73"/>
      <c r="AO318" s="14"/>
      <c r="AP318" s="30"/>
    </row>
    <row r="319" spans="1:44" hidden="1">
      <c r="A319" s="551"/>
      <c r="B319" s="552"/>
      <c r="C319" s="731"/>
      <c r="D319" s="731"/>
      <c r="E319" s="548"/>
      <c r="F319" s="2445"/>
      <c r="G319" s="2446"/>
      <c r="H319" s="2446"/>
      <c r="I319" s="2446"/>
      <c r="J319" s="2446"/>
      <c r="K319" s="2446"/>
      <c r="L319" s="2446"/>
      <c r="M319" s="2446"/>
      <c r="N319" s="2446"/>
      <c r="O319" s="2446"/>
      <c r="P319" s="2446"/>
      <c r="Q319" s="2446"/>
      <c r="R319" s="2446"/>
      <c r="S319" s="2446"/>
      <c r="T319" s="2446"/>
      <c r="U319" s="2446"/>
      <c r="V319" s="2446"/>
      <c r="W319" s="2446"/>
      <c r="X319" s="2446"/>
      <c r="Y319" s="2446"/>
      <c r="Z319" s="2446"/>
      <c r="AA319" s="2446"/>
      <c r="AB319" s="2446"/>
      <c r="AC319" s="2446"/>
      <c r="AD319" s="2447"/>
      <c r="AE319" s="552"/>
      <c r="AF319" s="552"/>
      <c r="AG319" s="540"/>
      <c r="AH319" s="552"/>
      <c r="AI319" s="552"/>
      <c r="AJ319" s="551"/>
      <c r="AK319" s="551"/>
      <c r="AL319" s="551"/>
      <c r="AM319" s="551"/>
      <c r="AN319" s="73"/>
      <c r="AO319" s="14"/>
      <c r="AP319" s="30"/>
    </row>
    <row r="320" spans="1:44" hidden="1">
      <c r="A320" s="551"/>
      <c r="B320" s="552"/>
      <c r="C320" s="731"/>
      <c r="D320" s="731"/>
      <c r="E320" s="548"/>
      <c r="F320" s="2448"/>
      <c r="G320" s="2449"/>
      <c r="H320" s="2449"/>
      <c r="I320" s="2449"/>
      <c r="J320" s="2449"/>
      <c r="K320" s="2449"/>
      <c r="L320" s="2449"/>
      <c r="M320" s="2449"/>
      <c r="N320" s="2449"/>
      <c r="O320" s="2449"/>
      <c r="P320" s="2449"/>
      <c r="Q320" s="2449"/>
      <c r="R320" s="2449"/>
      <c r="S320" s="2449"/>
      <c r="T320" s="2449"/>
      <c r="U320" s="2449"/>
      <c r="V320" s="2449"/>
      <c r="W320" s="2449"/>
      <c r="X320" s="2449"/>
      <c r="Y320" s="2449"/>
      <c r="Z320" s="2449"/>
      <c r="AA320" s="2449"/>
      <c r="AB320" s="2449"/>
      <c r="AC320" s="2449"/>
      <c r="AD320" s="2450"/>
      <c r="AE320" s="552"/>
      <c r="AF320" s="552"/>
      <c r="AG320" s="540"/>
      <c r="AH320" s="552"/>
      <c r="AI320" s="552"/>
      <c r="AJ320" s="551"/>
      <c r="AK320" s="551"/>
      <c r="AL320" s="551"/>
      <c r="AM320" s="551"/>
      <c r="AN320" s="73"/>
      <c r="AO320" s="14"/>
      <c r="AP320" s="30"/>
    </row>
    <row r="321" spans="1:42" hidden="1">
      <c r="A321" s="551"/>
      <c r="B321" s="552"/>
      <c r="C321" s="731"/>
      <c r="D321" s="731"/>
      <c r="E321" s="548"/>
      <c r="F321" s="976"/>
      <c r="G321" s="643"/>
      <c r="H321" s="643"/>
      <c r="I321" s="643"/>
      <c r="J321" s="643"/>
      <c r="K321" s="643"/>
      <c r="L321" s="643"/>
      <c r="M321" s="643"/>
      <c r="N321" s="643"/>
      <c r="O321" s="643"/>
      <c r="P321" s="643"/>
      <c r="Q321" s="643"/>
      <c r="R321" s="643"/>
      <c r="S321" s="643"/>
      <c r="T321" s="643"/>
      <c r="U321" s="643"/>
      <c r="V321" s="643"/>
      <c r="W321" s="643"/>
      <c r="X321" s="643"/>
      <c r="Y321" s="643"/>
      <c r="Z321" s="643"/>
      <c r="AA321" s="643"/>
      <c r="AB321" s="643"/>
      <c r="AC321" s="643"/>
      <c r="AD321" s="654"/>
      <c r="AE321" s="552"/>
      <c r="AF321" s="552"/>
      <c r="AG321" s="540"/>
      <c r="AH321" s="552"/>
      <c r="AI321" s="552"/>
      <c r="AJ321" s="551"/>
      <c r="AK321" s="551"/>
      <c r="AL321" s="551"/>
      <c r="AM321" s="551"/>
      <c r="AN321" s="73"/>
      <c r="AO321" s="14"/>
      <c r="AP321" s="30"/>
    </row>
    <row r="322" spans="1:42" hidden="1">
      <c r="A322" s="551"/>
      <c r="B322" s="552"/>
      <c r="C322" s="731"/>
      <c r="D322" s="731"/>
      <c r="E322" s="548"/>
      <c r="F322" s="655" t="s">
        <v>1730</v>
      </c>
      <c r="G322" s="552"/>
      <c r="H322" s="552"/>
      <c r="I322" s="552"/>
      <c r="J322" s="552"/>
      <c r="K322" s="552"/>
      <c r="L322" s="552"/>
      <c r="M322" s="552"/>
      <c r="N322" s="552"/>
      <c r="O322" s="552"/>
      <c r="P322" s="552"/>
      <c r="Q322" s="552"/>
      <c r="R322" s="552"/>
      <c r="S322" s="552"/>
      <c r="T322" s="552"/>
      <c r="U322" s="552"/>
      <c r="V322" s="552"/>
      <c r="W322" s="552"/>
      <c r="X322" s="552"/>
      <c r="Y322" s="552"/>
      <c r="Z322" s="552"/>
      <c r="AA322" s="552"/>
      <c r="AB322" s="552"/>
      <c r="AC322" s="552"/>
      <c r="AD322" s="656"/>
      <c r="AE322" s="552"/>
      <c r="AF322" s="552"/>
      <c r="AG322" s="540"/>
      <c r="AH322" s="552"/>
      <c r="AI322" s="552"/>
      <c r="AJ322" s="551"/>
      <c r="AK322" s="551"/>
      <c r="AL322" s="551"/>
      <c r="AM322" s="551"/>
      <c r="AN322" s="73"/>
      <c r="AO322" s="14"/>
      <c r="AP322" s="30"/>
    </row>
    <row r="323" spans="1:42" hidden="1">
      <c r="A323" s="551"/>
      <c r="B323" s="552"/>
      <c r="C323" s="731"/>
      <c r="D323" s="731"/>
      <c r="E323" s="548"/>
      <c r="F323" s="655"/>
      <c r="G323" s="552"/>
      <c r="H323" s="552"/>
      <c r="I323" s="552"/>
      <c r="J323" s="552"/>
      <c r="K323" s="552"/>
      <c r="L323" s="552"/>
      <c r="M323" s="552"/>
      <c r="N323" s="552"/>
      <c r="O323" s="552"/>
      <c r="P323" s="552"/>
      <c r="Q323" s="552"/>
      <c r="R323" s="552"/>
      <c r="S323" s="552"/>
      <c r="T323" s="552"/>
      <c r="U323" s="552"/>
      <c r="V323" s="552"/>
      <c r="W323" s="552"/>
      <c r="X323" s="552"/>
      <c r="Y323" s="552"/>
      <c r="Z323" s="552"/>
      <c r="AA323" s="552"/>
      <c r="AB323" s="552"/>
      <c r="AC323" s="552"/>
      <c r="AD323" s="656"/>
      <c r="AE323" s="552"/>
      <c r="AF323" s="552"/>
      <c r="AG323" s="540"/>
      <c r="AH323" s="552"/>
      <c r="AI323" s="552"/>
      <c r="AJ323" s="551"/>
      <c r="AK323" s="551"/>
      <c r="AL323" s="551"/>
      <c r="AM323" s="551"/>
      <c r="AN323" s="73"/>
      <c r="AO323" s="14"/>
      <c r="AP323" s="558" t="s">
        <v>1183</v>
      </c>
    </row>
    <row r="324" spans="1:42" ht="12.75" hidden="1" customHeight="1">
      <c r="A324" s="551"/>
      <c r="B324" s="552"/>
      <c r="C324" s="731"/>
      <c r="D324" s="731"/>
      <c r="E324" s="548"/>
      <c r="F324" s="657"/>
      <c r="G324" s="576" t="s">
        <v>687</v>
      </c>
      <c r="H324" s="576"/>
      <c r="I324" s="2451" t="s">
        <v>1183</v>
      </c>
      <c r="J324" s="2451"/>
      <c r="K324" s="2451"/>
      <c r="L324" s="2451"/>
      <c r="M324" s="2451"/>
      <c r="N324" s="2451"/>
      <c r="O324" s="2451"/>
      <c r="P324" s="2451"/>
      <c r="Q324" s="2451"/>
      <c r="R324" s="2451"/>
      <c r="S324" s="2451"/>
      <c r="T324" s="2451"/>
      <c r="U324" s="2451"/>
      <c r="V324" s="2451"/>
      <c r="W324" s="2451"/>
      <c r="X324" s="2451"/>
      <c r="Y324" s="2451"/>
      <c r="Z324" s="2451"/>
      <c r="AA324" s="2451"/>
      <c r="AB324" s="2451"/>
      <c r="AC324" s="2451"/>
      <c r="AD324" s="2452"/>
      <c r="AE324" s="552"/>
      <c r="AF324" s="552"/>
      <c r="AG324" s="540"/>
      <c r="AH324" s="552"/>
      <c r="AI324" s="552"/>
      <c r="AJ324" s="551"/>
      <c r="AK324" s="551"/>
      <c r="AL324" s="551"/>
      <c r="AM324" s="551"/>
      <c r="AN324" s="73"/>
      <c r="AO324" s="14"/>
      <c r="AP324" s="558" t="s">
        <v>1636</v>
      </c>
    </row>
    <row r="325" spans="1:42" hidden="1">
      <c r="A325" s="551"/>
      <c r="B325" s="552"/>
      <c r="C325" s="731"/>
      <c r="D325" s="731"/>
      <c r="E325" s="548"/>
      <c r="F325" s="657"/>
      <c r="G325" s="576"/>
      <c r="H325" s="576"/>
      <c r="I325" s="2451"/>
      <c r="J325" s="2451"/>
      <c r="K325" s="2451"/>
      <c r="L325" s="2451"/>
      <c r="M325" s="2451"/>
      <c r="N325" s="2451"/>
      <c r="O325" s="2451"/>
      <c r="P325" s="2451"/>
      <c r="Q325" s="2451"/>
      <c r="R325" s="2451"/>
      <c r="S325" s="2451"/>
      <c r="T325" s="2451"/>
      <c r="U325" s="2451"/>
      <c r="V325" s="2451"/>
      <c r="W325" s="2451"/>
      <c r="X325" s="2451"/>
      <c r="Y325" s="2451"/>
      <c r="Z325" s="2451"/>
      <c r="AA325" s="2451"/>
      <c r="AB325" s="2451"/>
      <c r="AC325" s="2451"/>
      <c r="AD325" s="2452"/>
      <c r="AE325" s="552"/>
      <c r="AF325" s="552"/>
      <c r="AG325" s="540"/>
      <c r="AH325" s="552"/>
      <c r="AI325" s="552"/>
      <c r="AJ325" s="551"/>
      <c r="AK325" s="551"/>
      <c r="AL325" s="551"/>
      <c r="AM325" s="551"/>
      <c r="AN325" s="73"/>
      <c r="AO325" s="14"/>
      <c r="AP325" s="558" t="s">
        <v>1732</v>
      </c>
    </row>
    <row r="326" spans="1:42" hidden="1">
      <c r="A326" s="551"/>
      <c r="B326" s="552"/>
      <c r="C326" s="652"/>
      <c r="D326" s="652"/>
      <c r="E326" s="548"/>
      <c r="F326" s="657"/>
      <c r="G326" s="576"/>
      <c r="H326" s="576"/>
      <c r="I326" s="2451"/>
      <c r="J326" s="2451"/>
      <c r="K326" s="2451"/>
      <c r="L326" s="2451"/>
      <c r="M326" s="2451"/>
      <c r="N326" s="2451"/>
      <c r="O326" s="2451"/>
      <c r="P326" s="2451"/>
      <c r="Q326" s="2451"/>
      <c r="R326" s="2451"/>
      <c r="S326" s="2451"/>
      <c r="T326" s="2451"/>
      <c r="U326" s="2451"/>
      <c r="V326" s="2451"/>
      <c r="W326" s="2451"/>
      <c r="X326" s="2451"/>
      <c r="Y326" s="2451"/>
      <c r="Z326" s="2451"/>
      <c r="AA326" s="2451"/>
      <c r="AB326" s="2451"/>
      <c r="AC326" s="2451"/>
      <c r="AD326" s="2452"/>
      <c r="AE326" s="552"/>
      <c r="AF326" s="552"/>
      <c r="AG326" s="540"/>
      <c r="AH326" s="552"/>
      <c r="AI326" s="552"/>
      <c r="AJ326" s="551"/>
      <c r="AK326" s="551"/>
      <c r="AL326" s="551"/>
      <c r="AM326" s="551"/>
      <c r="AN326" s="73"/>
      <c r="AO326" s="14"/>
      <c r="AP326" s="558" t="s">
        <v>1734</v>
      </c>
    </row>
    <row r="327" spans="1:42" hidden="1">
      <c r="A327" s="551"/>
      <c r="B327" s="552"/>
      <c r="C327" s="652"/>
      <c r="D327" s="652"/>
      <c r="E327" s="548"/>
      <c r="F327" s="655"/>
      <c r="G327" s="552"/>
      <c r="H327" s="552"/>
      <c r="I327" s="2453"/>
      <c r="J327" s="2453"/>
      <c r="K327" s="2453"/>
      <c r="L327" s="2453"/>
      <c r="M327" s="2453"/>
      <c r="N327" s="2453"/>
      <c r="O327" s="2453"/>
      <c r="P327" s="2453"/>
      <c r="Q327" s="2453"/>
      <c r="R327" s="2453"/>
      <c r="S327" s="2453"/>
      <c r="T327" s="2453"/>
      <c r="U327" s="2453"/>
      <c r="V327" s="2453"/>
      <c r="W327" s="2453"/>
      <c r="X327" s="2453"/>
      <c r="Y327" s="2453"/>
      <c r="Z327" s="2453"/>
      <c r="AA327" s="2453"/>
      <c r="AB327" s="2453"/>
      <c r="AC327" s="2453"/>
      <c r="AD327" s="2454"/>
      <c r="AE327" s="552"/>
      <c r="AF327" s="552"/>
      <c r="AG327" s="540"/>
      <c r="AH327" s="552"/>
      <c r="AI327" s="552"/>
      <c r="AJ327" s="551"/>
      <c r="AK327" s="551"/>
      <c r="AL327" s="551"/>
      <c r="AM327" s="551"/>
      <c r="AN327" s="73"/>
      <c r="AO327" s="14"/>
      <c r="AP327" s="558" t="s">
        <v>1733</v>
      </c>
    </row>
    <row r="328" spans="1:42" hidden="1">
      <c r="A328" s="551"/>
      <c r="B328" s="552"/>
      <c r="C328" s="652"/>
      <c r="D328" s="652"/>
      <c r="E328" s="548"/>
      <c r="F328" s="655"/>
      <c r="G328" s="552"/>
      <c r="H328" s="552"/>
      <c r="I328" s="552"/>
      <c r="J328" s="552"/>
      <c r="K328" s="552"/>
      <c r="L328" s="552"/>
      <c r="M328" s="552"/>
      <c r="N328" s="552"/>
      <c r="O328" s="552"/>
      <c r="P328" s="552"/>
      <c r="Q328" s="552"/>
      <c r="R328" s="552"/>
      <c r="S328" s="552"/>
      <c r="T328" s="552"/>
      <c r="U328" s="552"/>
      <c r="V328" s="552"/>
      <c r="W328" s="552"/>
      <c r="X328" s="552"/>
      <c r="Y328" s="552"/>
      <c r="Z328" s="552"/>
      <c r="AA328" s="552"/>
      <c r="AB328" s="552"/>
      <c r="AC328" s="552"/>
      <c r="AD328" s="656"/>
      <c r="AE328" s="552"/>
      <c r="AF328" s="552"/>
      <c r="AG328" s="540"/>
      <c r="AH328" s="552"/>
      <c r="AI328" s="552"/>
      <c r="AJ328" s="551"/>
      <c r="AK328" s="551"/>
      <c r="AL328" s="551"/>
      <c r="AM328" s="551"/>
      <c r="AN328" s="73"/>
      <c r="AO328" s="14"/>
      <c r="AP328" s="30"/>
    </row>
    <row r="329" spans="1:42" hidden="1">
      <c r="A329" s="551"/>
      <c r="B329" s="552"/>
      <c r="C329" s="652"/>
      <c r="D329" s="652"/>
      <c r="E329" s="548"/>
      <c r="F329" s="655"/>
      <c r="G329" s="552" t="s">
        <v>509</v>
      </c>
      <c r="H329" s="552"/>
      <c r="I329" s="2451" t="s">
        <v>1183</v>
      </c>
      <c r="J329" s="2451"/>
      <c r="K329" s="2451"/>
      <c r="L329" s="2451"/>
      <c r="M329" s="2451"/>
      <c r="N329" s="2451"/>
      <c r="O329" s="2451"/>
      <c r="P329" s="2451"/>
      <c r="Q329" s="2451"/>
      <c r="R329" s="2451"/>
      <c r="S329" s="2451"/>
      <c r="T329" s="2451"/>
      <c r="U329" s="2451"/>
      <c r="V329" s="2451"/>
      <c r="W329" s="2451"/>
      <c r="X329" s="2451"/>
      <c r="Y329" s="2451"/>
      <c r="Z329" s="2451"/>
      <c r="AA329" s="2451"/>
      <c r="AB329" s="2451"/>
      <c r="AC329" s="2451"/>
      <c r="AD329" s="2452"/>
      <c r="AE329" s="552"/>
      <c r="AF329" s="552"/>
      <c r="AG329" s="540"/>
      <c r="AH329" s="552"/>
      <c r="AI329" s="552"/>
      <c r="AJ329" s="551"/>
      <c r="AK329" s="551"/>
      <c r="AL329" s="551"/>
      <c r="AM329" s="551"/>
      <c r="AN329" s="73"/>
      <c r="AO329" s="14"/>
    </row>
    <row r="330" spans="1:42" hidden="1">
      <c r="A330" s="551"/>
      <c r="B330" s="552"/>
      <c r="C330" s="652"/>
      <c r="D330" s="652"/>
      <c r="E330" s="548"/>
      <c r="F330" s="655"/>
      <c r="G330" s="552"/>
      <c r="H330" s="552"/>
      <c r="I330" s="2451"/>
      <c r="J330" s="2451"/>
      <c r="K330" s="2451"/>
      <c r="L330" s="2451"/>
      <c r="M330" s="2451"/>
      <c r="N330" s="2451"/>
      <c r="O330" s="2451"/>
      <c r="P330" s="2451"/>
      <c r="Q330" s="2451"/>
      <c r="R330" s="2451"/>
      <c r="S330" s="2451"/>
      <c r="T330" s="2451"/>
      <c r="U330" s="2451"/>
      <c r="V330" s="2451"/>
      <c r="W330" s="2451"/>
      <c r="X330" s="2451"/>
      <c r="Y330" s="2451"/>
      <c r="Z330" s="2451"/>
      <c r="AA330" s="2451"/>
      <c r="AB330" s="2451"/>
      <c r="AC330" s="2451"/>
      <c r="AD330" s="2452"/>
      <c r="AE330" s="552"/>
      <c r="AF330" s="552"/>
      <c r="AG330" s="540"/>
      <c r="AH330" s="552"/>
      <c r="AI330" s="552"/>
      <c r="AJ330" s="551"/>
      <c r="AK330" s="551"/>
      <c r="AL330" s="551"/>
      <c r="AM330" s="551"/>
      <c r="AN330" s="73"/>
      <c r="AO330" s="14"/>
      <c r="AP330" s="558" t="s">
        <v>1183</v>
      </c>
    </row>
    <row r="331" spans="1:42" hidden="1">
      <c r="A331" s="551"/>
      <c r="B331" s="552"/>
      <c r="C331" s="652"/>
      <c r="D331" s="652"/>
      <c r="E331" s="548"/>
      <c r="F331" s="658"/>
      <c r="G331" s="659"/>
      <c r="H331" s="659"/>
      <c r="I331" s="2453"/>
      <c r="J331" s="2453"/>
      <c r="K331" s="2453"/>
      <c r="L331" s="2453"/>
      <c r="M331" s="2453"/>
      <c r="N331" s="2453"/>
      <c r="O331" s="2453"/>
      <c r="P331" s="2453"/>
      <c r="Q331" s="2453"/>
      <c r="R331" s="2453"/>
      <c r="S331" s="2453"/>
      <c r="T331" s="2453"/>
      <c r="U331" s="2453"/>
      <c r="V331" s="2453"/>
      <c r="W331" s="2453"/>
      <c r="X331" s="2453"/>
      <c r="Y331" s="2453"/>
      <c r="Z331" s="2453"/>
      <c r="AA331" s="2453"/>
      <c r="AB331" s="2453"/>
      <c r="AC331" s="2453"/>
      <c r="AD331" s="2454"/>
      <c r="AE331" s="552"/>
      <c r="AF331" s="552"/>
      <c r="AG331" s="540"/>
      <c r="AH331" s="552"/>
      <c r="AI331" s="552"/>
      <c r="AJ331" s="551"/>
      <c r="AK331" s="551"/>
      <c r="AL331" s="551"/>
      <c r="AM331" s="551"/>
      <c r="AN331" s="73"/>
      <c r="AO331" s="14"/>
      <c r="AP331" s="558" t="s">
        <v>1390</v>
      </c>
    </row>
    <row r="332" spans="1:42" hidden="1">
      <c r="A332" s="551"/>
      <c r="B332" s="552"/>
      <c r="C332" s="551"/>
      <c r="D332" s="552"/>
      <c r="E332" s="551"/>
      <c r="F332" s="617"/>
      <c r="G332" s="552"/>
      <c r="H332" s="552"/>
      <c r="I332" s="552"/>
      <c r="J332" s="552"/>
      <c r="K332" s="552"/>
      <c r="L332" s="552"/>
      <c r="M332" s="552"/>
      <c r="N332" s="552"/>
      <c r="O332" s="552"/>
      <c r="P332" s="552"/>
      <c r="Q332" s="552"/>
      <c r="R332" s="552"/>
      <c r="S332" s="552"/>
      <c r="T332" s="552"/>
      <c r="U332" s="552"/>
      <c r="V332" s="552"/>
      <c r="W332" s="552"/>
      <c r="X332" s="552"/>
      <c r="Y332" s="552"/>
      <c r="Z332" s="552"/>
      <c r="AA332" s="552"/>
      <c r="AB332" s="552"/>
      <c r="AC332" s="552"/>
      <c r="AD332" s="552"/>
      <c r="AE332" s="552"/>
      <c r="AF332" s="552"/>
      <c r="AG332" s="552"/>
      <c r="AH332" s="552"/>
      <c r="AI332" s="552"/>
      <c r="AJ332" s="551"/>
      <c r="AK332" s="551"/>
      <c r="AL332" s="551"/>
      <c r="AM332" s="551"/>
      <c r="AN332" s="73"/>
      <c r="AO332" s="14"/>
      <c r="AP332" s="558" t="s">
        <v>1637</v>
      </c>
    </row>
    <row r="333" spans="1:42" ht="12.75" hidden="1" customHeight="1">
      <c r="A333" s="1634" t="s">
        <v>1391</v>
      </c>
      <c r="B333" s="1634"/>
      <c r="C333" s="2413" t="s">
        <v>591</v>
      </c>
      <c r="D333" s="2413"/>
      <c r="E333" s="548"/>
      <c r="F333" s="2337" t="s">
        <v>2028</v>
      </c>
      <c r="G333" s="2338"/>
      <c r="H333" s="2338"/>
      <c r="I333" s="2338"/>
      <c r="J333" s="2338"/>
      <c r="K333" s="2338"/>
      <c r="L333" s="2338"/>
      <c r="M333" s="2338"/>
      <c r="N333" s="2338"/>
      <c r="O333" s="2338"/>
      <c r="P333" s="2338"/>
      <c r="Q333" s="2338"/>
      <c r="R333" s="2338"/>
      <c r="S333" s="2338"/>
      <c r="T333" s="2338"/>
      <c r="U333" s="2338"/>
      <c r="V333" s="2338"/>
      <c r="W333" s="2338"/>
      <c r="X333" s="2338"/>
      <c r="Y333" s="2338"/>
      <c r="Z333" s="2338"/>
      <c r="AA333" s="2338"/>
      <c r="AB333" s="2338"/>
      <c r="AC333" s="2338"/>
      <c r="AD333" s="2339"/>
      <c r="AE333" s="552"/>
      <c r="AF333" s="552"/>
      <c r="AG333" s="540" t="s">
        <v>1387</v>
      </c>
      <c r="AH333" s="552"/>
      <c r="AI333" s="552"/>
      <c r="AJ333" s="551"/>
      <c r="AK333" s="551"/>
      <c r="AL333" s="551"/>
      <c r="AM333" s="551"/>
      <c r="AN333" s="73"/>
      <c r="AO333" s="14"/>
    </row>
    <row r="334" spans="1:42" ht="15" hidden="1" customHeight="1">
      <c r="A334" s="551"/>
      <c r="B334" s="552"/>
      <c r="C334" s="552"/>
      <c r="D334" s="552"/>
      <c r="E334" s="552"/>
      <c r="F334" s="2343"/>
      <c r="G334" s="2344"/>
      <c r="H334" s="2344"/>
      <c r="I334" s="2344"/>
      <c r="J334" s="2344"/>
      <c r="K334" s="2344"/>
      <c r="L334" s="2344"/>
      <c r="M334" s="2344"/>
      <c r="N334" s="2344"/>
      <c r="O334" s="2344"/>
      <c r="P334" s="2344"/>
      <c r="Q334" s="2344"/>
      <c r="R334" s="2344"/>
      <c r="S334" s="2344"/>
      <c r="T334" s="2344"/>
      <c r="U334" s="2344"/>
      <c r="V334" s="2344"/>
      <c r="W334" s="2344"/>
      <c r="X334" s="2344"/>
      <c r="Y334" s="2344"/>
      <c r="Z334" s="2344"/>
      <c r="AA334" s="2344"/>
      <c r="AB334" s="2344"/>
      <c r="AC334" s="2344"/>
      <c r="AD334" s="2345"/>
      <c r="AE334" s="552"/>
      <c r="AF334" s="552"/>
      <c r="AG334" s="552"/>
      <c r="AH334" s="552"/>
      <c r="AI334" s="552"/>
      <c r="AJ334" s="551"/>
      <c r="AK334" s="551"/>
      <c r="AL334" s="551"/>
      <c r="AM334" s="551"/>
      <c r="AN334" s="73"/>
      <c r="AO334" s="14"/>
    </row>
    <row r="335" spans="1:42" ht="15" hidden="1" customHeight="1">
      <c r="A335" s="551"/>
      <c r="B335" s="552"/>
      <c r="C335" s="552"/>
      <c r="D335" s="552"/>
      <c r="E335" s="552"/>
      <c r="F335" s="2343"/>
      <c r="G335" s="2344"/>
      <c r="H335" s="2344"/>
      <c r="I335" s="2344"/>
      <c r="J335" s="2344"/>
      <c r="K335" s="2344"/>
      <c r="L335" s="2344"/>
      <c r="M335" s="2344"/>
      <c r="N335" s="2344"/>
      <c r="O335" s="2344"/>
      <c r="P335" s="2344"/>
      <c r="Q335" s="2344"/>
      <c r="R335" s="2344"/>
      <c r="S335" s="2344"/>
      <c r="T335" s="2344"/>
      <c r="U335" s="2344"/>
      <c r="V335" s="2344"/>
      <c r="W335" s="2344"/>
      <c r="X335" s="2344"/>
      <c r="Y335" s="2344"/>
      <c r="Z335" s="2344"/>
      <c r="AA335" s="2344"/>
      <c r="AB335" s="2344"/>
      <c r="AC335" s="2344"/>
      <c r="AD335" s="2345"/>
      <c r="AE335" s="552"/>
      <c r="AF335" s="552"/>
      <c r="AG335" s="552"/>
      <c r="AH335" s="552"/>
      <c r="AI335" s="552"/>
      <c r="AJ335" s="551"/>
      <c r="AK335" s="551"/>
      <c r="AL335" s="551"/>
      <c r="AM335" s="660"/>
      <c r="AN335" s="14"/>
      <c r="AO335" s="14"/>
    </row>
    <row r="336" spans="1:42" hidden="1">
      <c r="A336" s="551"/>
      <c r="B336" s="552"/>
      <c r="C336" s="551"/>
      <c r="D336" s="552"/>
      <c r="E336" s="551"/>
      <c r="F336" s="661" t="s">
        <v>1392</v>
      </c>
      <c r="G336" s="662"/>
      <c r="H336" s="662"/>
      <c r="I336" s="662"/>
      <c r="J336" s="662"/>
      <c r="K336" s="662"/>
      <c r="L336" s="662"/>
      <c r="M336" s="662"/>
      <c r="N336" s="662"/>
      <c r="O336" s="662"/>
      <c r="P336" s="662"/>
      <c r="Q336" s="662"/>
      <c r="R336" s="662"/>
      <c r="S336" s="662"/>
      <c r="T336" s="662"/>
      <c r="U336" s="662"/>
      <c r="V336" s="662"/>
      <c r="W336" s="662"/>
      <c r="X336" s="662"/>
      <c r="Y336" s="662"/>
      <c r="Z336" s="662"/>
      <c r="AA336" s="662"/>
      <c r="AB336" s="662"/>
      <c r="AC336" s="662"/>
      <c r="AD336" s="663"/>
      <c r="AE336" s="552"/>
      <c r="AF336" s="552"/>
      <c r="AG336" s="552"/>
      <c r="AH336" s="552"/>
      <c r="AI336" s="552"/>
      <c r="AJ336" s="551"/>
      <c r="AK336" s="551"/>
      <c r="AL336" s="551"/>
      <c r="AM336" s="660"/>
      <c r="AN336" s="30"/>
    </row>
    <row r="337" spans="1:44" hidden="1">
      <c r="A337" s="551"/>
      <c r="B337" s="552"/>
      <c r="C337" s="551"/>
      <c r="D337" s="552"/>
      <c r="E337" s="551"/>
      <c r="F337" s="664"/>
      <c r="G337" s="664"/>
      <c r="H337" s="664"/>
      <c r="I337" s="664"/>
      <c r="J337" s="664"/>
      <c r="K337" s="664"/>
      <c r="L337" s="664"/>
      <c r="M337" s="664"/>
      <c r="N337" s="664"/>
      <c r="O337" s="664"/>
      <c r="P337" s="664"/>
      <c r="Q337" s="664"/>
      <c r="R337" s="664"/>
      <c r="S337" s="664"/>
      <c r="T337" s="664"/>
      <c r="U337" s="664"/>
      <c r="V337" s="664"/>
      <c r="W337" s="664"/>
      <c r="X337" s="664"/>
      <c r="Y337" s="664"/>
      <c r="Z337" s="664"/>
      <c r="AA337" s="664"/>
      <c r="AB337" s="664"/>
      <c r="AC337" s="664"/>
      <c r="AD337" s="664"/>
      <c r="AE337" s="552"/>
      <c r="AF337" s="552"/>
      <c r="AG337" s="552"/>
      <c r="AH337" s="552"/>
      <c r="AI337" s="552"/>
      <c r="AJ337" s="551"/>
      <c r="AK337" s="551"/>
      <c r="AL337" s="551"/>
      <c r="AM337" s="660"/>
      <c r="AN337" s="30"/>
    </row>
    <row r="338" spans="1:44">
      <c r="A338" s="607"/>
      <c r="B338" s="665"/>
      <c r="C338" s="665"/>
      <c r="D338" s="665"/>
      <c r="E338" s="665"/>
      <c r="F338" s="665"/>
      <c r="G338" s="665"/>
      <c r="H338" s="665"/>
      <c r="I338" s="665"/>
      <c r="J338" s="665"/>
      <c r="K338" s="665"/>
      <c r="L338" s="665"/>
      <c r="M338" s="665"/>
      <c r="N338" s="665"/>
      <c r="O338" s="665"/>
      <c r="P338" s="665"/>
      <c r="Q338" s="665"/>
      <c r="R338" s="665"/>
      <c r="S338" s="665"/>
      <c r="T338" s="665"/>
      <c r="U338" s="665"/>
      <c r="V338" s="665"/>
      <c r="W338" s="665"/>
      <c r="X338" s="665"/>
      <c r="Y338" s="665"/>
      <c r="Z338" s="665"/>
      <c r="AA338" s="665"/>
      <c r="AB338" s="665"/>
      <c r="AC338" s="666"/>
      <c r="AD338" s="665"/>
      <c r="AE338" s="565"/>
      <c r="AF338" s="565"/>
      <c r="AG338" s="565"/>
      <c r="AH338" s="565"/>
      <c r="AI338" s="566"/>
      <c r="AJ338" s="566" t="s">
        <v>1451</v>
      </c>
      <c r="AK338" s="2416">
        <f>IF(NOT(OR(Application!M355="Yes",Application!M356="Yes")),0,AP295)</f>
        <v>9</v>
      </c>
      <c r="AL338" s="2417"/>
      <c r="AM338" s="2418"/>
      <c r="AN338" s="30"/>
    </row>
    <row r="339" spans="1:44" s="551" customFormat="1" ht="12.75" customHeight="1" thickBot="1">
      <c r="A339" s="622"/>
      <c r="B339" s="622"/>
      <c r="C339" s="622"/>
      <c r="D339" s="622"/>
      <c r="E339" s="622"/>
      <c r="F339" s="622"/>
      <c r="G339" s="622"/>
      <c r="H339" s="622"/>
      <c r="I339" s="622"/>
      <c r="J339" s="622"/>
      <c r="K339" s="622"/>
      <c r="L339" s="622"/>
      <c r="M339" s="622"/>
      <c r="N339" s="622"/>
      <c r="O339" s="622"/>
      <c r="P339" s="622"/>
      <c r="Q339" s="622"/>
      <c r="R339" s="622"/>
      <c r="S339" s="622"/>
      <c r="T339" s="622"/>
      <c r="U339" s="622"/>
      <c r="V339" s="622"/>
      <c r="W339" s="622"/>
      <c r="X339" s="622"/>
      <c r="Y339" s="622"/>
      <c r="Z339" s="622"/>
      <c r="AA339" s="622"/>
      <c r="AB339" s="622"/>
      <c r="AC339" s="622"/>
      <c r="AD339" s="622"/>
      <c r="AE339" s="622"/>
      <c r="AF339" s="622"/>
      <c r="AG339" s="622"/>
      <c r="AH339" s="622"/>
      <c r="AI339" s="622"/>
      <c r="AJ339" s="622"/>
      <c r="AK339" s="622"/>
      <c r="AL339" s="622"/>
      <c r="AM339" s="622"/>
      <c r="AN339" s="598"/>
    </row>
    <row r="340" spans="1:44" s="551" customFormat="1" ht="12.75" customHeight="1" thickTop="1">
      <c r="A340" s="14"/>
      <c r="B340" s="14"/>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4"/>
      <c r="AA340" s="14"/>
      <c r="AB340" s="14"/>
      <c r="AC340" s="14"/>
      <c r="AD340" s="14"/>
      <c r="AE340" s="14"/>
      <c r="AF340" s="14"/>
      <c r="AG340" s="14"/>
      <c r="AH340" s="14"/>
      <c r="AI340" s="14"/>
      <c r="AJ340" s="14"/>
      <c r="AK340" s="14"/>
      <c r="AL340" s="14"/>
      <c r="AM340" s="14"/>
      <c r="AN340" s="598"/>
    </row>
    <row r="341" spans="1:44" s="551" customFormat="1" ht="12.75" customHeight="1">
      <c r="A341" s="540" t="s">
        <v>1452</v>
      </c>
      <c r="B341" s="540" t="s">
        <v>845</v>
      </c>
      <c r="C341" s="537"/>
      <c r="AC341" s="540"/>
      <c r="AE341" s="2346" t="s">
        <v>1313</v>
      </c>
      <c r="AF341" s="2346"/>
      <c r="AG341" s="2346"/>
      <c r="AH341" s="2346"/>
      <c r="AI341" s="2346"/>
      <c r="AJ341" s="2346"/>
      <c r="AK341" s="2346"/>
      <c r="AL341" s="540"/>
      <c r="AM341" s="540"/>
      <c r="AN341" s="593"/>
    </row>
    <row r="342" spans="1:44" s="551" customFormat="1" ht="12.75" customHeight="1">
      <c r="A342" s="540"/>
      <c r="B342" s="540"/>
      <c r="C342" s="537"/>
      <c r="AC342" s="540"/>
      <c r="AE342" s="544"/>
      <c r="AF342" s="544"/>
      <c r="AG342" s="544"/>
      <c r="AH342" s="544"/>
      <c r="AI342" s="544"/>
      <c r="AJ342" s="544"/>
      <c r="AK342" s="544"/>
      <c r="AL342" s="540"/>
      <c r="AM342" s="540"/>
      <c r="AN342" s="593"/>
    </row>
    <row r="343" spans="1:44" s="551" customFormat="1" ht="12.75" customHeight="1">
      <c r="A343" s="604"/>
      <c r="B343" s="612"/>
      <c r="C343" s="2455" t="s">
        <v>1453</v>
      </c>
      <c r="D343" s="2455"/>
      <c r="E343" s="2455"/>
      <c r="F343" s="2455"/>
      <c r="G343" s="2455"/>
      <c r="H343" s="2455"/>
      <c r="I343" s="2455"/>
      <c r="J343" s="2455"/>
      <c r="K343" s="2455"/>
      <c r="L343" s="2455"/>
      <c r="M343" s="2455"/>
      <c r="N343" s="2455"/>
      <c r="O343" s="2455"/>
      <c r="P343" s="2455"/>
      <c r="Q343" s="2455"/>
      <c r="R343" s="2455"/>
      <c r="S343" s="2455"/>
      <c r="T343" s="2455"/>
      <c r="U343" s="2455"/>
      <c r="V343" s="2455"/>
      <c r="W343" s="2455"/>
      <c r="X343" s="2455"/>
      <c r="Y343" s="2455"/>
      <c r="Z343" s="2455"/>
      <c r="AA343" s="2455"/>
      <c r="AB343" s="2455"/>
      <c r="AC343" s="2455"/>
      <c r="AD343" s="2455"/>
      <c r="AE343" s="2455"/>
      <c r="AF343" s="2455"/>
      <c r="AG343" s="2455"/>
      <c r="AH343" s="2455"/>
      <c r="AI343" s="2455"/>
      <c r="AJ343" s="2455"/>
      <c r="AK343" s="604"/>
      <c r="AL343" s="604"/>
      <c r="AM343" s="604"/>
      <c r="AN343" s="598"/>
    </row>
    <row r="344" spans="1:44" s="551" customFormat="1" ht="12.75" customHeight="1">
      <c r="A344" s="604"/>
      <c r="B344" s="612"/>
      <c r="C344" s="2455"/>
      <c r="D344" s="2455"/>
      <c r="E344" s="2455"/>
      <c r="F344" s="2455"/>
      <c r="G344" s="2455"/>
      <c r="H344" s="2455"/>
      <c r="I344" s="2455"/>
      <c r="J344" s="2455"/>
      <c r="K344" s="2455"/>
      <c r="L344" s="2455"/>
      <c r="M344" s="2455"/>
      <c r="N344" s="2455"/>
      <c r="O344" s="2455"/>
      <c r="P344" s="2455"/>
      <c r="Q344" s="2455"/>
      <c r="R344" s="2455"/>
      <c r="S344" s="2455"/>
      <c r="T344" s="2455"/>
      <c r="U344" s="2455"/>
      <c r="V344" s="2455"/>
      <c r="W344" s="2455"/>
      <c r="X344" s="2455"/>
      <c r="Y344" s="2455"/>
      <c r="Z344" s="2455"/>
      <c r="AA344" s="2455"/>
      <c r="AB344" s="2455"/>
      <c r="AC344" s="2455"/>
      <c r="AD344" s="2455"/>
      <c r="AE344" s="2455"/>
      <c r="AF344" s="2455"/>
      <c r="AG344" s="2455"/>
      <c r="AH344" s="2455"/>
      <c r="AI344" s="2455"/>
      <c r="AJ344" s="2455"/>
      <c r="AK344" s="604"/>
      <c r="AL344" s="604"/>
      <c r="AM344" s="604"/>
      <c r="AN344" s="598"/>
    </row>
    <row r="345" spans="1:44" s="551" customFormat="1" ht="12.75" customHeight="1">
      <c r="A345" s="604"/>
      <c r="B345" s="612"/>
      <c r="C345" s="2455"/>
      <c r="D345" s="2455"/>
      <c r="E345" s="2455"/>
      <c r="F345" s="2455"/>
      <c r="G345" s="2455"/>
      <c r="H345" s="2455"/>
      <c r="I345" s="2455"/>
      <c r="J345" s="2455"/>
      <c r="K345" s="2455"/>
      <c r="L345" s="2455"/>
      <c r="M345" s="2455"/>
      <c r="N345" s="2455"/>
      <c r="O345" s="2455"/>
      <c r="P345" s="2455"/>
      <c r="Q345" s="2455"/>
      <c r="R345" s="2455"/>
      <c r="S345" s="2455"/>
      <c r="T345" s="2455"/>
      <c r="U345" s="2455"/>
      <c r="V345" s="2455"/>
      <c r="W345" s="2455"/>
      <c r="X345" s="2455"/>
      <c r="Y345" s="2455"/>
      <c r="Z345" s="2455"/>
      <c r="AA345" s="2455"/>
      <c r="AB345" s="2455"/>
      <c r="AC345" s="2455"/>
      <c r="AD345" s="2455"/>
      <c r="AE345" s="2455"/>
      <c r="AF345" s="2455"/>
      <c r="AG345" s="2455"/>
      <c r="AH345" s="2455"/>
      <c r="AI345" s="2455"/>
      <c r="AJ345" s="2455"/>
      <c r="AK345" s="604"/>
      <c r="AL345" s="604"/>
      <c r="AM345" s="604"/>
      <c r="AN345" s="598"/>
      <c r="AQ345" s="571"/>
    </row>
    <row r="346" spans="1:44" s="551" customFormat="1" ht="12.75" customHeight="1">
      <c r="A346" s="604"/>
      <c r="B346" s="612"/>
      <c r="C346" s="2455"/>
      <c r="D346" s="2455"/>
      <c r="E346" s="2455"/>
      <c r="F346" s="2455"/>
      <c r="G346" s="2455"/>
      <c r="H346" s="2455"/>
      <c r="I346" s="2455"/>
      <c r="J346" s="2455"/>
      <c r="K346" s="2455"/>
      <c r="L346" s="2455"/>
      <c r="M346" s="2455"/>
      <c r="N346" s="2455"/>
      <c r="O346" s="2455"/>
      <c r="P346" s="2455"/>
      <c r="Q346" s="2455"/>
      <c r="R346" s="2455"/>
      <c r="S346" s="2455"/>
      <c r="T346" s="2455"/>
      <c r="U346" s="2455"/>
      <c r="V346" s="2455"/>
      <c r="W346" s="2455"/>
      <c r="X346" s="2455"/>
      <c r="Y346" s="2455"/>
      <c r="Z346" s="2455"/>
      <c r="AA346" s="2455"/>
      <c r="AB346" s="2455"/>
      <c r="AC346" s="2455"/>
      <c r="AD346" s="2455"/>
      <c r="AE346" s="2455"/>
      <c r="AF346" s="2455"/>
      <c r="AG346" s="2455"/>
      <c r="AH346" s="2455"/>
      <c r="AI346" s="2455"/>
      <c r="AJ346" s="2455"/>
      <c r="AK346" s="604"/>
      <c r="AL346" s="604"/>
      <c r="AM346" s="604"/>
      <c r="AN346" s="598"/>
      <c r="AQ346" s="571"/>
    </row>
    <row r="347" spans="1:44" s="551" customFormat="1" ht="12.4" customHeight="1">
      <c r="A347" s="604"/>
      <c r="B347" s="612"/>
      <c r="C347" s="2455"/>
      <c r="D347" s="2455"/>
      <c r="E347" s="2455"/>
      <c r="F347" s="2455"/>
      <c r="G347" s="2455"/>
      <c r="H347" s="2455"/>
      <c r="I347" s="2455"/>
      <c r="J347" s="2455"/>
      <c r="K347" s="2455"/>
      <c r="L347" s="2455"/>
      <c r="M347" s="2455"/>
      <c r="N347" s="2455"/>
      <c r="O347" s="2455"/>
      <c r="P347" s="2455"/>
      <c r="Q347" s="2455"/>
      <c r="R347" s="2455"/>
      <c r="S347" s="2455"/>
      <c r="T347" s="2455"/>
      <c r="U347" s="2455"/>
      <c r="V347" s="2455"/>
      <c r="W347" s="2455"/>
      <c r="X347" s="2455"/>
      <c r="Y347" s="2455"/>
      <c r="Z347" s="2455"/>
      <c r="AA347" s="2455"/>
      <c r="AB347" s="2455"/>
      <c r="AC347" s="2455"/>
      <c r="AD347" s="2455"/>
      <c r="AE347" s="2455"/>
      <c r="AF347" s="2455"/>
      <c r="AG347" s="2455"/>
      <c r="AH347" s="2455"/>
      <c r="AI347" s="2455"/>
      <c r="AJ347" s="2455"/>
      <c r="AK347" s="604"/>
      <c r="AL347" s="604"/>
      <c r="AM347" s="604"/>
      <c r="AN347" s="598"/>
      <c r="AQ347" s="571"/>
      <c r="AR347" s="571"/>
    </row>
    <row r="348" spans="1:44" s="551" customFormat="1" ht="45.75" customHeight="1">
      <c r="A348" s="604"/>
      <c r="B348" s="612"/>
      <c r="C348" s="2455" t="s">
        <v>2093</v>
      </c>
      <c r="D348" s="2455"/>
      <c r="E348" s="2455"/>
      <c r="F348" s="2455"/>
      <c r="G348" s="2455"/>
      <c r="H348" s="2455"/>
      <c r="I348" s="2455"/>
      <c r="J348" s="2455"/>
      <c r="K348" s="2455"/>
      <c r="L348" s="2455"/>
      <c r="M348" s="2455"/>
      <c r="N348" s="2455"/>
      <c r="O348" s="2455"/>
      <c r="P348" s="2455"/>
      <c r="Q348" s="2455"/>
      <c r="R348" s="2455"/>
      <c r="S348" s="2455"/>
      <c r="T348" s="2455"/>
      <c r="U348" s="2455"/>
      <c r="V348" s="2455"/>
      <c r="W348" s="2455"/>
      <c r="X348" s="2455"/>
      <c r="Y348" s="2455"/>
      <c r="Z348" s="2455"/>
      <c r="AA348" s="2455"/>
      <c r="AB348" s="2455"/>
      <c r="AC348" s="2455"/>
      <c r="AD348" s="2455"/>
      <c r="AE348" s="2455"/>
      <c r="AF348" s="2455"/>
      <c r="AG348" s="2455"/>
      <c r="AH348" s="2455"/>
      <c r="AI348" s="2455"/>
      <c r="AJ348" s="2455"/>
      <c r="AK348" s="604"/>
      <c r="AL348" s="604"/>
      <c r="AM348" s="604"/>
      <c r="AN348" s="598"/>
      <c r="AQ348" s="571"/>
      <c r="AR348" s="571"/>
    </row>
    <row r="349" spans="1:44" s="551" customFormat="1" ht="12.4" customHeight="1">
      <c r="A349" s="604"/>
      <c r="B349" s="612"/>
      <c r="C349" s="694"/>
      <c r="D349" s="694"/>
      <c r="E349" s="694"/>
      <c r="F349" s="694"/>
      <c r="G349" s="694"/>
      <c r="H349" s="694"/>
      <c r="I349" s="694"/>
      <c r="J349" s="694"/>
      <c r="K349" s="694"/>
      <c r="L349" s="694"/>
      <c r="M349" s="694"/>
      <c r="N349" s="694"/>
      <c r="O349" s="694"/>
      <c r="P349" s="694"/>
      <c r="Q349" s="694"/>
      <c r="R349" s="694"/>
      <c r="S349" s="694"/>
      <c r="T349" s="694"/>
      <c r="U349" s="694"/>
      <c r="V349" s="694"/>
      <c r="W349" s="694"/>
      <c r="X349" s="694"/>
      <c r="Y349" s="694"/>
      <c r="Z349" s="694"/>
      <c r="AA349" s="694"/>
      <c r="AB349" s="694"/>
      <c r="AC349" s="694"/>
      <c r="AD349" s="694"/>
      <c r="AE349" s="694"/>
      <c r="AF349" s="694"/>
      <c r="AG349" s="694"/>
      <c r="AH349" s="694"/>
      <c r="AI349" s="694"/>
      <c r="AJ349" s="694"/>
      <c r="AK349" s="604"/>
      <c r="AL349" s="604"/>
      <c r="AM349" s="604"/>
      <c r="AN349" s="598"/>
      <c r="AQ349" s="571"/>
      <c r="AR349" s="571"/>
    </row>
    <row r="350" spans="1:44" s="551" customFormat="1" ht="12.75" customHeight="1">
      <c r="A350" s="604"/>
      <c r="B350" s="612"/>
      <c r="C350" s="2455" t="s">
        <v>2208</v>
      </c>
      <c r="D350" s="2455"/>
      <c r="E350" s="2455"/>
      <c r="F350" s="2455"/>
      <c r="G350" s="2455"/>
      <c r="H350" s="2455"/>
      <c r="I350" s="2455"/>
      <c r="J350" s="2455"/>
      <c r="K350" s="2455"/>
      <c r="L350" s="2455"/>
      <c r="M350" s="2455"/>
      <c r="N350" s="2455"/>
      <c r="O350" s="2455"/>
      <c r="P350" s="2455"/>
      <c r="Q350" s="2455"/>
      <c r="R350" s="2455"/>
      <c r="S350" s="2455"/>
      <c r="T350" s="2455"/>
      <c r="U350" s="2455"/>
      <c r="V350" s="2455"/>
      <c r="W350" s="2455"/>
      <c r="X350" s="2455"/>
      <c r="Y350" s="2455"/>
      <c r="Z350" s="2455"/>
      <c r="AA350" s="2455"/>
      <c r="AB350" s="2455"/>
      <c r="AC350" s="2455"/>
      <c r="AD350" s="2455"/>
      <c r="AE350" s="2455"/>
      <c r="AF350" s="2455"/>
      <c r="AG350" s="2455"/>
      <c r="AH350" s="2455"/>
      <c r="AI350" s="2455"/>
      <c r="AJ350" s="2455"/>
      <c r="AK350" s="604"/>
      <c r="AL350" s="604"/>
      <c r="AM350" s="604"/>
      <c r="AN350" s="598"/>
      <c r="AQ350" s="571"/>
      <c r="AR350" s="571"/>
    </row>
    <row r="351" spans="1:44" s="551" customFormat="1" ht="30" customHeight="1">
      <c r="A351" s="604"/>
      <c r="B351" s="612"/>
      <c r="C351" s="2455"/>
      <c r="D351" s="2455"/>
      <c r="E351" s="2455"/>
      <c r="F351" s="2455"/>
      <c r="G351" s="2455"/>
      <c r="H351" s="2455"/>
      <c r="I351" s="2455"/>
      <c r="J351" s="2455"/>
      <c r="K351" s="2455"/>
      <c r="L351" s="2455"/>
      <c r="M351" s="2455"/>
      <c r="N351" s="2455"/>
      <c r="O351" s="2455"/>
      <c r="P351" s="2455"/>
      <c r="Q351" s="2455"/>
      <c r="R351" s="2455"/>
      <c r="S351" s="2455"/>
      <c r="T351" s="2455"/>
      <c r="U351" s="2455"/>
      <c r="V351" s="2455"/>
      <c r="W351" s="2455"/>
      <c r="X351" s="2455"/>
      <c r="Y351" s="2455"/>
      <c r="Z351" s="2455"/>
      <c r="AA351" s="2455"/>
      <c r="AB351" s="2455"/>
      <c r="AC351" s="2455"/>
      <c r="AD351" s="2455"/>
      <c r="AE351" s="2455"/>
      <c r="AF351" s="2455"/>
      <c r="AG351" s="2455"/>
      <c r="AH351" s="2455"/>
      <c r="AI351" s="2455"/>
      <c r="AJ351" s="2455"/>
      <c r="AK351" s="604"/>
      <c r="AL351" s="604"/>
      <c r="AM351" s="604"/>
      <c r="AN351" s="598"/>
      <c r="AR351" s="571"/>
    </row>
    <row r="352" spans="1:44" s="551" customFormat="1" ht="12.75" customHeight="1">
      <c r="A352" s="604"/>
      <c r="B352" s="612"/>
      <c r="C352" s="2455"/>
      <c r="D352" s="2455"/>
      <c r="E352" s="2455"/>
      <c r="F352" s="2455"/>
      <c r="G352" s="2455"/>
      <c r="H352" s="2455"/>
      <c r="I352" s="2455"/>
      <c r="J352" s="2455"/>
      <c r="K352" s="2455"/>
      <c r="L352" s="2455"/>
      <c r="M352" s="2455"/>
      <c r="N352" s="2455"/>
      <c r="O352" s="2455"/>
      <c r="P352" s="2455"/>
      <c r="Q352" s="2455"/>
      <c r="R352" s="2455"/>
      <c r="S352" s="2455"/>
      <c r="T352" s="2455"/>
      <c r="U352" s="2455"/>
      <c r="V352" s="2455"/>
      <c r="W352" s="2455"/>
      <c r="X352" s="2455"/>
      <c r="Y352" s="2455"/>
      <c r="Z352" s="2455"/>
      <c r="AA352" s="2455"/>
      <c r="AB352" s="2455"/>
      <c r="AC352" s="2455"/>
      <c r="AD352" s="2455"/>
      <c r="AE352" s="2455"/>
      <c r="AF352" s="2455"/>
      <c r="AG352" s="2455"/>
      <c r="AH352" s="2455"/>
      <c r="AI352" s="2455"/>
      <c r="AJ352" s="2455"/>
      <c r="AK352" s="604"/>
      <c r="AL352" s="604"/>
      <c r="AM352" s="604"/>
      <c r="AN352" s="598"/>
      <c r="AR352" s="571"/>
    </row>
    <row r="353" spans="1:46" s="551" customFormat="1" ht="12.75" customHeight="1">
      <c r="A353" s="604"/>
      <c r="B353" s="612"/>
      <c r="C353" s="2455" t="s">
        <v>1454</v>
      </c>
      <c r="D353" s="2455"/>
      <c r="E353" s="2455"/>
      <c r="F353" s="2455"/>
      <c r="G353" s="2455"/>
      <c r="H353" s="2455"/>
      <c r="I353" s="2455"/>
      <c r="J353" s="2455"/>
      <c r="K353" s="2455"/>
      <c r="L353" s="2455"/>
      <c r="M353" s="2455"/>
      <c r="N353" s="2455"/>
      <c r="O353" s="2455"/>
      <c r="P353" s="2455"/>
      <c r="Q353" s="2455"/>
      <c r="R353" s="2455"/>
      <c r="S353" s="2455"/>
      <c r="T353" s="2455"/>
      <c r="U353" s="2455"/>
      <c r="V353" s="2455"/>
      <c r="W353" s="2455"/>
      <c r="X353" s="2455"/>
      <c r="Y353" s="2455"/>
      <c r="Z353" s="2455"/>
      <c r="AA353" s="2455"/>
      <c r="AB353" s="2455"/>
      <c r="AC353" s="2455"/>
      <c r="AD353" s="2455"/>
      <c r="AE353" s="2455"/>
      <c r="AF353" s="2455"/>
      <c r="AG353" s="2455"/>
      <c r="AH353" s="2455"/>
      <c r="AI353" s="2455"/>
      <c r="AJ353" s="2455"/>
      <c r="AK353" s="604"/>
      <c r="AL353" s="604"/>
      <c r="AM353" s="604"/>
      <c r="AN353" s="598"/>
      <c r="AQ353" s="571"/>
      <c r="AR353" s="571"/>
    </row>
    <row r="354" spans="1:46" s="551" customFormat="1" ht="12.75" customHeight="1">
      <c r="A354" s="604"/>
      <c r="B354" s="612"/>
      <c r="C354" s="2455"/>
      <c r="D354" s="2455"/>
      <c r="E354" s="2455"/>
      <c r="F354" s="2455"/>
      <c r="G354" s="2455"/>
      <c r="H354" s="2455"/>
      <c r="I354" s="2455"/>
      <c r="J354" s="2455"/>
      <c r="K354" s="2455"/>
      <c r="L354" s="2455"/>
      <c r="M354" s="2455"/>
      <c r="N354" s="2455"/>
      <c r="O354" s="2455"/>
      <c r="P354" s="2455"/>
      <c r="Q354" s="2455"/>
      <c r="R354" s="2455"/>
      <c r="S354" s="2455"/>
      <c r="T354" s="2455"/>
      <c r="U354" s="2455"/>
      <c r="V354" s="2455"/>
      <c r="W354" s="2455"/>
      <c r="X354" s="2455"/>
      <c r="Y354" s="2455"/>
      <c r="Z354" s="2455"/>
      <c r="AA354" s="2455"/>
      <c r="AB354" s="2455"/>
      <c r="AC354" s="2455"/>
      <c r="AD354" s="2455"/>
      <c r="AE354" s="2455"/>
      <c r="AF354" s="2455"/>
      <c r="AG354" s="2455"/>
      <c r="AH354" s="2455"/>
      <c r="AI354" s="2455"/>
      <c r="AJ354" s="2455"/>
      <c r="AK354" s="604"/>
      <c r="AL354" s="604"/>
      <c r="AM354" s="604"/>
      <c r="AN354" s="598"/>
      <c r="AQ354" s="571"/>
      <c r="AR354" s="571"/>
    </row>
    <row r="355" spans="1:46" s="551" customFormat="1" ht="13.15" customHeight="1">
      <c r="A355" s="604"/>
      <c r="B355" s="612"/>
      <c r="C355" s="2455"/>
      <c r="D355" s="2455"/>
      <c r="E355" s="2455"/>
      <c r="F355" s="2455"/>
      <c r="G355" s="2455"/>
      <c r="H355" s="2455"/>
      <c r="I355" s="2455"/>
      <c r="J355" s="2455"/>
      <c r="K355" s="2455"/>
      <c r="L355" s="2455"/>
      <c r="M355" s="2455"/>
      <c r="N355" s="2455"/>
      <c r="O355" s="2455"/>
      <c r="P355" s="2455"/>
      <c r="Q355" s="2455"/>
      <c r="R355" s="2455"/>
      <c r="S355" s="2455"/>
      <c r="T355" s="2455"/>
      <c r="U355" s="2455"/>
      <c r="V355" s="2455"/>
      <c r="W355" s="2455"/>
      <c r="X355" s="2455"/>
      <c r="Y355" s="2455"/>
      <c r="Z355" s="2455"/>
      <c r="AA355" s="2455"/>
      <c r="AB355" s="2455"/>
      <c r="AC355" s="2455"/>
      <c r="AD355" s="2455"/>
      <c r="AE355" s="2455"/>
      <c r="AF355" s="2455"/>
      <c r="AG355" s="2455"/>
      <c r="AH355" s="2455"/>
      <c r="AI355" s="2455"/>
      <c r="AJ355" s="2455"/>
      <c r="AK355" s="604"/>
      <c r="AL355" s="604"/>
      <c r="AM355" s="604"/>
      <c r="AN355" s="598"/>
      <c r="AQ355" s="571"/>
      <c r="AR355" s="571"/>
    </row>
    <row r="356" spans="1:46" s="551" customFormat="1" ht="12.75" customHeight="1">
      <c r="A356" s="604"/>
      <c r="B356" s="612"/>
      <c r="C356" s="2455"/>
      <c r="D356" s="2455"/>
      <c r="E356" s="2455"/>
      <c r="F356" s="2455"/>
      <c r="G356" s="2455"/>
      <c r="H356" s="2455"/>
      <c r="I356" s="2455"/>
      <c r="J356" s="2455"/>
      <c r="K356" s="2455"/>
      <c r="L356" s="2455"/>
      <c r="M356" s="2455"/>
      <c r="N356" s="2455"/>
      <c r="O356" s="2455"/>
      <c r="P356" s="2455"/>
      <c r="Q356" s="2455"/>
      <c r="R356" s="2455"/>
      <c r="S356" s="2455"/>
      <c r="T356" s="2455"/>
      <c r="U356" s="2455"/>
      <c r="V356" s="2455"/>
      <c r="W356" s="2455"/>
      <c r="X356" s="2455"/>
      <c r="Y356" s="2455"/>
      <c r="Z356" s="2455"/>
      <c r="AA356" s="2455"/>
      <c r="AB356" s="2455"/>
      <c r="AC356" s="2455"/>
      <c r="AD356" s="2455"/>
      <c r="AE356" s="2455"/>
      <c r="AF356" s="2455"/>
      <c r="AG356" s="2455"/>
      <c r="AH356" s="2455"/>
      <c r="AI356" s="2455"/>
      <c r="AJ356" s="2455"/>
      <c r="AK356" s="604"/>
      <c r="AL356" s="604"/>
      <c r="AM356" s="604"/>
      <c r="AN356" s="598"/>
      <c r="AO356" s="695"/>
      <c r="AP356" s="695"/>
      <c r="AQ356" s="571"/>
    </row>
    <row r="357" spans="1:46" s="551" customFormat="1" ht="11.85" customHeight="1">
      <c r="A357" s="604"/>
      <c r="B357" s="612"/>
      <c r="C357" s="2455"/>
      <c r="D357" s="2455"/>
      <c r="E357" s="2455"/>
      <c r="F357" s="2455"/>
      <c r="G357" s="2455"/>
      <c r="H357" s="2455"/>
      <c r="I357" s="2455"/>
      <c r="J357" s="2455"/>
      <c r="K357" s="2455"/>
      <c r="L357" s="2455"/>
      <c r="M357" s="2455"/>
      <c r="N357" s="2455"/>
      <c r="O357" s="2455"/>
      <c r="P357" s="2455"/>
      <c r="Q357" s="2455"/>
      <c r="R357" s="2455"/>
      <c r="S357" s="2455"/>
      <c r="T357" s="2455"/>
      <c r="U357" s="2455"/>
      <c r="V357" s="2455"/>
      <c r="W357" s="2455"/>
      <c r="X357" s="2455"/>
      <c r="Y357" s="2455"/>
      <c r="Z357" s="2455"/>
      <c r="AA357" s="2455"/>
      <c r="AB357" s="2455"/>
      <c r="AC357" s="2455"/>
      <c r="AD357" s="2455"/>
      <c r="AE357" s="2455"/>
      <c r="AF357" s="2455"/>
      <c r="AG357" s="2455"/>
      <c r="AH357" s="2455"/>
      <c r="AI357" s="2455"/>
      <c r="AJ357" s="2455"/>
      <c r="AK357" s="604"/>
      <c r="AL357" s="604"/>
      <c r="AM357" s="604"/>
      <c r="AN357" s="598"/>
      <c r="AO357" s="696" t="s">
        <v>112</v>
      </c>
      <c r="AP357" s="697">
        <f>IF(C381="Yes",5,0)</f>
        <v>0</v>
      </c>
      <c r="AS357" s="540" t="s">
        <v>1455</v>
      </c>
    </row>
    <row r="358" spans="1:46" s="551" customFormat="1" ht="12.75" customHeight="1">
      <c r="A358" s="604"/>
      <c r="B358" s="612"/>
      <c r="C358" s="2455"/>
      <c r="D358" s="2455"/>
      <c r="E358" s="2455"/>
      <c r="F358" s="2455"/>
      <c r="G358" s="2455"/>
      <c r="H358" s="2455"/>
      <c r="I358" s="2455"/>
      <c r="J358" s="2455"/>
      <c r="K358" s="2455"/>
      <c r="L358" s="2455"/>
      <c r="M358" s="2455"/>
      <c r="N358" s="2455"/>
      <c r="O358" s="2455"/>
      <c r="P358" s="2455"/>
      <c r="Q358" s="2455"/>
      <c r="R358" s="2455"/>
      <c r="S358" s="2455"/>
      <c r="T358" s="2455"/>
      <c r="U358" s="2455"/>
      <c r="V358" s="2455"/>
      <c r="W358" s="2455"/>
      <c r="X358" s="2455"/>
      <c r="Y358" s="2455"/>
      <c r="Z358" s="2455"/>
      <c r="AA358" s="2455"/>
      <c r="AB358" s="2455"/>
      <c r="AC358" s="2455"/>
      <c r="AD358" s="2455"/>
      <c r="AE358" s="2455"/>
      <c r="AF358" s="2455"/>
      <c r="AG358" s="2455"/>
      <c r="AH358" s="2455"/>
      <c r="AI358" s="2455"/>
      <c r="AJ358" s="2455"/>
      <c r="AK358" s="604"/>
      <c r="AL358" s="604"/>
      <c r="AM358" s="604"/>
      <c r="AN358" s="598"/>
      <c r="AO358" s="696" t="s">
        <v>113</v>
      </c>
      <c r="AP358" s="697">
        <f>IF(C389="Yes",5,0)</f>
        <v>0</v>
      </c>
      <c r="AS358" s="2476">
        <f>IF(Application!D211="Non-Targeted",(SUM(AQ366+AQ375)),AS362)</f>
        <v>10</v>
      </c>
      <c r="AT358" s="2476"/>
    </row>
    <row r="359" spans="1:46" s="551" customFormat="1" ht="12.75" customHeight="1">
      <c r="A359" s="604"/>
      <c r="B359" s="612"/>
      <c r="C359" s="2455"/>
      <c r="D359" s="2455"/>
      <c r="E359" s="2455"/>
      <c r="F359" s="2455"/>
      <c r="G359" s="2455"/>
      <c r="H359" s="2455"/>
      <c r="I359" s="2455"/>
      <c r="J359" s="2455"/>
      <c r="K359" s="2455"/>
      <c r="L359" s="2455"/>
      <c r="M359" s="2455"/>
      <c r="N359" s="2455"/>
      <c r="O359" s="2455"/>
      <c r="P359" s="2455"/>
      <c r="Q359" s="2455"/>
      <c r="R359" s="2455"/>
      <c r="S359" s="2455"/>
      <c r="T359" s="2455"/>
      <c r="U359" s="2455"/>
      <c r="V359" s="2455"/>
      <c r="W359" s="2455"/>
      <c r="X359" s="2455"/>
      <c r="Y359" s="2455"/>
      <c r="Z359" s="2455"/>
      <c r="AA359" s="2455"/>
      <c r="AB359" s="2455"/>
      <c r="AC359" s="2455"/>
      <c r="AD359" s="2455"/>
      <c r="AE359" s="2455"/>
      <c r="AF359" s="2455"/>
      <c r="AG359" s="2455"/>
      <c r="AH359" s="2455"/>
      <c r="AI359" s="2455"/>
      <c r="AJ359" s="2455"/>
      <c r="AK359" s="604"/>
      <c r="AL359" s="604"/>
      <c r="AM359" s="604"/>
      <c r="AN359" s="598"/>
      <c r="AO359" s="696" t="s">
        <v>119</v>
      </c>
      <c r="AP359" s="697">
        <f>IF(C397="Yes",7,0)</f>
        <v>7</v>
      </c>
      <c r="AS359" s="540" t="s">
        <v>1456</v>
      </c>
    </row>
    <row r="360" spans="1:46" s="551" customFormat="1" ht="12.75" customHeight="1">
      <c r="A360" s="604"/>
      <c r="B360" s="612"/>
      <c r="C360" s="2455"/>
      <c r="D360" s="2455"/>
      <c r="E360" s="2455"/>
      <c r="F360" s="2455"/>
      <c r="G360" s="2455"/>
      <c r="H360" s="2455"/>
      <c r="I360" s="2455"/>
      <c r="J360" s="2455"/>
      <c r="K360" s="2455"/>
      <c r="L360" s="2455"/>
      <c r="M360" s="2455"/>
      <c r="N360" s="2455"/>
      <c r="O360" s="2455"/>
      <c r="P360" s="2455"/>
      <c r="Q360" s="2455"/>
      <c r="R360" s="2455"/>
      <c r="S360" s="2455"/>
      <c r="T360" s="2455"/>
      <c r="U360" s="2455"/>
      <c r="V360" s="2455"/>
      <c r="W360" s="2455"/>
      <c r="X360" s="2455"/>
      <c r="Y360" s="2455"/>
      <c r="Z360" s="2455"/>
      <c r="AA360" s="2455"/>
      <c r="AB360" s="2455"/>
      <c r="AC360" s="2455"/>
      <c r="AD360" s="2455"/>
      <c r="AE360" s="2455"/>
      <c r="AF360" s="2455"/>
      <c r="AG360" s="2455"/>
      <c r="AH360" s="2455"/>
      <c r="AI360" s="2455"/>
      <c r="AJ360" s="2455"/>
      <c r="AK360" s="604"/>
      <c r="AL360" s="604"/>
      <c r="AM360" s="604"/>
      <c r="AN360" s="598"/>
      <c r="AO360" s="598"/>
      <c r="AP360" s="697">
        <f>IF(C399="Yes",5,0)</f>
        <v>0</v>
      </c>
      <c r="AS360" s="2476">
        <f>IF(AND(AQ366&gt;0,AQ375&gt;0),(AQ366+AQ375)/2,0)</f>
        <v>0</v>
      </c>
      <c r="AT360" s="2476"/>
    </row>
    <row r="361" spans="1:46" s="551" customFormat="1" ht="12.75" customHeight="1">
      <c r="A361" s="604"/>
      <c r="B361" s="612"/>
      <c r="C361" s="2455"/>
      <c r="D361" s="2455"/>
      <c r="E361" s="2455"/>
      <c r="F361" s="2455"/>
      <c r="G361" s="2455"/>
      <c r="H361" s="2455"/>
      <c r="I361" s="2455"/>
      <c r="J361" s="2455"/>
      <c r="K361" s="2455"/>
      <c r="L361" s="2455"/>
      <c r="M361" s="2455"/>
      <c r="N361" s="2455"/>
      <c r="O361" s="2455"/>
      <c r="P361" s="2455"/>
      <c r="Q361" s="2455"/>
      <c r="R361" s="2455"/>
      <c r="S361" s="2455"/>
      <c r="T361" s="2455"/>
      <c r="U361" s="2455"/>
      <c r="V361" s="2455"/>
      <c r="W361" s="2455"/>
      <c r="X361" s="2455"/>
      <c r="Y361" s="2455"/>
      <c r="Z361" s="2455"/>
      <c r="AA361" s="2455"/>
      <c r="AB361" s="2455"/>
      <c r="AC361" s="2455"/>
      <c r="AD361" s="2455"/>
      <c r="AE361" s="2455"/>
      <c r="AF361" s="2455"/>
      <c r="AG361" s="2455"/>
      <c r="AH361" s="2455"/>
      <c r="AI361" s="2455"/>
      <c r="AJ361" s="2455"/>
      <c r="AK361" s="604"/>
      <c r="AL361" s="604"/>
      <c r="AM361" s="604"/>
      <c r="AN361" s="598"/>
      <c r="AO361" s="696" t="s">
        <v>581</v>
      </c>
      <c r="AP361" s="697">
        <f>IF(C407="Yes",5,0)</f>
        <v>0</v>
      </c>
      <c r="AS361" s="540" t="s">
        <v>1878</v>
      </c>
    </row>
    <row r="362" spans="1:46" s="551" customFormat="1" ht="12.75" customHeight="1">
      <c r="A362" s="604"/>
      <c r="B362" s="612"/>
      <c r="C362" s="2477" t="s">
        <v>2234</v>
      </c>
      <c r="D362" s="2477"/>
      <c r="E362" s="2477"/>
      <c r="F362" s="2477"/>
      <c r="G362" s="2477"/>
      <c r="H362" s="2477"/>
      <c r="I362" s="2477"/>
      <c r="J362" s="2477"/>
      <c r="K362" s="2477"/>
      <c r="L362" s="2477"/>
      <c r="M362" s="2477"/>
      <c r="N362" s="2477"/>
      <c r="O362" s="2477"/>
      <c r="P362" s="2477"/>
      <c r="Q362" s="2477"/>
      <c r="R362" s="2477"/>
      <c r="S362" s="2477"/>
      <c r="T362" s="2477"/>
      <c r="U362" s="2477"/>
      <c r="V362" s="2477"/>
      <c r="W362" s="2477"/>
      <c r="X362" s="2477"/>
      <c r="Y362" s="2477"/>
      <c r="Z362" s="2477"/>
      <c r="AA362" s="2477"/>
      <c r="AB362" s="2477"/>
      <c r="AC362" s="2477"/>
      <c r="AD362" s="2477"/>
      <c r="AE362" s="2477"/>
      <c r="AF362" s="2477"/>
      <c r="AG362" s="2477"/>
      <c r="AH362" s="2477"/>
      <c r="AI362" s="2477"/>
      <c r="AJ362" s="2477"/>
      <c r="AK362" s="604"/>
      <c r="AL362" s="604"/>
      <c r="AM362" s="604"/>
      <c r="AN362" s="598"/>
      <c r="AO362" s="598"/>
      <c r="AP362" s="697">
        <f>IF(C409="Yes",3,0)</f>
        <v>3</v>
      </c>
      <c r="AS362" s="2476">
        <f>IF(AQ366=0,AQ375,AQ366)</f>
        <v>10</v>
      </c>
      <c r="AT362" s="2476"/>
    </row>
    <row r="363" spans="1:46" s="551" customFormat="1" ht="12.75" customHeight="1">
      <c r="A363" s="604"/>
      <c r="B363" s="612"/>
      <c r="C363" s="2477"/>
      <c r="D363" s="2477"/>
      <c r="E363" s="2477"/>
      <c r="F363" s="2477"/>
      <c r="G363" s="2477"/>
      <c r="H363" s="2477"/>
      <c r="I363" s="2477"/>
      <c r="J363" s="2477"/>
      <c r="K363" s="2477"/>
      <c r="L363" s="2477"/>
      <c r="M363" s="2477"/>
      <c r="N363" s="2477"/>
      <c r="O363" s="2477"/>
      <c r="P363" s="2477"/>
      <c r="Q363" s="2477"/>
      <c r="R363" s="2477"/>
      <c r="S363" s="2477"/>
      <c r="T363" s="2477"/>
      <c r="U363" s="2477"/>
      <c r="V363" s="2477"/>
      <c r="W363" s="2477"/>
      <c r="X363" s="2477"/>
      <c r="Y363" s="2477"/>
      <c r="Z363" s="2477"/>
      <c r="AA363" s="2477"/>
      <c r="AB363" s="2477"/>
      <c r="AC363" s="2477"/>
      <c r="AD363" s="2477"/>
      <c r="AE363" s="2477"/>
      <c r="AF363" s="2477"/>
      <c r="AG363" s="2477"/>
      <c r="AH363" s="2477"/>
      <c r="AI363" s="2477"/>
      <c r="AJ363" s="2477"/>
      <c r="AK363" s="604"/>
      <c r="AL363" s="604"/>
      <c r="AM363" s="604"/>
      <c r="AN363" s="598"/>
      <c r="AO363" s="696" t="s">
        <v>763</v>
      </c>
      <c r="AP363" s="697">
        <f>IF(C412="Yes",5,0)</f>
        <v>0</v>
      </c>
    </row>
    <row r="364" spans="1:46" s="551" customFormat="1" ht="12.75" customHeight="1">
      <c r="A364" s="604"/>
      <c r="B364" s="612"/>
      <c r="C364" s="2477"/>
      <c r="D364" s="2477"/>
      <c r="E364" s="2477"/>
      <c r="F364" s="2477"/>
      <c r="G364" s="2477"/>
      <c r="H364" s="2477"/>
      <c r="I364" s="2477"/>
      <c r="J364" s="2477"/>
      <c r="K364" s="2477"/>
      <c r="L364" s="2477"/>
      <c r="M364" s="2477"/>
      <c r="N364" s="2477"/>
      <c r="O364" s="2477"/>
      <c r="P364" s="2477"/>
      <c r="Q364" s="2477"/>
      <c r="R364" s="2477"/>
      <c r="S364" s="2477"/>
      <c r="T364" s="2477"/>
      <c r="U364" s="2477"/>
      <c r="V364" s="2477"/>
      <c r="W364" s="2477"/>
      <c r="X364" s="2477"/>
      <c r="Y364" s="2477"/>
      <c r="Z364" s="2477"/>
      <c r="AA364" s="2477"/>
      <c r="AB364" s="2477"/>
      <c r="AC364" s="2477"/>
      <c r="AD364" s="2477"/>
      <c r="AE364" s="2477"/>
      <c r="AF364" s="2477"/>
      <c r="AG364" s="2477"/>
      <c r="AH364" s="2477"/>
      <c r="AI364" s="2477"/>
      <c r="AJ364" s="2477"/>
      <c r="AK364" s="604"/>
      <c r="AL364" s="604"/>
      <c r="AM364" s="604"/>
      <c r="AN364" s="598"/>
      <c r="AO364" s="696" t="s">
        <v>584</v>
      </c>
      <c r="AP364" s="697">
        <f>IF(C421="Yes",5,0)</f>
        <v>0</v>
      </c>
    </row>
    <row r="365" spans="1:46" s="551" customFormat="1" ht="11.85" customHeight="1">
      <c r="A365" s="604"/>
      <c r="B365" s="612"/>
      <c r="C365" s="2477"/>
      <c r="D365" s="2477"/>
      <c r="E365" s="2477"/>
      <c r="F365" s="2477"/>
      <c r="G365" s="2477"/>
      <c r="H365" s="2477"/>
      <c r="I365" s="2477"/>
      <c r="J365" s="2477"/>
      <c r="K365" s="2477"/>
      <c r="L365" s="2477"/>
      <c r="M365" s="2477"/>
      <c r="N365" s="2477"/>
      <c r="O365" s="2477"/>
      <c r="P365" s="2477"/>
      <c r="Q365" s="2477"/>
      <c r="R365" s="2477"/>
      <c r="S365" s="2477"/>
      <c r="T365" s="2477"/>
      <c r="U365" s="2477"/>
      <c r="V365" s="2477"/>
      <c r="W365" s="2477"/>
      <c r="X365" s="2477"/>
      <c r="Y365" s="2477"/>
      <c r="Z365" s="2477"/>
      <c r="AA365" s="2477"/>
      <c r="AB365" s="2477"/>
      <c r="AC365" s="2477"/>
      <c r="AD365" s="2477"/>
      <c r="AE365" s="2477"/>
      <c r="AF365" s="2477"/>
      <c r="AG365" s="2477"/>
      <c r="AH365" s="2477"/>
      <c r="AI365" s="2477"/>
      <c r="AJ365" s="2477"/>
      <c r="AK365" s="604"/>
      <c r="AL365" s="604"/>
      <c r="AM365" s="604"/>
      <c r="AN365" s="598"/>
      <c r="AO365" s="698"/>
      <c r="AP365" s="699">
        <f>IF(C423="Yes",3,0)</f>
        <v>0</v>
      </c>
    </row>
    <row r="366" spans="1:46" s="551" customFormat="1" ht="12.4" customHeight="1">
      <c r="A366" s="604"/>
      <c r="B366" s="612"/>
      <c r="C366" s="2477"/>
      <c r="D366" s="2477"/>
      <c r="E366" s="2477"/>
      <c r="F366" s="2477"/>
      <c r="G366" s="2477"/>
      <c r="H366" s="2477"/>
      <c r="I366" s="2477"/>
      <c r="J366" s="2477"/>
      <c r="K366" s="2477"/>
      <c r="L366" s="2477"/>
      <c r="M366" s="2477"/>
      <c r="N366" s="2477"/>
      <c r="O366" s="2477"/>
      <c r="P366" s="2477"/>
      <c r="Q366" s="2477"/>
      <c r="R366" s="2477"/>
      <c r="S366" s="2477"/>
      <c r="T366" s="2477"/>
      <c r="U366" s="2477"/>
      <c r="V366" s="2477"/>
      <c r="W366" s="2477"/>
      <c r="X366" s="2477"/>
      <c r="Y366" s="2477"/>
      <c r="Z366" s="2477"/>
      <c r="AA366" s="2477"/>
      <c r="AB366" s="2477"/>
      <c r="AC366" s="2477"/>
      <c r="AD366" s="2477"/>
      <c r="AE366" s="2477"/>
      <c r="AF366" s="2477"/>
      <c r="AG366" s="2477"/>
      <c r="AH366" s="2477"/>
      <c r="AI366" s="2477"/>
      <c r="AJ366" s="2477"/>
      <c r="AK366" s="604"/>
      <c r="AL366" s="604"/>
      <c r="AM366" s="604"/>
      <c r="AN366" s="598"/>
      <c r="AO366" s="700" t="s">
        <v>226</v>
      </c>
      <c r="AP366" s="701">
        <f>SUM(AP357:AP365)</f>
        <v>10</v>
      </c>
      <c r="AQ366" s="2478">
        <f>IF(AP366&gt;0,AP366,0)</f>
        <v>10</v>
      </c>
      <c r="AR366" s="2478"/>
    </row>
    <row r="367" spans="1:46" s="551" customFormat="1" ht="12.75" customHeight="1">
      <c r="A367" s="604"/>
      <c r="B367" s="612"/>
      <c r="C367" s="2477"/>
      <c r="D367" s="2477"/>
      <c r="E367" s="2477"/>
      <c r="F367" s="2477"/>
      <c r="G367" s="2477"/>
      <c r="H367" s="2477"/>
      <c r="I367" s="2477"/>
      <c r="J367" s="2477"/>
      <c r="K367" s="2477"/>
      <c r="L367" s="2477"/>
      <c r="M367" s="2477"/>
      <c r="N367" s="2477"/>
      <c r="O367" s="2477"/>
      <c r="P367" s="2477"/>
      <c r="Q367" s="2477"/>
      <c r="R367" s="2477"/>
      <c r="S367" s="2477"/>
      <c r="T367" s="2477"/>
      <c r="U367" s="2477"/>
      <c r="V367" s="2477"/>
      <c r="W367" s="2477"/>
      <c r="X367" s="2477"/>
      <c r="Y367" s="2477"/>
      <c r="Z367" s="2477"/>
      <c r="AA367" s="2477"/>
      <c r="AB367" s="2477"/>
      <c r="AC367" s="2477"/>
      <c r="AD367" s="2477"/>
      <c r="AE367" s="2477"/>
      <c r="AF367" s="2477"/>
      <c r="AG367" s="2477"/>
      <c r="AH367" s="2477"/>
      <c r="AI367" s="2477"/>
      <c r="AJ367" s="2477"/>
      <c r="AK367" s="604"/>
      <c r="AL367" s="604"/>
      <c r="AM367" s="604"/>
      <c r="AN367" s="598"/>
      <c r="AP367" s="571"/>
    </row>
    <row r="368" spans="1:46" s="551" customFormat="1" ht="12.75" customHeight="1">
      <c r="A368" s="604"/>
      <c r="B368" s="612"/>
      <c r="C368" s="693"/>
      <c r="D368" s="693"/>
      <c r="E368" s="693"/>
      <c r="F368" s="693"/>
      <c r="G368" s="693"/>
      <c r="H368" s="693"/>
      <c r="I368" s="693"/>
      <c r="J368" s="693"/>
      <c r="K368" s="693"/>
      <c r="L368" s="693"/>
      <c r="M368" s="693"/>
      <c r="N368" s="693"/>
      <c r="O368" s="693"/>
      <c r="P368" s="693"/>
      <c r="Q368" s="693"/>
      <c r="R368" s="693"/>
      <c r="S368" s="693"/>
      <c r="T368" s="693"/>
      <c r="U368" s="693"/>
      <c r="V368" s="693"/>
      <c r="W368" s="693"/>
      <c r="X368" s="693"/>
      <c r="Y368" s="693"/>
      <c r="Z368" s="693"/>
      <c r="AA368" s="693"/>
      <c r="AB368" s="693"/>
      <c r="AC368" s="693"/>
      <c r="AD368" s="693"/>
      <c r="AE368" s="693"/>
      <c r="AF368" s="693"/>
      <c r="AG368" s="693"/>
      <c r="AH368" s="693"/>
      <c r="AI368" s="693"/>
      <c r="AJ368" s="693"/>
      <c r="AK368" s="604"/>
      <c r="AL368" s="604"/>
      <c r="AM368" s="604"/>
      <c r="AN368" s="598"/>
      <c r="AO368" s="696" t="s">
        <v>455</v>
      </c>
      <c r="AP368" s="697">
        <f>IF(C430="Yes",5,0)</f>
        <v>0</v>
      </c>
    </row>
    <row r="369" spans="1:81" s="551" customFormat="1" ht="12.75" customHeight="1">
      <c r="A369" s="604"/>
      <c r="B369" s="612"/>
      <c r="C369" s="2455" t="s">
        <v>1457</v>
      </c>
      <c r="D369" s="2455"/>
      <c r="E369" s="2455"/>
      <c r="F369" s="2455"/>
      <c r="G369" s="2455"/>
      <c r="H369" s="2455"/>
      <c r="I369" s="2455"/>
      <c r="J369" s="2455"/>
      <c r="K369" s="2455"/>
      <c r="L369" s="2455"/>
      <c r="M369" s="2455"/>
      <c r="N369" s="2455"/>
      <c r="O369" s="2455"/>
      <c r="P369" s="2455"/>
      <c r="Q369" s="2455"/>
      <c r="R369" s="2455"/>
      <c r="S369" s="2455"/>
      <c r="T369" s="2455"/>
      <c r="U369" s="2455"/>
      <c r="V369" s="2455"/>
      <c r="W369" s="2455"/>
      <c r="X369" s="2455"/>
      <c r="Y369" s="2455"/>
      <c r="Z369" s="2455"/>
      <c r="AA369" s="2455"/>
      <c r="AB369" s="2455"/>
      <c r="AC369" s="2455"/>
      <c r="AD369" s="2455"/>
      <c r="AE369" s="2455"/>
      <c r="AF369" s="2455"/>
      <c r="AG369" s="2455"/>
      <c r="AH369" s="2455"/>
      <c r="AI369" s="2455"/>
      <c r="AJ369" s="2455"/>
      <c r="AK369" s="604"/>
      <c r="AL369" s="604"/>
      <c r="AM369" s="604"/>
      <c r="AN369" s="598"/>
      <c r="AO369" s="696" t="s">
        <v>456</v>
      </c>
      <c r="AP369" s="697">
        <f>IF(C442="Yes",5,0)</f>
        <v>0</v>
      </c>
    </row>
    <row r="370" spans="1:81" s="551" customFormat="1" ht="12.75" customHeight="1">
      <c r="A370" s="604"/>
      <c r="B370" s="612"/>
      <c r="C370" s="2455"/>
      <c r="D370" s="2455"/>
      <c r="E370" s="2455"/>
      <c r="F370" s="2455"/>
      <c r="G370" s="2455"/>
      <c r="H370" s="2455"/>
      <c r="I370" s="2455"/>
      <c r="J370" s="2455"/>
      <c r="K370" s="2455"/>
      <c r="L370" s="2455"/>
      <c r="M370" s="2455"/>
      <c r="N370" s="2455"/>
      <c r="O370" s="2455"/>
      <c r="P370" s="2455"/>
      <c r="Q370" s="2455"/>
      <c r="R370" s="2455"/>
      <c r="S370" s="2455"/>
      <c r="T370" s="2455"/>
      <c r="U370" s="2455"/>
      <c r="V370" s="2455"/>
      <c r="W370" s="2455"/>
      <c r="X370" s="2455"/>
      <c r="Y370" s="2455"/>
      <c r="Z370" s="2455"/>
      <c r="AA370" s="2455"/>
      <c r="AB370" s="2455"/>
      <c r="AC370" s="2455"/>
      <c r="AD370" s="2455"/>
      <c r="AE370" s="2455"/>
      <c r="AF370" s="2455"/>
      <c r="AG370" s="2455"/>
      <c r="AH370" s="2455"/>
      <c r="AI370" s="2455"/>
      <c r="AJ370" s="2455"/>
      <c r="AK370" s="604"/>
      <c r="AL370" s="604"/>
      <c r="AM370" s="604"/>
      <c r="AN370" s="598"/>
      <c r="AO370" s="696" t="s">
        <v>461</v>
      </c>
      <c r="AP370" s="697">
        <f>IF(C449="Yes",5,0)</f>
        <v>0</v>
      </c>
    </row>
    <row r="371" spans="1:81" s="551" customFormat="1" ht="68.099999999999994" customHeight="1">
      <c r="A371" s="604"/>
      <c r="B371" s="612"/>
      <c r="C371" s="2455"/>
      <c r="D371" s="2455"/>
      <c r="E371" s="2455"/>
      <c r="F371" s="2455"/>
      <c r="G371" s="2455"/>
      <c r="H371" s="2455"/>
      <c r="I371" s="2455"/>
      <c r="J371" s="2455"/>
      <c r="K371" s="2455"/>
      <c r="L371" s="2455"/>
      <c r="M371" s="2455"/>
      <c r="N371" s="2455"/>
      <c r="O371" s="2455"/>
      <c r="P371" s="2455"/>
      <c r="Q371" s="2455"/>
      <c r="R371" s="2455"/>
      <c r="S371" s="2455"/>
      <c r="T371" s="2455"/>
      <c r="U371" s="2455"/>
      <c r="V371" s="2455"/>
      <c r="W371" s="2455"/>
      <c r="X371" s="2455"/>
      <c r="Y371" s="2455"/>
      <c r="Z371" s="2455"/>
      <c r="AA371" s="2455"/>
      <c r="AB371" s="2455"/>
      <c r="AC371" s="2455"/>
      <c r="AD371" s="2455"/>
      <c r="AE371" s="2455"/>
      <c r="AF371" s="2455"/>
      <c r="AG371" s="2455"/>
      <c r="AH371" s="2455"/>
      <c r="AI371" s="2455"/>
      <c r="AJ371" s="2455"/>
      <c r="AK371" s="604"/>
      <c r="AL371" s="604"/>
      <c r="AM371" s="604"/>
      <c r="AN371" s="598"/>
      <c r="AO371" s="696" t="s">
        <v>646</v>
      </c>
      <c r="AP371" s="702">
        <f>IF(C453="Yes",5,0)</f>
        <v>0</v>
      </c>
    </row>
    <row r="372" spans="1:81" s="551" customFormat="1" ht="12.4" customHeight="1">
      <c r="A372" s="604"/>
      <c r="B372" s="612"/>
      <c r="C372" s="551" t="s">
        <v>1458</v>
      </c>
      <c r="AF372" s="604"/>
      <c r="AG372" s="604"/>
      <c r="AH372" s="604"/>
      <c r="AI372" s="604"/>
      <c r="AJ372" s="604"/>
      <c r="AK372" s="604"/>
      <c r="AL372" s="604"/>
      <c r="AM372" s="604"/>
      <c r="AN372" s="598"/>
      <c r="AO372" s="696" t="s">
        <v>361</v>
      </c>
      <c r="AP372" s="697">
        <f>IF(C457="Yes",5,0)</f>
        <v>0</v>
      </c>
    </row>
    <row r="373" spans="1:81" s="551" customFormat="1" ht="12.75" customHeight="1">
      <c r="A373" s="604"/>
      <c r="B373" s="612"/>
      <c r="C373" s="703" t="s">
        <v>2211</v>
      </c>
      <c r="D373" s="704"/>
      <c r="E373" s="704"/>
      <c r="F373" s="704"/>
      <c r="G373" s="704"/>
      <c r="H373" s="704"/>
      <c r="I373" s="704"/>
      <c r="J373" s="704"/>
      <c r="K373" s="704"/>
      <c r="L373" s="704"/>
      <c r="M373" s="668"/>
      <c r="N373" s="668"/>
      <c r="O373" s="705"/>
      <c r="P373" s="704"/>
      <c r="Q373" s="704"/>
      <c r="R373" s="668"/>
      <c r="S373" s="668"/>
      <c r="T373" s="704"/>
      <c r="U373" s="2563">
        <f>Application!DU802-U374</f>
        <v>323</v>
      </c>
      <c r="V373" s="2563"/>
      <c r="W373" s="2563"/>
      <c r="X373" s="704"/>
      <c r="Y373" s="704"/>
      <c r="Z373" s="704"/>
      <c r="AA373" s="706"/>
      <c r="AB373" s="707"/>
      <c r="AC373" s="707"/>
      <c r="AD373" s="707"/>
      <c r="AE373" s="604"/>
      <c r="AF373" s="604"/>
      <c r="AG373" s="604"/>
      <c r="AH373" s="604"/>
      <c r="AI373" s="604"/>
      <c r="AJ373" s="604"/>
      <c r="AK373" s="604"/>
      <c r="AL373" s="604"/>
      <c r="AM373" s="604"/>
      <c r="AN373" s="598"/>
      <c r="AO373" s="696" t="s">
        <v>362</v>
      </c>
      <c r="AP373" s="697">
        <f>IF(C466="Yes",5,0)</f>
        <v>0</v>
      </c>
    </row>
    <row r="374" spans="1:81" s="551" customFormat="1" ht="12.75" customHeight="1">
      <c r="A374" s="604"/>
      <c r="B374" s="612"/>
      <c r="C374" s="708" t="s">
        <v>2212</v>
      </c>
      <c r="D374" s="695"/>
      <c r="E374" s="695"/>
      <c r="F374" s="695"/>
      <c r="G374" s="695"/>
      <c r="H374" s="695"/>
      <c r="I374" s="695"/>
      <c r="J374" s="695"/>
      <c r="K374" s="695"/>
      <c r="L374" s="695"/>
      <c r="M374" s="695"/>
      <c r="N374" s="695"/>
      <c r="O374" s="695"/>
      <c r="P374" s="695"/>
      <c r="Q374" s="695"/>
      <c r="R374" s="695"/>
      <c r="S374" s="695"/>
      <c r="T374" s="695"/>
      <c r="U374" s="2564">
        <f>IF(Application!D211="SRO",Application!DU755,Application!AG756)</f>
        <v>0</v>
      </c>
      <c r="V374" s="2564"/>
      <c r="W374" s="2564"/>
      <c r="X374" s="695"/>
      <c r="Y374" s="695"/>
      <c r="Z374" s="695"/>
      <c r="AA374" s="709"/>
      <c r="AC374" s="710"/>
      <c r="AD374" s="710"/>
      <c r="AE374" s="604"/>
      <c r="AF374" s="604"/>
      <c r="AG374" s="604"/>
      <c r="AH374" s="604"/>
      <c r="AI374" s="604"/>
      <c r="AJ374" s="604"/>
      <c r="AK374" s="604"/>
      <c r="AL374" s="604"/>
      <c r="AM374" s="604"/>
      <c r="AN374" s="598"/>
      <c r="AO374" s="698"/>
      <c r="AP374" s="699"/>
    </row>
    <row r="375" spans="1:81" s="551" customFormat="1" ht="12.75" customHeight="1">
      <c r="A375" s="604"/>
      <c r="B375" s="612"/>
      <c r="C375" s="597"/>
      <c r="U375" s="788"/>
      <c r="V375" s="788"/>
      <c r="W375" s="788"/>
      <c r="AC375" s="710"/>
      <c r="AD375" s="710"/>
      <c r="AE375" s="604"/>
      <c r="AF375" s="604"/>
      <c r="AG375" s="604"/>
      <c r="AH375" s="604"/>
      <c r="AI375" s="604"/>
      <c r="AJ375" s="604"/>
      <c r="AK375" s="604"/>
      <c r="AL375" s="604"/>
      <c r="AM375" s="604"/>
      <c r="AN375" s="598"/>
      <c r="AO375" s="711" t="s">
        <v>226</v>
      </c>
      <c r="AP375" s="712">
        <f>SUM(AP368:AP373)</f>
        <v>0</v>
      </c>
      <c r="AQ375" s="2478">
        <f>IF(AP375&gt;0,AP375,0)</f>
        <v>0</v>
      </c>
      <c r="AR375" s="2478"/>
    </row>
    <row r="376" spans="1:81" s="551" customFormat="1" ht="12.75" customHeight="1">
      <c r="A376" s="604"/>
      <c r="B376" s="14"/>
      <c r="C376" s="713" t="s">
        <v>2209</v>
      </c>
      <c r="D376" s="604"/>
      <c r="E376" s="604"/>
      <c r="F376" s="604"/>
      <c r="G376" s="604"/>
      <c r="H376" s="604"/>
      <c r="I376" s="604"/>
      <c r="J376" s="604"/>
      <c r="K376" s="604"/>
      <c r="L376" s="604"/>
      <c r="M376" s="604"/>
      <c r="N376" s="604"/>
      <c r="O376" s="604"/>
      <c r="P376" s="604"/>
      <c r="Q376" s="604"/>
      <c r="R376" s="604"/>
      <c r="S376" s="604"/>
      <c r="T376" s="604"/>
      <c r="U376" s="604"/>
      <c r="V376" s="604"/>
      <c r="W376" s="604"/>
      <c r="X376" s="604"/>
      <c r="Y376" s="604"/>
      <c r="Z376" s="604"/>
      <c r="AA376" s="604"/>
      <c r="AB376" s="604"/>
      <c r="AC376" s="604"/>
      <c r="AD376" s="604"/>
      <c r="AE376" s="604"/>
      <c r="AF376" s="604"/>
      <c r="AG376" s="604"/>
      <c r="AH376" s="604"/>
      <c r="AI376" s="604"/>
      <c r="AJ376" s="604"/>
      <c r="AK376" s="604"/>
      <c r="AL376" s="604"/>
      <c r="AM376" s="604"/>
      <c r="AN376" s="598"/>
      <c r="BS376" s="30"/>
      <c r="BT376" s="30"/>
      <c r="BU376" s="14"/>
      <c r="BV376" s="14"/>
      <c r="BW376" s="14"/>
    </row>
    <row r="377" spans="1:81" s="551" customFormat="1" ht="12.75" customHeight="1">
      <c r="A377" s="537"/>
      <c r="B377" s="14"/>
      <c r="C377" s="714"/>
      <c r="D377" s="715"/>
      <c r="E377" s="716" t="s">
        <v>1314</v>
      </c>
      <c r="F377" s="2459" t="s">
        <v>1459</v>
      </c>
      <c r="G377" s="2459"/>
      <c r="H377" s="2459"/>
      <c r="I377" s="2459"/>
      <c r="J377" s="2459"/>
      <c r="K377" s="2459"/>
      <c r="L377" s="2459"/>
      <c r="M377" s="2459"/>
      <c r="N377" s="2459"/>
      <c r="O377" s="2459"/>
      <c r="P377" s="2459"/>
      <c r="Q377" s="2459"/>
      <c r="R377" s="2459"/>
      <c r="S377" s="2459"/>
      <c r="T377" s="2459"/>
      <c r="U377" s="2459"/>
      <c r="V377" s="2459"/>
      <c r="W377" s="2459"/>
      <c r="X377" s="2459"/>
      <c r="Y377" s="2459"/>
      <c r="Z377" s="2459"/>
      <c r="AA377" s="2459"/>
      <c r="AB377" s="2459"/>
      <c r="AC377" s="2459"/>
      <c r="AD377" s="2459"/>
      <c r="AE377" s="2459"/>
      <c r="AF377" s="2459"/>
      <c r="AG377" s="717"/>
      <c r="AH377" s="717"/>
      <c r="AI377" s="717"/>
      <c r="AJ377" s="717"/>
      <c r="AK377" s="717"/>
      <c r="AL377" s="718"/>
      <c r="AM377" s="571"/>
      <c r="AN377" s="598"/>
      <c r="AP377" s="571"/>
      <c r="BS377" s="30"/>
      <c r="BT377" s="30"/>
      <c r="BU377" s="14"/>
      <c r="BV377" s="14"/>
      <c r="BW377" s="14"/>
      <c r="BX377" s="14"/>
      <c r="BY377" s="14"/>
      <c r="BZ377" s="14"/>
      <c r="CA377" s="14"/>
      <c r="CB377" s="14"/>
      <c r="CC377" s="14"/>
    </row>
    <row r="378" spans="1:81" s="551" customFormat="1" ht="12.75" customHeight="1">
      <c r="A378" s="537"/>
      <c r="B378" s="14"/>
      <c r="C378" s="719"/>
      <c r="D378" s="537"/>
      <c r="E378" s="720"/>
      <c r="F378" s="2460"/>
      <c r="G378" s="2460"/>
      <c r="H378" s="2460"/>
      <c r="I378" s="2460"/>
      <c r="J378" s="2460"/>
      <c r="K378" s="2460"/>
      <c r="L378" s="2460"/>
      <c r="M378" s="2460"/>
      <c r="N378" s="2460"/>
      <c r="O378" s="2460"/>
      <c r="P378" s="2460"/>
      <c r="Q378" s="2460"/>
      <c r="R378" s="2460"/>
      <c r="S378" s="2460"/>
      <c r="T378" s="2460"/>
      <c r="U378" s="2460"/>
      <c r="V378" s="2460"/>
      <c r="W378" s="2460"/>
      <c r="X378" s="2460"/>
      <c r="Y378" s="2460"/>
      <c r="Z378" s="2460"/>
      <c r="AA378" s="2460"/>
      <c r="AB378" s="2460"/>
      <c r="AC378" s="2460"/>
      <c r="AD378" s="2460"/>
      <c r="AE378" s="2460"/>
      <c r="AF378" s="2460"/>
      <c r="AG378" s="540"/>
      <c r="AH378" s="540"/>
      <c r="AI378" s="540"/>
      <c r="AJ378" s="540"/>
      <c r="AK378" s="540"/>
      <c r="AL378" s="721"/>
      <c r="AM378" s="571"/>
      <c r="AN378" s="598"/>
      <c r="AP378" s="571"/>
      <c r="BS378" s="30"/>
      <c r="BT378" s="30"/>
      <c r="BU378" s="14"/>
      <c r="BV378" s="14"/>
      <c r="BW378" s="14"/>
      <c r="BX378" s="14"/>
      <c r="BY378" s="14"/>
      <c r="BZ378" s="14"/>
      <c r="CA378" s="14"/>
      <c r="CB378" s="14"/>
      <c r="CC378" s="14"/>
    </row>
    <row r="379" spans="1:81" s="551" customFormat="1" ht="12.75" customHeight="1">
      <c r="A379" s="537"/>
      <c r="B379" s="14"/>
      <c r="C379" s="719"/>
      <c r="D379" s="537"/>
      <c r="E379" s="720"/>
      <c r="F379" s="2460"/>
      <c r="G379" s="2460"/>
      <c r="H379" s="2460"/>
      <c r="I379" s="2460"/>
      <c r="J379" s="2460"/>
      <c r="K379" s="2460"/>
      <c r="L379" s="2460"/>
      <c r="M379" s="2460"/>
      <c r="N379" s="2460"/>
      <c r="O379" s="2460"/>
      <c r="P379" s="2460"/>
      <c r="Q379" s="2460"/>
      <c r="R379" s="2460"/>
      <c r="S379" s="2460"/>
      <c r="T379" s="2460"/>
      <c r="U379" s="2460"/>
      <c r="V379" s="2460"/>
      <c r="W379" s="2460"/>
      <c r="X379" s="2460"/>
      <c r="Y379" s="2460"/>
      <c r="Z379" s="2460"/>
      <c r="AA379" s="2460"/>
      <c r="AB379" s="2460"/>
      <c r="AC379" s="2460"/>
      <c r="AD379" s="2460"/>
      <c r="AE379" s="2460"/>
      <c r="AF379" s="2460"/>
      <c r="AG379" s="540"/>
      <c r="AH379" s="540"/>
      <c r="AI379" s="540"/>
      <c r="AJ379" s="540"/>
      <c r="AK379" s="540"/>
      <c r="AL379" s="721"/>
      <c r="AM379" s="571"/>
      <c r="AN379" s="598"/>
      <c r="BS379" s="30"/>
      <c r="BT379" s="30"/>
      <c r="BU379" s="14"/>
      <c r="BV379" s="14"/>
      <c r="BW379" s="14"/>
      <c r="BX379" s="14"/>
      <c r="BY379" s="14"/>
      <c r="BZ379" s="14"/>
      <c r="CA379" s="14"/>
      <c r="CB379" s="14"/>
      <c r="CC379" s="14"/>
    </row>
    <row r="380" spans="1:81" s="551" customFormat="1" ht="12.75" customHeight="1">
      <c r="A380" s="537"/>
      <c r="B380" s="14"/>
      <c r="C380" s="719"/>
      <c r="D380" s="537"/>
      <c r="E380" s="720"/>
      <c r="F380" s="2460"/>
      <c r="G380" s="2460"/>
      <c r="H380" s="2460"/>
      <c r="I380" s="2460"/>
      <c r="J380" s="2460"/>
      <c r="K380" s="2460"/>
      <c r="L380" s="2460"/>
      <c r="M380" s="2460"/>
      <c r="N380" s="2460"/>
      <c r="O380" s="2460"/>
      <c r="P380" s="2460"/>
      <c r="Q380" s="2460"/>
      <c r="R380" s="2460"/>
      <c r="S380" s="2460"/>
      <c r="T380" s="2460"/>
      <c r="U380" s="2460"/>
      <c r="V380" s="2460"/>
      <c r="W380" s="2460"/>
      <c r="X380" s="2460"/>
      <c r="Y380" s="2460"/>
      <c r="Z380" s="2460"/>
      <c r="AA380" s="2460"/>
      <c r="AB380" s="2460"/>
      <c r="AC380" s="2460"/>
      <c r="AD380" s="2460"/>
      <c r="AE380" s="2460"/>
      <c r="AF380" s="2460"/>
      <c r="AG380" s="540"/>
      <c r="AH380" s="540"/>
      <c r="AI380" s="540"/>
      <c r="AJ380" s="540"/>
      <c r="AK380" s="540"/>
      <c r="AL380" s="721"/>
      <c r="AM380" s="571"/>
      <c r="AN380" s="598"/>
      <c r="BS380" s="30"/>
      <c r="BT380" s="30"/>
      <c r="BU380" s="14"/>
      <c r="BV380" s="14"/>
      <c r="BW380" s="14"/>
      <c r="BX380" s="14"/>
      <c r="BY380" s="14"/>
      <c r="BZ380" s="14"/>
      <c r="CA380" s="14"/>
      <c r="CB380" s="14"/>
      <c r="CC380" s="14"/>
    </row>
    <row r="381" spans="1:81" s="551" customFormat="1" ht="12.75" customHeight="1">
      <c r="A381" s="537"/>
      <c r="B381" s="14"/>
      <c r="C381" s="2456" t="s">
        <v>591</v>
      </c>
      <c r="D381" s="2413"/>
      <c r="E381" s="720"/>
      <c r="F381" s="722" t="s">
        <v>1460</v>
      </c>
      <c r="G381" s="604"/>
      <c r="H381" s="604"/>
      <c r="I381" s="604"/>
      <c r="J381" s="604"/>
      <c r="K381" s="604"/>
      <c r="L381" s="604"/>
      <c r="M381" s="604"/>
      <c r="N381" s="604"/>
      <c r="O381" s="604"/>
      <c r="P381" s="604"/>
      <c r="Q381" s="604"/>
      <c r="R381" s="604"/>
      <c r="S381" s="604"/>
      <c r="T381" s="604"/>
      <c r="U381" s="604"/>
      <c r="V381" s="604"/>
      <c r="W381" s="604"/>
      <c r="X381" s="604"/>
      <c r="Y381" s="604"/>
      <c r="Z381" s="604"/>
      <c r="AA381" s="604"/>
      <c r="AB381" s="604"/>
      <c r="AC381" s="604"/>
      <c r="AD381" s="604"/>
      <c r="AF381" s="2457" t="s">
        <v>1461</v>
      </c>
      <c r="AG381" s="2457"/>
      <c r="AH381" s="2457"/>
      <c r="AI381" s="2457"/>
      <c r="AJ381" s="2457"/>
      <c r="AK381" s="2457"/>
      <c r="AL381" s="2458"/>
      <c r="AM381" s="723"/>
      <c r="BS381" s="30"/>
      <c r="BT381" s="30"/>
      <c r="BU381" s="14"/>
      <c r="BV381" s="14"/>
      <c r="BW381" s="14"/>
      <c r="BX381" s="14"/>
      <c r="BY381" s="14"/>
      <c r="BZ381" s="14"/>
      <c r="CA381" s="14"/>
      <c r="CB381" s="14"/>
      <c r="CC381" s="14"/>
    </row>
    <row r="382" spans="1:81" s="551" customFormat="1" ht="12.75" customHeight="1">
      <c r="A382" s="537"/>
      <c r="B382" s="14"/>
      <c r="C382" s="757"/>
      <c r="D382" s="724"/>
      <c r="E382" s="725"/>
      <c r="F382" s="726"/>
      <c r="G382" s="727"/>
      <c r="H382" s="727"/>
      <c r="I382" s="727"/>
      <c r="J382" s="727"/>
      <c r="K382" s="727"/>
      <c r="L382" s="727"/>
      <c r="M382" s="727"/>
      <c r="N382" s="727"/>
      <c r="O382" s="727"/>
      <c r="P382" s="727"/>
      <c r="Q382" s="727"/>
      <c r="R382" s="727"/>
      <c r="S382" s="727"/>
      <c r="T382" s="727"/>
      <c r="U382" s="727"/>
      <c r="V382" s="727"/>
      <c r="W382" s="727"/>
      <c r="X382" s="727"/>
      <c r="Y382" s="727"/>
      <c r="Z382" s="727"/>
      <c r="AA382" s="727"/>
      <c r="AB382" s="727"/>
      <c r="AC382" s="727"/>
      <c r="AD382" s="727"/>
      <c r="AE382" s="728"/>
      <c r="AF382" s="728"/>
      <c r="AG382" s="728"/>
      <c r="AH382" s="728"/>
      <c r="AI382" s="728"/>
      <c r="AJ382" s="728"/>
      <c r="AK382" s="728"/>
      <c r="AL382" s="758"/>
      <c r="AM382" s="730"/>
      <c r="AN382" s="598"/>
      <c r="CC382" s="14"/>
    </row>
    <row r="383" spans="1:81" s="551" customFormat="1" ht="12.75" customHeight="1">
      <c r="A383" s="537"/>
      <c r="B383" s="14"/>
      <c r="C383" s="731"/>
      <c r="D383" s="731"/>
      <c r="E383" s="720"/>
      <c r="F383" s="677"/>
      <c r="G383" s="677"/>
      <c r="H383" s="677"/>
      <c r="I383" s="677"/>
      <c r="J383" s="677"/>
      <c r="K383" s="677"/>
      <c r="L383" s="677"/>
      <c r="M383" s="677"/>
      <c r="N383" s="677"/>
      <c r="O383" s="677"/>
      <c r="P383" s="677"/>
      <c r="Q383" s="677"/>
      <c r="R383" s="677"/>
      <c r="S383" s="677"/>
      <c r="T383" s="677"/>
      <c r="U383" s="677"/>
      <c r="V383" s="677"/>
      <c r="W383" s="677"/>
      <c r="X383" s="677"/>
      <c r="Y383" s="677"/>
      <c r="Z383" s="677"/>
      <c r="AA383" s="677"/>
      <c r="AB383" s="677"/>
      <c r="AC383" s="677"/>
      <c r="AD383" s="677"/>
      <c r="AE383" s="592"/>
      <c r="AF383" s="592"/>
      <c r="AG383" s="592"/>
      <c r="AH383" s="592"/>
      <c r="AI383" s="592"/>
      <c r="AJ383" s="592"/>
      <c r="AK383" s="592"/>
      <c r="AL383" s="592"/>
      <c r="AM383" s="571"/>
      <c r="AN383" s="598"/>
      <c r="BS383" s="30"/>
      <c r="BT383" s="30"/>
      <c r="BU383" s="14"/>
      <c r="BV383" s="14"/>
      <c r="BW383" s="14"/>
      <c r="BX383" s="14"/>
      <c r="BY383" s="14"/>
      <c r="BZ383" s="14"/>
      <c r="CA383" s="14"/>
      <c r="CB383" s="14"/>
      <c r="CC383" s="14"/>
    </row>
    <row r="384" spans="1:81" s="551" customFormat="1" ht="12.75" customHeight="1">
      <c r="A384" s="537"/>
      <c r="B384" s="14"/>
      <c r="C384" s="714"/>
      <c r="D384" s="715"/>
      <c r="E384" s="716" t="s">
        <v>1316</v>
      </c>
      <c r="F384" s="2459" t="s">
        <v>1462</v>
      </c>
      <c r="G384" s="2459"/>
      <c r="H384" s="2459"/>
      <c r="I384" s="2459"/>
      <c r="J384" s="2459"/>
      <c r="K384" s="2459"/>
      <c r="L384" s="2459"/>
      <c r="M384" s="2459"/>
      <c r="N384" s="2459"/>
      <c r="O384" s="2459"/>
      <c r="P384" s="2459"/>
      <c r="Q384" s="2459"/>
      <c r="R384" s="2459"/>
      <c r="S384" s="2459"/>
      <c r="T384" s="2459"/>
      <c r="U384" s="2459"/>
      <c r="V384" s="2459"/>
      <c r="W384" s="2459"/>
      <c r="X384" s="2459"/>
      <c r="Y384" s="2459"/>
      <c r="Z384" s="2459"/>
      <c r="AA384" s="2459"/>
      <c r="AB384" s="2459"/>
      <c r="AC384" s="2459"/>
      <c r="AD384" s="2459"/>
      <c r="AE384" s="2459"/>
      <c r="AF384" s="2459"/>
      <c r="AG384" s="717"/>
      <c r="AH384" s="717"/>
      <c r="AI384" s="717"/>
      <c r="AJ384" s="717"/>
      <c r="AK384" s="717"/>
      <c r="AL384" s="718"/>
      <c r="AM384" s="571"/>
      <c r="AN384" s="598"/>
      <c r="BS384" s="30"/>
      <c r="BT384" s="30"/>
      <c r="BU384" s="14"/>
      <c r="BV384" s="14"/>
      <c r="BW384" s="14"/>
      <c r="BX384" s="14"/>
      <c r="BY384" s="14"/>
      <c r="BZ384" s="14"/>
      <c r="CA384" s="14"/>
      <c r="CB384" s="14"/>
      <c r="CC384" s="14"/>
    </row>
    <row r="385" spans="1:81" s="551" customFormat="1" ht="12.75" customHeight="1">
      <c r="A385" s="537"/>
      <c r="B385" s="14"/>
      <c r="C385" s="732"/>
      <c r="D385" s="14"/>
      <c r="E385" s="692"/>
      <c r="F385" s="2460"/>
      <c r="G385" s="2460"/>
      <c r="H385" s="2460"/>
      <c r="I385" s="2460"/>
      <c r="J385" s="2460"/>
      <c r="K385" s="2460"/>
      <c r="L385" s="2460"/>
      <c r="M385" s="2460"/>
      <c r="N385" s="2460"/>
      <c r="O385" s="2460"/>
      <c r="P385" s="2460"/>
      <c r="Q385" s="2460"/>
      <c r="R385" s="2460"/>
      <c r="S385" s="2460"/>
      <c r="T385" s="2460"/>
      <c r="U385" s="2460"/>
      <c r="V385" s="2460"/>
      <c r="W385" s="2460"/>
      <c r="X385" s="2460"/>
      <c r="Y385" s="2460"/>
      <c r="Z385" s="2460"/>
      <c r="AA385" s="2460"/>
      <c r="AB385" s="2460"/>
      <c r="AC385" s="2460"/>
      <c r="AD385" s="2460"/>
      <c r="AE385" s="2460"/>
      <c r="AF385" s="2460"/>
      <c r="AG385" s="540"/>
      <c r="AH385" s="540"/>
      <c r="AI385" s="540"/>
      <c r="AJ385" s="540"/>
      <c r="AK385" s="540"/>
      <c r="AL385" s="721"/>
      <c r="AM385" s="571"/>
      <c r="AN385" s="598"/>
      <c r="BS385" s="30"/>
      <c r="BT385" s="30"/>
      <c r="BU385" s="14"/>
      <c r="BV385" s="14"/>
      <c r="BW385" s="14"/>
      <c r="BX385" s="14"/>
      <c r="BY385" s="14"/>
      <c r="BZ385" s="14"/>
      <c r="CA385" s="14"/>
      <c r="CB385" s="14"/>
      <c r="CC385" s="14"/>
    </row>
    <row r="386" spans="1:81" s="551" customFormat="1" ht="12.75" customHeight="1">
      <c r="A386" s="537"/>
      <c r="B386" s="14"/>
      <c r="C386" s="732"/>
      <c r="D386" s="14"/>
      <c r="E386" s="692"/>
      <c r="F386" s="2460"/>
      <c r="G386" s="2460"/>
      <c r="H386" s="2460"/>
      <c r="I386" s="2460"/>
      <c r="J386" s="2460"/>
      <c r="K386" s="2460"/>
      <c r="L386" s="2460"/>
      <c r="M386" s="2460"/>
      <c r="N386" s="2460"/>
      <c r="O386" s="2460"/>
      <c r="P386" s="2460"/>
      <c r="Q386" s="2460"/>
      <c r="R386" s="2460"/>
      <c r="S386" s="2460"/>
      <c r="T386" s="2460"/>
      <c r="U386" s="2460"/>
      <c r="V386" s="2460"/>
      <c r="W386" s="2460"/>
      <c r="X386" s="2460"/>
      <c r="Y386" s="2460"/>
      <c r="Z386" s="2460"/>
      <c r="AA386" s="2460"/>
      <c r="AB386" s="2460"/>
      <c r="AC386" s="2460"/>
      <c r="AD386" s="2460"/>
      <c r="AE386" s="2460"/>
      <c r="AF386" s="2460"/>
      <c r="AG386" s="540"/>
      <c r="AH386" s="540"/>
      <c r="AI386" s="540"/>
      <c r="AJ386" s="540"/>
      <c r="AK386" s="540"/>
      <c r="AL386" s="721"/>
      <c r="AM386" s="571"/>
      <c r="AN386" s="598"/>
      <c r="BS386" s="30"/>
      <c r="BT386" s="30"/>
      <c r="BU386" s="14"/>
      <c r="BV386" s="14"/>
      <c r="BW386" s="14"/>
      <c r="BX386" s="14"/>
      <c r="BY386" s="14"/>
      <c r="BZ386" s="14"/>
      <c r="CA386" s="14"/>
      <c r="CB386" s="14"/>
      <c r="CC386" s="14"/>
    </row>
    <row r="387" spans="1:81" s="551" customFormat="1" ht="12.75" customHeight="1">
      <c r="A387" s="537"/>
      <c r="B387" s="14"/>
      <c r="C387" s="732"/>
      <c r="D387" s="14"/>
      <c r="E387" s="692"/>
      <c r="F387" s="2460"/>
      <c r="G387" s="2460"/>
      <c r="H387" s="2460"/>
      <c r="I387" s="2460"/>
      <c r="J387" s="2460"/>
      <c r="K387" s="2460"/>
      <c r="L387" s="2460"/>
      <c r="M387" s="2460"/>
      <c r="N387" s="2460"/>
      <c r="O387" s="2460"/>
      <c r="P387" s="2460"/>
      <c r="Q387" s="2460"/>
      <c r="R387" s="2460"/>
      <c r="S387" s="2460"/>
      <c r="T387" s="2460"/>
      <c r="U387" s="2460"/>
      <c r="V387" s="2460"/>
      <c r="W387" s="2460"/>
      <c r="X387" s="2460"/>
      <c r="Y387" s="2460"/>
      <c r="Z387" s="2460"/>
      <c r="AA387" s="2460"/>
      <c r="AB387" s="2460"/>
      <c r="AC387" s="2460"/>
      <c r="AD387" s="2460"/>
      <c r="AE387" s="2460"/>
      <c r="AF387" s="2460"/>
      <c r="AG387" s="540"/>
      <c r="AH387" s="540"/>
      <c r="AI387" s="540"/>
      <c r="AJ387" s="540"/>
      <c r="AK387" s="540"/>
      <c r="AL387" s="721"/>
      <c r="AM387" s="571"/>
      <c r="AN387" s="598"/>
      <c r="BS387" s="30"/>
      <c r="BT387" s="30"/>
      <c r="BU387" s="14"/>
      <c r="BV387" s="14"/>
      <c r="BW387" s="14"/>
      <c r="BX387" s="14"/>
      <c r="BY387" s="14"/>
      <c r="BZ387" s="14"/>
      <c r="CA387" s="14"/>
      <c r="CB387" s="14"/>
      <c r="CC387" s="14"/>
    </row>
    <row r="388" spans="1:81" s="551" customFormat="1" ht="12.75" customHeight="1">
      <c r="A388" s="537"/>
      <c r="B388" s="14"/>
      <c r="C388" s="732"/>
      <c r="D388" s="14"/>
      <c r="E388" s="692"/>
      <c r="F388" s="2460"/>
      <c r="G388" s="2460"/>
      <c r="H388" s="2460"/>
      <c r="I388" s="2460"/>
      <c r="J388" s="2460"/>
      <c r="K388" s="2460"/>
      <c r="L388" s="2460"/>
      <c r="M388" s="2460"/>
      <c r="N388" s="2460"/>
      <c r="O388" s="2460"/>
      <c r="P388" s="2460"/>
      <c r="Q388" s="2460"/>
      <c r="R388" s="2460"/>
      <c r="S388" s="2460"/>
      <c r="T388" s="2460"/>
      <c r="U388" s="2460"/>
      <c r="V388" s="2460"/>
      <c r="W388" s="2460"/>
      <c r="X388" s="2460"/>
      <c r="Y388" s="2460"/>
      <c r="Z388" s="2460"/>
      <c r="AA388" s="2460"/>
      <c r="AB388" s="2460"/>
      <c r="AC388" s="2460"/>
      <c r="AD388" s="2460"/>
      <c r="AE388" s="2460"/>
      <c r="AF388" s="2460"/>
      <c r="AL388" s="733"/>
      <c r="AN388" s="598"/>
      <c r="BS388" s="30"/>
      <c r="BT388" s="30"/>
      <c r="BU388" s="14"/>
      <c r="BV388" s="14"/>
      <c r="BW388" s="14"/>
      <c r="BX388" s="14"/>
      <c r="BY388" s="14"/>
      <c r="BZ388" s="14"/>
      <c r="CA388" s="14"/>
      <c r="CB388" s="14"/>
      <c r="CC388" s="14"/>
    </row>
    <row r="389" spans="1:81" s="551" customFormat="1" ht="12.75" customHeight="1">
      <c r="A389" s="537"/>
      <c r="B389" s="14"/>
      <c r="C389" s="2456" t="s">
        <v>591</v>
      </c>
      <c r="D389" s="2413"/>
      <c r="E389" s="692"/>
      <c r="F389" s="722" t="s">
        <v>1463</v>
      </c>
      <c r="G389" s="604"/>
      <c r="H389" s="604"/>
      <c r="I389" s="604"/>
      <c r="J389" s="604"/>
      <c r="K389" s="604"/>
      <c r="L389" s="604"/>
      <c r="M389" s="604"/>
      <c r="N389" s="604"/>
      <c r="O389" s="604"/>
      <c r="P389" s="604"/>
      <c r="Q389" s="604"/>
      <c r="R389" s="604"/>
      <c r="S389" s="604"/>
      <c r="T389" s="604"/>
      <c r="U389" s="604"/>
      <c r="V389" s="604"/>
      <c r="W389" s="604"/>
      <c r="X389" s="604"/>
      <c r="Y389" s="604"/>
      <c r="Z389" s="604"/>
      <c r="AA389" s="604"/>
      <c r="AB389" s="604"/>
      <c r="AC389" s="604"/>
      <c r="AD389" s="604"/>
      <c r="AF389" s="2457" t="s">
        <v>1461</v>
      </c>
      <c r="AG389" s="2457"/>
      <c r="AH389" s="2457"/>
      <c r="AI389" s="2457"/>
      <c r="AJ389" s="2457"/>
      <c r="AK389" s="2457"/>
      <c r="AL389" s="2458"/>
      <c r="AM389" s="730"/>
      <c r="AN389" s="598"/>
      <c r="BS389" s="30"/>
      <c r="BT389" s="30"/>
      <c r="BU389" s="14"/>
      <c r="BV389" s="14"/>
      <c r="BW389" s="14"/>
      <c r="BX389" s="14"/>
      <c r="BY389" s="14"/>
      <c r="BZ389" s="14"/>
      <c r="CA389" s="14"/>
      <c r="CB389" s="14"/>
      <c r="CC389" s="14"/>
    </row>
    <row r="390" spans="1:81" s="551" customFormat="1" ht="12.75" customHeight="1">
      <c r="A390" s="537"/>
      <c r="B390" s="14"/>
      <c r="C390" s="741"/>
      <c r="D390" s="734"/>
      <c r="E390" s="735"/>
      <c r="F390" s="736"/>
      <c r="G390" s="737"/>
      <c r="H390" s="737"/>
      <c r="I390" s="737"/>
      <c r="J390" s="737"/>
      <c r="K390" s="737"/>
      <c r="L390" s="737"/>
      <c r="M390" s="737"/>
      <c r="N390" s="737"/>
      <c r="O390" s="737"/>
      <c r="P390" s="737"/>
      <c r="Q390" s="737"/>
      <c r="R390" s="737"/>
      <c r="S390" s="737"/>
      <c r="T390" s="737"/>
      <c r="U390" s="737"/>
      <c r="V390" s="737"/>
      <c r="W390" s="737"/>
      <c r="X390" s="737"/>
      <c r="Y390" s="737"/>
      <c r="Z390" s="737"/>
      <c r="AA390" s="737"/>
      <c r="AB390" s="737"/>
      <c r="AC390" s="737"/>
      <c r="AD390" s="737"/>
      <c r="AE390" s="738"/>
      <c r="AF390" s="584"/>
      <c r="AG390" s="738"/>
      <c r="AH390" s="728"/>
      <c r="AI390" s="728"/>
      <c r="AJ390" s="728"/>
      <c r="AK390" s="728"/>
      <c r="AL390" s="743"/>
      <c r="AM390" s="730"/>
      <c r="AN390" s="598"/>
      <c r="BS390" s="30"/>
      <c r="BT390" s="30"/>
      <c r="BU390" s="14"/>
      <c r="BV390" s="14"/>
      <c r="BW390" s="14"/>
      <c r="BX390" s="14"/>
      <c r="BY390" s="14"/>
      <c r="BZ390" s="14"/>
      <c r="CA390" s="14"/>
      <c r="CB390" s="14"/>
      <c r="CC390" s="14"/>
    </row>
    <row r="391" spans="1:81" s="551" customFormat="1" ht="12.75" customHeight="1">
      <c r="A391" s="537"/>
      <c r="B391" s="14"/>
      <c r="C391" s="14"/>
      <c r="D391" s="14"/>
      <c r="E391" s="692"/>
      <c r="F391" s="677"/>
      <c r="G391" s="677"/>
      <c r="H391" s="677"/>
      <c r="I391" s="677"/>
      <c r="J391" s="677"/>
      <c r="K391" s="677"/>
      <c r="L391" s="677"/>
      <c r="M391" s="677"/>
      <c r="N391" s="677"/>
      <c r="O391" s="677"/>
      <c r="P391" s="677"/>
      <c r="Q391" s="677"/>
      <c r="R391" s="677"/>
      <c r="S391" s="677"/>
      <c r="T391" s="677"/>
      <c r="U391" s="677"/>
      <c r="V391" s="677"/>
      <c r="W391" s="677"/>
      <c r="X391" s="677"/>
      <c r="Y391" s="677"/>
      <c r="Z391" s="677"/>
      <c r="AA391" s="677"/>
      <c r="AB391" s="677"/>
      <c r="AC391" s="677"/>
      <c r="AD391" s="677"/>
      <c r="AE391" s="537"/>
      <c r="AF391" s="540"/>
      <c r="AG391" s="537"/>
      <c r="AM391" s="571"/>
      <c r="AN391" s="598"/>
      <c r="BS391" s="30"/>
      <c r="BT391" s="30"/>
      <c r="BU391" s="14"/>
      <c r="BV391" s="14"/>
      <c r="BW391" s="14"/>
      <c r="BX391" s="14"/>
      <c r="BY391" s="14"/>
      <c r="BZ391" s="14"/>
      <c r="CA391" s="14"/>
      <c r="CB391" s="14"/>
      <c r="CC391" s="14"/>
    </row>
    <row r="392" spans="1:81" s="551" customFormat="1" ht="12.75" customHeight="1">
      <c r="A392" s="537"/>
      <c r="B392" s="14"/>
      <c r="C392" s="714"/>
      <c r="D392" s="715"/>
      <c r="E392" s="716" t="s">
        <v>1319</v>
      </c>
      <c r="F392" s="2459" t="s">
        <v>1464</v>
      </c>
      <c r="G392" s="2459"/>
      <c r="H392" s="2459"/>
      <c r="I392" s="2459"/>
      <c r="J392" s="2459"/>
      <c r="K392" s="2459"/>
      <c r="L392" s="2459"/>
      <c r="M392" s="2459"/>
      <c r="N392" s="2459"/>
      <c r="O392" s="2459"/>
      <c r="P392" s="2459"/>
      <c r="Q392" s="2459"/>
      <c r="R392" s="2459"/>
      <c r="S392" s="2459"/>
      <c r="T392" s="2459"/>
      <c r="U392" s="2459"/>
      <c r="V392" s="2459"/>
      <c r="W392" s="2459"/>
      <c r="X392" s="2459"/>
      <c r="Y392" s="2459"/>
      <c r="Z392" s="2459"/>
      <c r="AA392" s="2459"/>
      <c r="AB392" s="2459"/>
      <c r="AC392" s="2459"/>
      <c r="AD392" s="2459"/>
      <c r="AE392" s="2459"/>
      <c r="AF392" s="2459"/>
      <c r="AG392" s="717"/>
      <c r="AH392" s="717"/>
      <c r="AI392" s="717"/>
      <c r="AJ392" s="717"/>
      <c r="AK392" s="717"/>
      <c r="AL392" s="718"/>
      <c r="AM392" s="571"/>
      <c r="AN392" s="598"/>
      <c r="BS392" s="571"/>
      <c r="BT392" s="571"/>
      <c r="BU392" s="571"/>
      <c r="BV392" s="571"/>
      <c r="BW392" s="571"/>
      <c r="BX392" s="571"/>
      <c r="BY392" s="571"/>
      <c r="BZ392" s="571"/>
      <c r="CA392" s="571"/>
      <c r="CB392" s="571"/>
      <c r="CC392" s="571"/>
    </row>
    <row r="393" spans="1:81" s="551" customFormat="1" ht="12.75" customHeight="1">
      <c r="A393" s="537"/>
      <c r="B393" s="14"/>
      <c r="C393" s="732"/>
      <c r="D393" s="14"/>
      <c r="E393" s="692"/>
      <c r="F393" s="2460"/>
      <c r="G393" s="2460"/>
      <c r="H393" s="2460"/>
      <c r="I393" s="2460"/>
      <c r="J393" s="2460"/>
      <c r="K393" s="2460"/>
      <c r="L393" s="2460"/>
      <c r="M393" s="2460"/>
      <c r="N393" s="2460"/>
      <c r="O393" s="2460"/>
      <c r="P393" s="2460"/>
      <c r="Q393" s="2460"/>
      <c r="R393" s="2460"/>
      <c r="S393" s="2460"/>
      <c r="T393" s="2460"/>
      <c r="U393" s="2460"/>
      <c r="V393" s="2460"/>
      <c r="W393" s="2460"/>
      <c r="X393" s="2460"/>
      <c r="Y393" s="2460"/>
      <c r="Z393" s="2460"/>
      <c r="AA393" s="2460"/>
      <c r="AB393" s="2460"/>
      <c r="AC393" s="2460"/>
      <c r="AD393" s="2460"/>
      <c r="AE393" s="2460"/>
      <c r="AF393" s="2460"/>
      <c r="AG393" s="540"/>
      <c r="AH393" s="540"/>
      <c r="AI393" s="540"/>
      <c r="AJ393" s="540"/>
      <c r="AK393" s="540"/>
      <c r="AL393" s="721"/>
      <c r="AM393" s="571"/>
      <c r="AN393" s="598"/>
      <c r="BS393" s="571"/>
      <c r="BT393" s="571"/>
      <c r="BU393" s="571"/>
      <c r="BV393" s="571"/>
      <c r="BW393" s="571"/>
      <c r="BX393" s="571"/>
      <c r="BY393" s="571"/>
      <c r="BZ393" s="571"/>
      <c r="CA393" s="571"/>
      <c r="CB393" s="571"/>
      <c r="CC393" s="571"/>
    </row>
    <row r="394" spans="1:81" s="551" customFormat="1" ht="12.75" customHeight="1">
      <c r="A394" s="537"/>
      <c r="B394" s="14"/>
      <c r="C394" s="732"/>
      <c r="D394" s="14"/>
      <c r="E394" s="692"/>
      <c r="F394" s="2460"/>
      <c r="G394" s="2460"/>
      <c r="H394" s="2460"/>
      <c r="I394" s="2460"/>
      <c r="J394" s="2460"/>
      <c r="K394" s="2460"/>
      <c r="L394" s="2460"/>
      <c r="M394" s="2460"/>
      <c r="N394" s="2460"/>
      <c r="O394" s="2460"/>
      <c r="P394" s="2460"/>
      <c r="Q394" s="2460"/>
      <c r="R394" s="2460"/>
      <c r="S394" s="2460"/>
      <c r="T394" s="2460"/>
      <c r="U394" s="2460"/>
      <c r="V394" s="2460"/>
      <c r="W394" s="2460"/>
      <c r="X394" s="2460"/>
      <c r="Y394" s="2460"/>
      <c r="Z394" s="2460"/>
      <c r="AA394" s="2460"/>
      <c r="AB394" s="2460"/>
      <c r="AC394" s="2460"/>
      <c r="AD394" s="2460"/>
      <c r="AE394" s="2460"/>
      <c r="AF394" s="2460"/>
      <c r="AG394" s="540"/>
      <c r="AH394" s="540"/>
      <c r="AI394" s="540"/>
      <c r="AJ394" s="540"/>
      <c r="AK394" s="540"/>
      <c r="AL394" s="721"/>
      <c r="AM394" s="571"/>
      <c r="AN394" s="598"/>
      <c r="BS394" s="571"/>
      <c r="BT394" s="571"/>
      <c r="BU394" s="571"/>
      <c r="BV394" s="571"/>
      <c r="BW394" s="571"/>
      <c r="BX394" s="571"/>
      <c r="BY394" s="571"/>
      <c r="BZ394" s="571"/>
      <c r="CA394" s="571"/>
      <c r="CB394" s="571"/>
      <c r="CC394" s="571"/>
    </row>
    <row r="395" spans="1:81" s="551" customFormat="1" ht="12.75" customHeight="1">
      <c r="A395" s="537"/>
      <c r="B395" s="14"/>
      <c r="C395" s="732"/>
      <c r="D395" s="14"/>
      <c r="E395" s="692"/>
      <c r="F395" s="2460"/>
      <c r="G395" s="2460"/>
      <c r="H395" s="2460"/>
      <c r="I395" s="2460"/>
      <c r="J395" s="2460"/>
      <c r="K395" s="2460"/>
      <c r="L395" s="2460"/>
      <c r="M395" s="2460"/>
      <c r="N395" s="2460"/>
      <c r="O395" s="2460"/>
      <c r="P395" s="2460"/>
      <c r="Q395" s="2460"/>
      <c r="R395" s="2460"/>
      <c r="S395" s="2460"/>
      <c r="T395" s="2460"/>
      <c r="U395" s="2460"/>
      <c r="V395" s="2460"/>
      <c r="W395" s="2460"/>
      <c r="X395" s="2460"/>
      <c r="Y395" s="2460"/>
      <c r="Z395" s="2460"/>
      <c r="AA395" s="2460"/>
      <c r="AB395" s="2460"/>
      <c r="AC395" s="2460"/>
      <c r="AD395" s="2460"/>
      <c r="AE395" s="2460"/>
      <c r="AF395" s="2460"/>
      <c r="AG395" s="540"/>
      <c r="AH395" s="540"/>
      <c r="AI395" s="540"/>
      <c r="AJ395" s="540"/>
      <c r="AK395" s="540"/>
      <c r="AL395" s="721"/>
      <c r="AM395" s="571"/>
      <c r="AN395" s="598"/>
      <c r="BS395" s="571"/>
      <c r="BT395" s="571"/>
      <c r="BU395" s="571"/>
      <c r="BV395" s="571"/>
      <c r="BW395" s="571"/>
      <c r="BX395" s="571"/>
      <c r="BY395" s="571"/>
      <c r="BZ395" s="571"/>
      <c r="CA395" s="571"/>
      <c r="CB395" s="571"/>
      <c r="CC395" s="571"/>
    </row>
    <row r="396" spans="1:81" s="551" customFormat="1" ht="12.75" customHeight="1">
      <c r="A396" s="537"/>
      <c r="B396" s="14"/>
      <c r="C396" s="732"/>
      <c r="D396" s="14"/>
      <c r="E396" s="692"/>
      <c r="F396" s="2460"/>
      <c r="G396" s="2460"/>
      <c r="H396" s="2460"/>
      <c r="I396" s="2460"/>
      <c r="J396" s="2460"/>
      <c r="K396" s="2460"/>
      <c r="L396" s="2460"/>
      <c r="M396" s="2460"/>
      <c r="N396" s="2460"/>
      <c r="O396" s="2460"/>
      <c r="P396" s="2460"/>
      <c r="Q396" s="2460"/>
      <c r="R396" s="2460"/>
      <c r="S396" s="2460"/>
      <c r="T396" s="2460"/>
      <c r="U396" s="2460"/>
      <c r="V396" s="2460"/>
      <c r="W396" s="2460"/>
      <c r="X396" s="2460"/>
      <c r="Y396" s="2460"/>
      <c r="Z396" s="2460"/>
      <c r="AA396" s="2460"/>
      <c r="AB396" s="2460"/>
      <c r="AC396" s="2460"/>
      <c r="AD396" s="2460"/>
      <c r="AE396" s="2460"/>
      <c r="AF396" s="2460"/>
      <c r="AG396" s="540"/>
      <c r="AH396" s="540"/>
      <c r="AI396" s="540"/>
      <c r="AJ396" s="540"/>
      <c r="AK396" s="540"/>
      <c r="AL396" s="721"/>
      <c r="AM396" s="571"/>
      <c r="AN396" s="598"/>
      <c r="BS396" s="571"/>
      <c r="BT396" s="571"/>
      <c r="BU396" s="571"/>
      <c r="BV396" s="571"/>
      <c r="BW396" s="571"/>
      <c r="BX396" s="571"/>
      <c r="BY396" s="571"/>
      <c r="BZ396" s="571"/>
      <c r="CA396" s="571"/>
      <c r="CB396" s="571"/>
      <c r="CC396" s="571"/>
    </row>
    <row r="397" spans="1:81" s="551" customFormat="1" ht="12.75" customHeight="1">
      <c r="A397" s="537"/>
      <c r="B397" s="14"/>
      <c r="C397" s="2456" t="s">
        <v>545</v>
      </c>
      <c r="D397" s="2413"/>
      <c r="E397" s="692"/>
      <c r="F397" s="722" t="s">
        <v>1465</v>
      </c>
      <c r="G397" s="604"/>
      <c r="H397" s="604"/>
      <c r="I397" s="604"/>
      <c r="J397" s="604"/>
      <c r="K397" s="604"/>
      <c r="L397" s="604"/>
      <c r="M397" s="604"/>
      <c r="N397" s="604"/>
      <c r="O397" s="604"/>
      <c r="P397" s="604"/>
      <c r="Q397" s="604"/>
      <c r="R397" s="604"/>
      <c r="S397" s="604"/>
      <c r="T397" s="604"/>
      <c r="U397" s="604"/>
      <c r="V397" s="604"/>
      <c r="W397" s="604"/>
      <c r="X397" s="604"/>
      <c r="Y397" s="604"/>
      <c r="Z397" s="604"/>
      <c r="AA397" s="604"/>
      <c r="AB397" s="604"/>
      <c r="AC397" s="604"/>
      <c r="AD397" s="604"/>
      <c r="AF397" s="2457" t="s">
        <v>1466</v>
      </c>
      <c r="AG397" s="2457"/>
      <c r="AH397" s="2457"/>
      <c r="AI397" s="2457"/>
      <c r="AJ397" s="2457"/>
      <c r="AK397" s="2457"/>
      <c r="AL397" s="2458"/>
      <c r="AM397" s="723"/>
      <c r="BS397" s="571"/>
      <c r="BT397" s="571"/>
      <c r="BU397" s="571"/>
      <c r="BV397" s="571"/>
      <c r="BW397" s="571"/>
      <c r="BX397" s="571"/>
      <c r="BY397" s="571"/>
      <c r="BZ397" s="571"/>
      <c r="CA397" s="571"/>
      <c r="CB397" s="571"/>
      <c r="CC397" s="571"/>
    </row>
    <row r="398" spans="1:81" s="551" customFormat="1" ht="12.75" customHeight="1">
      <c r="A398" s="537"/>
      <c r="B398" s="14"/>
      <c r="C398" s="732"/>
      <c r="D398" s="14"/>
      <c r="E398" s="692"/>
      <c r="F398" s="574"/>
      <c r="G398" s="574"/>
      <c r="H398" s="574"/>
      <c r="I398" s="574"/>
      <c r="J398" s="574"/>
      <c r="K398" s="574"/>
      <c r="L398" s="574"/>
      <c r="M398" s="574"/>
      <c r="N398" s="574"/>
      <c r="O398" s="574"/>
      <c r="P398" s="574"/>
      <c r="Q398" s="574"/>
      <c r="R398" s="574"/>
      <c r="S398" s="574"/>
      <c r="T398" s="574"/>
      <c r="U398" s="574"/>
      <c r="V398" s="574"/>
      <c r="W398" s="574"/>
      <c r="X398" s="574"/>
      <c r="Y398" s="574"/>
      <c r="Z398" s="574"/>
      <c r="AA398" s="574"/>
      <c r="AB398" s="574"/>
      <c r="AC398" s="574"/>
      <c r="AD398" s="574"/>
      <c r="AL398" s="733"/>
      <c r="AM398" s="571"/>
      <c r="AN398" s="598"/>
      <c r="BS398" s="571"/>
      <c r="BT398" s="571"/>
      <c r="BU398" s="571"/>
      <c r="BV398" s="571"/>
      <c r="BW398" s="571"/>
      <c r="BX398" s="571"/>
      <c r="BY398" s="571"/>
      <c r="BZ398" s="571"/>
      <c r="CA398" s="571"/>
      <c r="CB398" s="571"/>
      <c r="CC398" s="571"/>
    </row>
    <row r="399" spans="1:81" s="551" customFormat="1" ht="12.75" customHeight="1">
      <c r="A399" s="537"/>
      <c r="B399" s="14"/>
      <c r="C399" s="2456" t="s">
        <v>591</v>
      </c>
      <c r="D399" s="2413"/>
      <c r="E399" s="692"/>
      <c r="F399" s="739" t="s">
        <v>1467</v>
      </c>
      <c r="G399" s="574"/>
      <c r="H399" s="574"/>
      <c r="I399" s="574"/>
      <c r="J399" s="574"/>
      <c r="K399" s="574"/>
      <c r="L399" s="574"/>
      <c r="M399" s="574"/>
      <c r="N399" s="574"/>
      <c r="O399" s="574"/>
      <c r="P399" s="574"/>
      <c r="Q399" s="574"/>
      <c r="R399" s="574"/>
      <c r="S399" s="574"/>
      <c r="T399" s="574"/>
      <c r="U399" s="574"/>
      <c r="V399" s="574"/>
      <c r="W399" s="574"/>
      <c r="X399" s="574"/>
      <c r="Y399" s="574"/>
      <c r="Z399" s="574"/>
      <c r="AA399" s="574"/>
      <c r="AB399" s="574"/>
      <c r="AC399" s="574"/>
      <c r="AD399" s="574"/>
      <c r="AF399" s="2457" t="s">
        <v>1461</v>
      </c>
      <c r="AG399" s="2457"/>
      <c r="AH399" s="2457"/>
      <c r="AI399" s="2457"/>
      <c r="AJ399" s="2457"/>
      <c r="AK399" s="2457"/>
      <c r="AL399" s="2458"/>
      <c r="AM399" s="571"/>
      <c r="AN399" s="598"/>
      <c r="BS399" s="571"/>
      <c r="BT399" s="571"/>
      <c r="BU399" s="571"/>
    </row>
    <row r="400" spans="1:81" s="551" customFormat="1" ht="12.75" customHeight="1">
      <c r="A400" s="537"/>
      <c r="B400" s="14"/>
      <c r="C400" s="740"/>
      <c r="E400" s="692"/>
      <c r="G400" s="574"/>
      <c r="H400" s="574"/>
      <c r="I400" s="574"/>
      <c r="J400" s="574"/>
      <c r="K400" s="574"/>
      <c r="L400" s="574"/>
      <c r="M400" s="574"/>
      <c r="N400" s="574"/>
      <c r="O400" s="574"/>
      <c r="P400" s="574"/>
      <c r="Q400" s="574"/>
      <c r="R400" s="574"/>
      <c r="S400" s="574"/>
      <c r="T400" s="574"/>
      <c r="U400" s="574"/>
      <c r="V400" s="574"/>
      <c r="W400" s="574"/>
      <c r="X400" s="574"/>
      <c r="Y400" s="574"/>
      <c r="Z400" s="574"/>
      <c r="AA400" s="574"/>
      <c r="AB400" s="574"/>
      <c r="AC400" s="574"/>
      <c r="AD400" s="574"/>
      <c r="AL400" s="733"/>
      <c r="AM400" s="571"/>
      <c r="AN400" s="598"/>
      <c r="BS400" s="571"/>
      <c r="BT400" s="571"/>
      <c r="BU400" s="571"/>
    </row>
    <row r="401" spans="1:81" s="551" customFormat="1" ht="12.75" customHeight="1">
      <c r="A401" s="537"/>
      <c r="B401" s="14"/>
      <c r="C401" s="741"/>
      <c r="D401" s="734"/>
      <c r="E401" s="735"/>
      <c r="F401" s="742" t="s">
        <v>1468</v>
      </c>
      <c r="G401" s="736"/>
      <c r="H401" s="736"/>
      <c r="I401" s="736"/>
      <c r="J401" s="736"/>
      <c r="K401" s="736"/>
      <c r="L401" s="736"/>
      <c r="M401" s="736"/>
      <c r="N401" s="736"/>
      <c r="O401" s="736"/>
      <c r="P401" s="736"/>
      <c r="Q401" s="736"/>
      <c r="R401" s="736"/>
      <c r="S401" s="736"/>
      <c r="T401" s="736"/>
      <c r="U401" s="736"/>
      <c r="V401" s="736"/>
      <c r="W401" s="736"/>
      <c r="X401" s="736"/>
      <c r="Y401" s="736"/>
      <c r="Z401" s="736"/>
      <c r="AA401" s="736"/>
      <c r="AB401" s="736"/>
      <c r="AC401" s="736"/>
      <c r="AD401" s="736"/>
      <c r="AE401" s="738"/>
      <c r="AF401" s="584"/>
      <c r="AG401" s="738"/>
      <c r="AH401" s="728"/>
      <c r="AI401" s="728"/>
      <c r="AJ401" s="728"/>
      <c r="AK401" s="728"/>
      <c r="AL401" s="743"/>
      <c r="AM401" s="571"/>
      <c r="AN401" s="598"/>
      <c r="BS401" s="571"/>
      <c r="BT401" s="571"/>
      <c r="BU401" s="571"/>
    </row>
    <row r="402" spans="1:81" s="551" customFormat="1" ht="12.75" customHeight="1">
      <c r="A402" s="537"/>
      <c r="B402" s="14"/>
      <c r="C402" s="14"/>
      <c r="D402" s="14"/>
      <c r="E402" s="692"/>
      <c r="F402" s="677"/>
      <c r="G402" s="677"/>
      <c r="H402" s="677"/>
      <c r="I402" s="677"/>
      <c r="J402" s="677"/>
      <c r="K402" s="677"/>
      <c r="L402" s="677"/>
      <c r="M402" s="677"/>
      <c r="N402" s="677"/>
      <c r="O402" s="677"/>
      <c r="P402" s="677"/>
      <c r="Q402" s="677"/>
      <c r="R402" s="677"/>
      <c r="S402" s="677"/>
      <c r="T402" s="677"/>
      <c r="U402" s="677"/>
      <c r="V402" s="677"/>
      <c r="W402" s="677"/>
      <c r="X402" s="677"/>
      <c r="Y402" s="677"/>
      <c r="Z402" s="677"/>
      <c r="AA402" s="677"/>
      <c r="AB402" s="677"/>
      <c r="AC402" s="677"/>
      <c r="AD402" s="677"/>
      <c r="AE402" s="537"/>
      <c r="AF402" s="540"/>
      <c r="AG402" s="537"/>
      <c r="AM402" s="571"/>
      <c r="AN402" s="598"/>
      <c r="BS402" s="571"/>
      <c r="BT402" s="571"/>
      <c r="BU402" s="571"/>
    </row>
    <row r="403" spans="1:81" s="551" customFormat="1" ht="12.75" customHeight="1">
      <c r="A403" s="537"/>
      <c r="B403" s="14"/>
      <c r="C403" s="714"/>
      <c r="D403" s="715"/>
      <c r="E403" s="716" t="s">
        <v>1469</v>
      </c>
      <c r="F403" s="2459" t="s">
        <v>1470</v>
      </c>
      <c r="G403" s="2459"/>
      <c r="H403" s="2459"/>
      <c r="I403" s="2459"/>
      <c r="J403" s="2459"/>
      <c r="K403" s="2459"/>
      <c r="L403" s="2459"/>
      <c r="M403" s="2459"/>
      <c r="N403" s="2459"/>
      <c r="O403" s="2459"/>
      <c r="P403" s="2459"/>
      <c r="Q403" s="2459"/>
      <c r="R403" s="2459"/>
      <c r="S403" s="2459"/>
      <c r="T403" s="2459"/>
      <c r="U403" s="2459"/>
      <c r="V403" s="2459"/>
      <c r="W403" s="2459"/>
      <c r="X403" s="2459"/>
      <c r="Y403" s="2459"/>
      <c r="Z403" s="2459"/>
      <c r="AA403" s="2459"/>
      <c r="AB403" s="2459"/>
      <c r="AC403" s="2459"/>
      <c r="AD403" s="2459"/>
      <c r="AE403" s="2459"/>
      <c r="AF403" s="2459"/>
      <c r="AG403" s="717"/>
      <c r="AH403" s="717"/>
      <c r="AI403" s="717"/>
      <c r="AJ403" s="717"/>
      <c r="AK403" s="717"/>
      <c r="AL403" s="718"/>
      <c r="AM403" s="571"/>
      <c r="AN403" s="598"/>
      <c r="BS403" s="571"/>
      <c r="BT403" s="571"/>
      <c r="BU403" s="571"/>
      <c r="BV403" s="571"/>
      <c r="BW403" s="571"/>
      <c r="BX403" s="571"/>
      <c r="BY403" s="571"/>
      <c r="BZ403" s="571"/>
      <c r="CA403" s="571"/>
      <c r="CB403" s="571"/>
      <c r="CC403" s="571"/>
    </row>
    <row r="404" spans="1:81" s="551" customFormat="1" ht="12.75" customHeight="1">
      <c r="A404" s="537"/>
      <c r="B404" s="14"/>
      <c r="C404" s="732"/>
      <c r="D404" s="14"/>
      <c r="E404" s="692"/>
      <c r="F404" s="2460"/>
      <c r="G404" s="2460"/>
      <c r="H404" s="2460"/>
      <c r="I404" s="2460"/>
      <c r="J404" s="2460"/>
      <c r="K404" s="2460"/>
      <c r="L404" s="2460"/>
      <c r="M404" s="2460"/>
      <c r="N404" s="2460"/>
      <c r="O404" s="2460"/>
      <c r="P404" s="2460"/>
      <c r="Q404" s="2460"/>
      <c r="R404" s="2460"/>
      <c r="S404" s="2460"/>
      <c r="T404" s="2460"/>
      <c r="U404" s="2460"/>
      <c r="V404" s="2460"/>
      <c r="W404" s="2460"/>
      <c r="X404" s="2460"/>
      <c r="Y404" s="2460"/>
      <c r="Z404" s="2460"/>
      <c r="AA404" s="2460"/>
      <c r="AB404" s="2460"/>
      <c r="AC404" s="2460"/>
      <c r="AD404" s="2460"/>
      <c r="AE404" s="2460"/>
      <c r="AF404" s="2460"/>
      <c r="AG404" s="540"/>
      <c r="AH404" s="540"/>
      <c r="AI404" s="540"/>
      <c r="AJ404" s="540"/>
      <c r="AK404" s="540"/>
      <c r="AL404" s="721"/>
      <c r="AM404" s="571"/>
      <c r="AN404" s="598"/>
      <c r="BS404" s="571"/>
      <c r="BT404" s="571"/>
      <c r="BU404" s="571"/>
      <c r="BV404" s="571"/>
      <c r="BW404" s="571"/>
      <c r="BX404" s="571"/>
      <c r="BY404" s="571"/>
      <c r="BZ404" s="571"/>
      <c r="CA404" s="571"/>
      <c r="CB404" s="571"/>
      <c r="CC404" s="571"/>
    </row>
    <row r="405" spans="1:81">
      <c r="A405" s="537"/>
      <c r="C405" s="732"/>
      <c r="E405" s="692"/>
      <c r="F405" s="2460"/>
      <c r="G405" s="2460"/>
      <c r="H405" s="2460"/>
      <c r="I405" s="2460"/>
      <c r="J405" s="2460"/>
      <c r="K405" s="2460"/>
      <c r="L405" s="2460"/>
      <c r="M405" s="2460"/>
      <c r="N405" s="2460"/>
      <c r="O405" s="2460"/>
      <c r="P405" s="2460"/>
      <c r="Q405" s="2460"/>
      <c r="R405" s="2460"/>
      <c r="S405" s="2460"/>
      <c r="T405" s="2460"/>
      <c r="U405" s="2460"/>
      <c r="V405" s="2460"/>
      <c r="W405" s="2460"/>
      <c r="X405" s="2460"/>
      <c r="Y405" s="2460"/>
      <c r="Z405" s="2460"/>
      <c r="AA405" s="2460"/>
      <c r="AB405" s="2460"/>
      <c r="AC405" s="2460"/>
      <c r="AD405" s="2460"/>
      <c r="AE405" s="2460"/>
      <c r="AF405" s="2460"/>
      <c r="AG405" s="540"/>
      <c r="AH405" s="540"/>
      <c r="AI405" s="540"/>
      <c r="AJ405" s="540"/>
      <c r="AK405" s="540"/>
      <c r="AL405" s="721"/>
      <c r="AM405" s="571"/>
      <c r="BS405" s="571"/>
      <c r="BT405" s="571"/>
      <c r="BU405" s="571"/>
      <c r="BV405" s="571"/>
      <c r="BW405" s="571"/>
      <c r="BX405" s="571"/>
      <c r="BY405" s="571"/>
      <c r="BZ405" s="571"/>
      <c r="CA405" s="571"/>
      <c r="CB405" s="571"/>
      <c r="CC405" s="571"/>
    </row>
    <row r="406" spans="1:81" s="551" customFormat="1" ht="12.75" customHeight="1">
      <c r="A406" s="537"/>
      <c r="B406" s="14"/>
      <c r="C406" s="732"/>
      <c r="D406" s="14"/>
      <c r="E406" s="692"/>
      <c r="F406" s="2460"/>
      <c r="G406" s="2460"/>
      <c r="H406" s="2460"/>
      <c r="I406" s="2460"/>
      <c r="J406" s="2460"/>
      <c r="K406" s="2460"/>
      <c r="L406" s="2460"/>
      <c r="M406" s="2460"/>
      <c r="N406" s="2460"/>
      <c r="O406" s="2460"/>
      <c r="P406" s="2460"/>
      <c r="Q406" s="2460"/>
      <c r="R406" s="2460"/>
      <c r="S406" s="2460"/>
      <c r="T406" s="2460"/>
      <c r="U406" s="2460"/>
      <c r="V406" s="2460"/>
      <c r="W406" s="2460"/>
      <c r="X406" s="2460"/>
      <c r="Y406" s="2460"/>
      <c r="Z406" s="2460"/>
      <c r="AA406" s="2460"/>
      <c r="AB406" s="2460"/>
      <c r="AC406" s="2460"/>
      <c r="AD406" s="2460"/>
      <c r="AE406" s="2460"/>
      <c r="AF406" s="2460"/>
      <c r="AG406" s="540"/>
      <c r="AH406" s="540"/>
      <c r="AI406" s="540"/>
      <c r="AJ406" s="540"/>
      <c r="AK406" s="540"/>
      <c r="AL406" s="721"/>
      <c r="AM406" s="571"/>
      <c r="AN406" s="598"/>
      <c r="BS406" s="571"/>
      <c r="BT406" s="571"/>
      <c r="BY406" s="571"/>
      <c r="BZ406" s="571"/>
      <c r="CA406" s="571"/>
      <c r="CB406" s="571"/>
      <c r="CC406" s="571"/>
    </row>
    <row r="407" spans="1:81" s="551" customFormat="1" ht="12.75" customHeight="1">
      <c r="A407" s="537"/>
      <c r="B407" s="14"/>
      <c r="C407" s="2456" t="s">
        <v>591</v>
      </c>
      <c r="D407" s="2413"/>
      <c r="E407" s="692"/>
      <c r="F407" s="722" t="s">
        <v>1471</v>
      </c>
      <c r="G407" s="604"/>
      <c r="H407" s="604"/>
      <c r="I407" s="604"/>
      <c r="J407" s="604"/>
      <c r="K407" s="604"/>
      <c r="L407" s="604"/>
      <c r="M407" s="604"/>
      <c r="N407" s="604"/>
      <c r="O407" s="604"/>
      <c r="P407" s="604"/>
      <c r="Q407" s="604"/>
      <c r="R407" s="604"/>
      <c r="S407" s="604"/>
      <c r="T407" s="604"/>
      <c r="U407" s="604"/>
      <c r="V407" s="604"/>
      <c r="W407" s="604"/>
      <c r="X407" s="604"/>
      <c r="Y407" s="604"/>
      <c r="Z407" s="604"/>
      <c r="AA407" s="604"/>
      <c r="AB407" s="604"/>
      <c r="AC407" s="604"/>
      <c r="AD407" s="604"/>
      <c r="AF407" s="2457" t="s">
        <v>1461</v>
      </c>
      <c r="AG407" s="2457"/>
      <c r="AH407" s="2457"/>
      <c r="AI407" s="2457"/>
      <c r="AJ407" s="2457"/>
      <c r="AK407" s="2457"/>
      <c r="AL407" s="2458"/>
      <c r="AM407" s="571"/>
      <c r="AN407" s="598"/>
      <c r="BS407" s="571"/>
      <c r="BT407" s="571"/>
      <c r="BY407" s="571"/>
      <c r="BZ407" s="571"/>
      <c r="CA407" s="571"/>
      <c r="CB407" s="571"/>
      <c r="CC407" s="571"/>
    </row>
    <row r="408" spans="1:81" s="551" customFormat="1" ht="12.75" customHeight="1">
      <c r="A408" s="537"/>
      <c r="B408" s="14"/>
      <c r="C408" s="732"/>
      <c r="D408" s="14"/>
      <c r="E408" s="692"/>
      <c r="G408" s="604"/>
      <c r="H408" s="604"/>
      <c r="I408" s="604"/>
      <c r="J408" s="604"/>
      <c r="K408" s="604"/>
      <c r="L408" s="604"/>
      <c r="M408" s="604"/>
      <c r="N408" s="604"/>
      <c r="O408" s="604"/>
      <c r="P408" s="604"/>
      <c r="Q408" s="604"/>
      <c r="R408" s="604"/>
      <c r="S408" s="604"/>
      <c r="T408" s="604"/>
      <c r="U408" s="604"/>
      <c r="V408" s="604"/>
      <c r="W408" s="604"/>
      <c r="X408" s="604"/>
      <c r="Y408" s="604"/>
      <c r="Z408" s="604"/>
      <c r="AA408" s="604"/>
      <c r="AB408" s="604"/>
      <c r="AC408" s="604"/>
      <c r="AD408" s="604"/>
      <c r="AL408" s="733"/>
      <c r="AM408" s="571"/>
      <c r="AN408" s="598"/>
      <c r="BS408" s="571"/>
      <c r="BT408" s="571"/>
      <c r="BY408" s="571"/>
      <c r="BZ408" s="571"/>
      <c r="CA408" s="571"/>
      <c r="CB408" s="571"/>
      <c r="CC408" s="571"/>
    </row>
    <row r="409" spans="1:81" s="551" customFormat="1" ht="12.75" customHeight="1">
      <c r="A409" s="537"/>
      <c r="B409" s="14"/>
      <c r="C409" s="2456" t="s">
        <v>545</v>
      </c>
      <c r="D409" s="2413"/>
      <c r="E409" s="720"/>
      <c r="F409" s="722" t="s">
        <v>1472</v>
      </c>
      <c r="G409" s="604"/>
      <c r="H409" s="604"/>
      <c r="I409" s="604"/>
      <c r="J409" s="604"/>
      <c r="K409" s="604"/>
      <c r="L409" s="604"/>
      <c r="M409" s="604"/>
      <c r="N409" s="604"/>
      <c r="O409" s="604"/>
      <c r="P409" s="604"/>
      <c r="Q409" s="604"/>
      <c r="R409" s="604"/>
      <c r="S409" s="604"/>
      <c r="T409" s="604"/>
      <c r="U409" s="604"/>
      <c r="V409" s="604"/>
      <c r="W409" s="604"/>
      <c r="X409" s="604"/>
      <c r="Y409" s="604"/>
      <c r="Z409" s="604"/>
      <c r="AA409" s="604"/>
      <c r="AB409" s="604"/>
      <c r="AC409" s="604"/>
      <c r="AD409" s="604"/>
      <c r="AF409" s="2457" t="s">
        <v>1473</v>
      </c>
      <c r="AG409" s="2457"/>
      <c r="AH409" s="2457"/>
      <c r="AI409" s="2457"/>
      <c r="AJ409" s="2457"/>
      <c r="AK409" s="2457"/>
      <c r="AL409" s="2458"/>
      <c r="AM409" s="571"/>
      <c r="AN409" s="598"/>
      <c r="BS409" s="571"/>
      <c r="BT409" s="571"/>
      <c r="BY409" s="571"/>
      <c r="BZ409" s="571"/>
      <c r="CA409" s="571"/>
      <c r="CB409" s="571"/>
      <c r="CC409" s="571"/>
    </row>
    <row r="410" spans="1:81" s="551" customFormat="1" ht="12.75" customHeight="1">
      <c r="A410" s="537"/>
      <c r="B410" s="14"/>
      <c r="C410" s="744"/>
      <c r="D410" s="728"/>
      <c r="E410" s="725"/>
      <c r="F410" s="728"/>
      <c r="G410" s="727"/>
      <c r="H410" s="727"/>
      <c r="I410" s="727"/>
      <c r="J410" s="727"/>
      <c r="K410" s="727"/>
      <c r="L410" s="727"/>
      <c r="M410" s="727"/>
      <c r="N410" s="727"/>
      <c r="O410" s="727"/>
      <c r="P410" s="727"/>
      <c r="Q410" s="727"/>
      <c r="R410" s="727"/>
      <c r="S410" s="727"/>
      <c r="T410" s="727"/>
      <c r="U410" s="727"/>
      <c r="V410" s="727"/>
      <c r="W410" s="727"/>
      <c r="X410" s="727"/>
      <c r="Y410" s="727"/>
      <c r="Z410" s="727"/>
      <c r="AA410" s="727"/>
      <c r="AB410" s="727"/>
      <c r="AC410" s="727"/>
      <c r="AD410" s="727"/>
      <c r="AE410" s="728"/>
      <c r="AF410" s="728"/>
      <c r="AG410" s="728"/>
      <c r="AH410" s="728"/>
      <c r="AI410" s="728"/>
      <c r="AJ410" s="728"/>
      <c r="AK410" s="728"/>
      <c r="AL410" s="743"/>
      <c r="AM410" s="571"/>
      <c r="AN410" s="598"/>
      <c r="BS410" s="571"/>
      <c r="BT410" s="571"/>
      <c r="BY410" s="571"/>
      <c r="BZ410" s="571"/>
      <c r="CA410" s="571"/>
      <c r="CB410" s="571"/>
      <c r="CC410" s="571"/>
    </row>
    <row r="411" spans="1:81" s="551" customFormat="1" ht="12.75" customHeight="1">
      <c r="A411" s="537"/>
      <c r="B411" s="14"/>
      <c r="C411" s="14"/>
      <c r="D411" s="14"/>
      <c r="E411" s="692"/>
      <c r="G411" s="604"/>
      <c r="H411" s="604"/>
      <c r="I411" s="604"/>
      <c r="J411" s="604"/>
      <c r="K411" s="604"/>
      <c r="L411" s="604"/>
      <c r="M411" s="604"/>
      <c r="N411" s="604"/>
      <c r="O411" s="604"/>
      <c r="P411" s="604"/>
      <c r="Q411" s="604"/>
      <c r="R411" s="604"/>
      <c r="S411" s="604"/>
      <c r="T411" s="604"/>
      <c r="U411" s="604"/>
      <c r="V411" s="604"/>
      <c r="W411" s="604"/>
      <c r="X411" s="604"/>
      <c r="Y411" s="604"/>
      <c r="Z411" s="604"/>
      <c r="AA411" s="604"/>
      <c r="AB411" s="604"/>
      <c r="AC411" s="604"/>
      <c r="AD411" s="604"/>
      <c r="AE411" s="537"/>
      <c r="AF411" s="540"/>
      <c r="AG411" s="537"/>
      <c r="AM411" s="571"/>
      <c r="AN411" s="598"/>
      <c r="BS411" s="571"/>
      <c r="BT411" s="571"/>
      <c r="BY411" s="571"/>
      <c r="BZ411" s="571"/>
      <c r="CA411" s="571"/>
      <c r="CB411" s="571"/>
      <c r="CC411" s="571"/>
    </row>
    <row r="412" spans="1:81" s="551" customFormat="1" ht="12.75" customHeight="1">
      <c r="A412" s="537"/>
      <c r="B412" s="14"/>
      <c r="C412" s="2456" t="s">
        <v>591</v>
      </c>
      <c r="D412" s="2413"/>
      <c r="E412" s="716" t="s">
        <v>1474</v>
      </c>
      <c r="F412" s="2459" t="s">
        <v>1475</v>
      </c>
      <c r="G412" s="2459"/>
      <c r="H412" s="2459"/>
      <c r="I412" s="2459"/>
      <c r="J412" s="2459"/>
      <c r="K412" s="2459"/>
      <c r="L412" s="2459"/>
      <c r="M412" s="2459"/>
      <c r="N412" s="2459"/>
      <c r="O412" s="2459"/>
      <c r="P412" s="2459"/>
      <c r="Q412" s="2459"/>
      <c r="R412" s="2459"/>
      <c r="S412" s="2459"/>
      <c r="T412" s="2459"/>
      <c r="U412" s="2459"/>
      <c r="V412" s="2459"/>
      <c r="W412" s="2459"/>
      <c r="X412" s="2459"/>
      <c r="Y412" s="2459"/>
      <c r="Z412" s="2459"/>
      <c r="AA412" s="2459"/>
      <c r="AB412" s="2459"/>
      <c r="AC412" s="2459"/>
      <c r="AD412" s="2459"/>
      <c r="AE412" s="2459"/>
      <c r="AF412" s="717"/>
      <c r="AG412" s="745"/>
      <c r="AH412" s="715"/>
      <c r="AI412" s="715"/>
      <c r="AJ412" s="715"/>
      <c r="AK412" s="715"/>
      <c r="AL412" s="746"/>
      <c r="AM412" s="571"/>
      <c r="AN412" s="598"/>
      <c r="BS412" s="571"/>
      <c r="BT412" s="571"/>
      <c r="BY412" s="571"/>
      <c r="BZ412" s="571"/>
      <c r="CA412" s="571"/>
      <c r="CB412" s="571"/>
      <c r="CC412" s="571"/>
    </row>
    <row r="413" spans="1:81" s="551" customFormat="1" ht="12.75" customHeight="1">
      <c r="A413" s="537"/>
      <c r="B413" s="14"/>
      <c r="C413" s="740"/>
      <c r="F413" s="2460"/>
      <c r="G413" s="2460"/>
      <c r="H413" s="2460"/>
      <c r="I413" s="2460"/>
      <c r="J413" s="2460"/>
      <c r="K413" s="2460"/>
      <c r="L413" s="2460"/>
      <c r="M413" s="2460"/>
      <c r="N413" s="2460"/>
      <c r="O413" s="2460"/>
      <c r="P413" s="2460"/>
      <c r="Q413" s="2460"/>
      <c r="R413" s="2460"/>
      <c r="S413" s="2460"/>
      <c r="T413" s="2460"/>
      <c r="U413" s="2460"/>
      <c r="V413" s="2460"/>
      <c r="W413" s="2460"/>
      <c r="X413" s="2460"/>
      <c r="Y413" s="2460"/>
      <c r="Z413" s="2460"/>
      <c r="AA413" s="2460"/>
      <c r="AB413" s="2460"/>
      <c r="AC413" s="2460"/>
      <c r="AD413" s="2460"/>
      <c r="AE413" s="2460"/>
      <c r="AF413" s="2381" t="s">
        <v>1461</v>
      </c>
      <c r="AG413" s="2381"/>
      <c r="AH413" s="2381"/>
      <c r="AI413" s="2381"/>
      <c r="AJ413" s="2381"/>
      <c r="AK413" s="2381"/>
      <c r="AL413" s="2461"/>
      <c r="AM413" s="571"/>
      <c r="AN413" s="598"/>
      <c r="BS413" s="571"/>
      <c r="BT413" s="571"/>
      <c r="BY413" s="571"/>
      <c r="BZ413" s="571"/>
      <c r="CA413" s="571"/>
      <c r="CB413" s="571"/>
      <c r="CC413" s="571"/>
    </row>
    <row r="414" spans="1:81" s="551" customFormat="1" ht="12.75" customHeight="1">
      <c r="A414" s="537"/>
      <c r="B414" s="14"/>
      <c r="C414" s="732"/>
      <c r="D414" s="14"/>
      <c r="E414" s="692"/>
      <c r="F414" s="2460"/>
      <c r="G414" s="2460"/>
      <c r="H414" s="2460"/>
      <c r="I414" s="2460"/>
      <c r="J414" s="2460"/>
      <c r="K414" s="2460"/>
      <c r="L414" s="2460"/>
      <c r="M414" s="2460"/>
      <c r="N414" s="2460"/>
      <c r="O414" s="2460"/>
      <c r="P414" s="2460"/>
      <c r="Q414" s="2460"/>
      <c r="R414" s="2460"/>
      <c r="S414" s="2460"/>
      <c r="T414" s="2460"/>
      <c r="U414" s="2460"/>
      <c r="V414" s="2460"/>
      <c r="W414" s="2460"/>
      <c r="X414" s="2460"/>
      <c r="Y414" s="2460"/>
      <c r="Z414" s="2460"/>
      <c r="AA414" s="2460"/>
      <c r="AB414" s="2460"/>
      <c r="AC414" s="2460"/>
      <c r="AD414" s="2460"/>
      <c r="AE414" s="2460"/>
      <c r="AL414" s="733"/>
      <c r="AM414" s="571"/>
      <c r="AN414" s="598"/>
      <c r="BS414" s="571"/>
      <c r="BT414" s="571"/>
      <c r="BU414" s="571"/>
      <c r="BV414" s="571"/>
      <c r="BW414" s="571"/>
      <c r="BX414" s="571"/>
      <c r="BY414" s="571"/>
      <c r="BZ414" s="571"/>
      <c r="CA414" s="571"/>
      <c r="CB414" s="571"/>
      <c r="CC414" s="571"/>
    </row>
    <row r="415" spans="1:81" s="551" customFormat="1" ht="12.75" customHeight="1">
      <c r="A415" s="537"/>
      <c r="B415" s="14"/>
      <c r="C415" s="741"/>
      <c r="D415" s="734"/>
      <c r="E415" s="735"/>
      <c r="F415" s="2479"/>
      <c r="G415" s="2479"/>
      <c r="H415" s="2479"/>
      <c r="I415" s="2479"/>
      <c r="J415" s="2479"/>
      <c r="K415" s="2479"/>
      <c r="L415" s="2479"/>
      <c r="M415" s="2479"/>
      <c r="N415" s="2479"/>
      <c r="O415" s="2479"/>
      <c r="P415" s="2479"/>
      <c r="Q415" s="2479"/>
      <c r="R415" s="2479"/>
      <c r="S415" s="2479"/>
      <c r="T415" s="2479"/>
      <c r="U415" s="2479"/>
      <c r="V415" s="2479"/>
      <c r="W415" s="2479"/>
      <c r="X415" s="2479"/>
      <c r="Y415" s="2479"/>
      <c r="Z415" s="2479"/>
      <c r="AA415" s="2479"/>
      <c r="AB415" s="2479"/>
      <c r="AC415" s="2479"/>
      <c r="AD415" s="2479"/>
      <c r="AE415" s="2479"/>
      <c r="AF415" s="584"/>
      <c r="AG415" s="738"/>
      <c r="AH415" s="728"/>
      <c r="AI415" s="728"/>
      <c r="AJ415" s="728"/>
      <c r="AK415" s="728"/>
      <c r="AL415" s="743"/>
      <c r="AM415" s="571"/>
      <c r="AN415" s="598"/>
    </row>
    <row r="416" spans="1:81">
      <c r="A416" s="537"/>
      <c r="E416" s="692"/>
      <c r="F416" s="604"/>
      <c r="G416" s="604"/>
      <c r="H416" s="604"/>
      <c r="I416" s="604"/>
      <c r="J416" s="604"/>
      <c r="K416" s="604"/>
      <c r="L416" s="604"/>
      <c r="M416" s="604"/>
      <c r="N416" s="604"/>
      <c r="O416" s="604"/>
      <c r="P416" s="604"/>
      <c r="Q416" s="604"/>
      <c r="R416" s="604"/>
      <c r="S416" s="604"/>
      <c r="T416" s="604"/>
      <c r="U416" s="604"/>
      <c r="V416" s="604"/>
      <c r="W416" s="604"/>
      <c r="X416" s="604"/>
      <c r="Y416" s="604"/>
      <c r="Z416" s="604"/>
      <c r="AA416" s="604"/>
      <c r="AB416" s="604"/>
      <c r="AC416" s="604"/>
      <c r="AD416" s="604"/>
      <c r="AE416" s="537"/>
      <c r="AF416" s="540"/>
      <c r="AG416" s="537"/>
      <c r="AH416" s="551"/>
      <c r="AI416" s="551"/>
      <c r="AJ416" s="551"/>
      <c r="AK416" s="551"/>
      <c r="AL416" s="551"/>
      <c r="AM416" s="571"/>
    </row>
    <row r="417" spans="1:55" ht="12.75" customHeight="1">
      <c r="A417" s="537"/>
      <c r="C417" s="747"/>
      <c r="D417" s="748"/>
      <c r="E417" s="716" t="s">
        <v>1476</v>
      </c>
      <c r="F417" s="2459" t="s">
        <v>1477</v>
      </c>
      <c r="G417" s="2459"/>
      <c r="H417" s="2459"/>
      <c r="I417" s="2459"/>
      <c r="J417" s="2459"/>
      <c r="K417" s="2459"/>
      <c r="L417" s="2459"/>
      <c r="M417" s="2459"/>
      <c r="N417" s="2459"/>
      <c r="O417" s="2459"/>
      <c r="P417" s="2459"/>
      <c r="Q417" s="2459"/>
      <c r="R417" s="2459"/>
      <c r="S417" s="2459"/>
      <c r="T417" s="2459"/>
      <c r="U417" s="2459"/>
      <c r="V417" s="2459"/>
      <c r="W417" s="2459"/>
      <c r="X417" s="2459"/>
      <c r="Y417" s="2459"/>
      <c r="Z417" s="2459"/>
      <c r="AA417" s="2459"/>
      <c r="AB417" s="2459"/>
      <c r="AC417" s="2459"/>
      <c r="AD417" s="2459"/>
      <c r="AE417" s="2459"/>
      <c r="AF417" s="748"/>
      <c r="AG417" s="748"/>
      <c r="AH417" s="748"/>
      <c r="AI417" s="748"/>
      <c r="AJ417" s="748"/>
      <c r="AK417" s="748"/>
      <c r="AL417" s="749"/>
      <c r="AM417" s="571"/>
    </row>
    <row r="418" spans="1:55">
      <c r="A418" s="537"/>
      <c r="C418" s="732"/>
      <c r="E418" s="692"/>
      <c r="F418" s="2460"/>
      <c r="G418" s="2460"/>
      <c r="H418" s="2460"/>
      <c r="I418" s="2460"/>
      <c r="J418" s="2460"/>
      <c r="K418" s="2460"/>
      <c r="L418" s="2460"/>
      <c r="M418" s="2460"/>
      <c r="N418" s="2460"/>
      <c r="O418" s="2460"/>
      <c r="P418" s="2460"/>
      <c r="Q418" s="2460"/>
      <c r="R418" s="2460"/>
      <c r="S418" s="2460"/>
      <c r="T418" s="2460"/>
      <c r="U418" s="2460"/>
      <c r="V418" s="2460"/>
      <c r="W418" s="2460"/>
      <c r="X418" s="2460"/>
      <c r="Y418" s="2460"/>
      <c r="Z418" s="2460"/>
      <c r="AA418" s="2460"/>
      <c r="AB418" s="2460"/>
      <c r="AC418" s="2460"/>
      <c r="AD418" s="2460"/>
      <c r="AE418" s="2460"/>
      <c r="AF418" s="540"/>
      <c r="AG418" s="537"/>
      <c r="AH418" s="551"/>
      <c r="AI418" s="551"/>
      <c r="AJ418" s="551"/>
      <c r="AK418" s="551"/>
      <c r="AL418" s="733"/>
      <c r="AM418" s="571"/>
    </row>
    <row r="419" spans="1:55" s="551" customFormat="1" ht="12.75" customHeight="1">
      <c r="A419" s="537"/>
      <c r="B419" s="14"/>
      <c r="C419" s="732"/>
      <c r="D419" s="14"/>
      <c r="E419" s="692"/>
      <c r="F419" s="2460"/>
      <c r="G419" s="2460"/>
      <c r="H419" s="2460"/>
      <c r="I419" s="2460"/>
      <c r="J419" s="2460"/>
      <c r="K419" s="2460"/>
      <c r="L419" s="2460"/>
      <c r="M419" s="2460"/>
      <c r="N419" s="2460"/>
      <c r="O419" s="2460"/>
      <c r="P419" s="2460"/>
      <c r="Q419" s="2460"/>
      <c r="R419" s="2460"/>
      <c r="S419" s="2460"/>
      <c r="T419" s="2460"/>
      <c r="U419" s="2460"/>
      <c r="V419" s="2460"/>
      <c r="W419" s="2460"/>
      <c r="X419" s="2460"/>
      <c r="Y419" s="2460"/>
      <c r="Z419" s="2460"/>
      <c r="AA419" s="2460"/>
      <c r="AB419" s="2460"/>
      <c r="AC419" s="2460"/>
      <c r="AD419" s="2460"/>
      <c r="AE419" s="2460"/>
      <c r="AL419" s="733"/>
      <c r="AM419" s="571"/>
      <c r="AN419" s="598"/>
    </row>
    <row r="420" spans="1:55" s="551" customFormat="1" ht="12.75" customHeight="1">
      <c r="A420" s="537"/>
      <c r="B420" s="14"/>
      <c r="C420" s="740"/>
      <c r="F420" s="2460"/>
      <c r="G420" s="2460"/>
      <c r="H420" s="2460"/>
      <c r="I420" s="2460"/>
      <c r="J420" s="2460"/>
      <c r="K420" s="2460"/>
      <c r="L420" s="2460"/>
      <c r="M420" s="2460"/>
      <c r="N420" s="2460"/>
      <c r="O420" s="2460"/>
      <c r="P420" s="2460"/>
      <c r="Q420" s="2460"/>
      <c r="R420" s="2460"/>
      <c r="S420" s="2460"/>
      <c r="T420" s="2460"/>
      <c r="U420" s="2460"/>
      <c r="V420" s="2460"/>
      <c r="W420" s="2460"/>
      <c r="X420" s="2460"/>
      <c r="Y420" s="2460"/>
      <c r="Z420" s="2460"/>
      <c r="AA420" s="2460"/>
      <c r="AB420" s="2460"/>
      <c r="AC420" s="2460"/>
      <c r="AD420" s="2460"/>
      <c r="AE420" s="2460"/>
      <c r="AL420" s="733"/>
      <c r="AM420" s="571"/>
      <c r="AN420" s="598"/>
    </row>
    <row r="421" spans="1:55" s="551" customFormat="1" ht="12.75" customHeight="1">
      <c r="A421" s="537"/>
      <c r="B421" s="14"/>
      <c r="C421" s="2456" t="s">
        <v>591</v>
      </c>
      <c r="D421" s="2413"/>
      <c r="E421" s="692"/>
      <c r="F421" s="722" t="s">
        <v>1478</v>
      </c>
      <c r="G421" s="604"/>
      <c r="H421" s="604"/>
      <c r="I421" s="604"/>
      <c r="J421" s="604"/>
      <c r="K421" s="604"/>
      <c r="L421" s="604"/>
      <c r="M421" s="604"/>
      <c r="N421" s="604"/>
      <c r="O421" s="604"/>
      <c r="P421" s="604"/>
      <c r="Q421" s="604"/>
      <c r="R421" s="604"/>
      <c r="S421" s="604"/>
      <c r="T421" s="604"/>
      <c r="U421" s="604"/>
      <c r="V421" s="604"/>
      <c r="W421" s="604"/>
      <c r="X421" s="604"/>
      <c r="Y421" s="604"/>
      <c r="Z421" s="604"/>
      <c r="AA421" s="604"/>
      <c r="AB421" s="604"/>
      <c r="AC421" s="604"/>
      <c r="AD421" s="604"/>
      <c r="AF421" s="2381" t="s">
        <v>1461</v>
      </c>
      <c r="AG421" s="2381"/>
      <c r="AH421" s="2381"/>
      <c r="AI421" s="2381"/>
      <c r="AJ421" s="2381"/>
      <c r="AK421" s="2381"/>
      <c r="AL421" s="2461"/>
      <c r="AM421" s="571"/>
      <c r="AN421" s="598"/>
    </row>
    <row r="422" spans="1:55" s="551" customFormat="1" ht="12.75" customHeight="1">
      <c r="A422" s="537"/>
      <c r="B422" s="14"/>
      <c r="C422" s="740"/>
      <c r="AL422" s="733"/>
      <c r="AM422" s="571"/>
      <c r="AN422" s="598"/>
    </row>
    <row r="423" spans="1:55" s="551" customFormat="1" ht="12.75" customHeight="1">
      <c r="A423" s="537"/>
      <c r="B423" s="14"/>
      <c r="C423" s="2456" t="s">
        <v>591</v>
      </c>
      <c r="D423" s="2413"/>
      <c r="E423" s="720"/>
      <c r="F423" s="722" t="s">
        <v>1479</v>
      </c>
      <c r="G423" s="604"/>
      <c r="H423" s="604"/>
      <c r="I423" s="604"/>
      <c r="J423" s="604"/>
      <c r="K423" s="604"/>
      <c r="L423" s="604"/>
      <c r="M423" s="604"/>
      <c r="N423" s="604"/>
      <c r="O423" s="604"/>
      <c r="P423" s="604"/>
      <c r="Q423" s="604"/>
      <c r="R423" s="604"/>
      <c r="S423" s="604"/>
      <c r="T423" s="604"/>
      <c r="U423" s="604"/>
      <c r="V423" s="604"/>
      <c r="W423" s="604"/>
      <c r="X423" s="604"/>
      <c r="Y423" s="604"/>
      <c r="Z423" s="604"/>
      <c r="AA423" s="604"/>
      <c r="AB423" s="604"/>
      <c r="AC423" s="604"/>
      <c r="AD423" s="604"/>
      <c r="AF423" s="2381" t="s">
        <v>1473</v>
      </c>
      <c r="AG423" s="2381"/>
      <c r="AH423" s="2381"/>
      <c r="AI423" s="2381"/>
      <c r="AJ423" s="2381"/>
      <c r="AK423" s="2381"/>
      <c r="AL423" s="2461"/>
      <c r="AM423" s="571"/>
      <c r="AN423" s="598"/>
      <c r="AO423" s="597"/>
      <c r="AP423" s="597"/>
      <c r="BC423" s="14"/>
    </row>
    <row r="424" spans="1:55" s="551" customFormat="1" ht="12.75" customHeight="1">
      <c r="A424" s="537"/>
      <c r="B424" s="14"/>
      <c r="C424" s="734"/>
      <c r="D424" s="734"/>
      <c r="E424" s="735"/>
      <c r="F424" s="726"/>
      <c r="G424" s="727"/>
      <c r="H424" s="727"/>
      <c r="I424" s="727"/>
      <c r="J424" s="727"/>
      <c r="K424" s="727"/>
      <c r="L424" s="727"/>
      <c r="M424" s="727"/>
      <c r="N424" s="727"/>
      <c r="O424" s="727"/>
      <c r="P424" s="727"/>
      <c r="Q424" s="727"/>
      <c r="R424" s="727"/>
      <c r="S424" s="727"/>
      <c r="T424" s="727"/>
      <c r="U424" s="727"/>
      <c r="V424" s="727"/>
      <c r="W424" s="727"/>
      <c r="X424" s="727"/>
      <c r="Y424" s="727"/>
      <c r="Z424" s="727"/>
      <c r="AA424" s="727"/>
      <c r="AB424" s="727"/>
      <c r="AC424" s="727"/>
      <c r="AD424" s="727"/>
      <c r="AE424" s="738"/>
      <c r="AF424" s="584"/>
      <c r="AG424" s="738"/>
      <c r="AH424" s="728"/>
      <c r="AI424" s="728"/>
      <c r="AJ424" s="728"/>
      <c r="AK424" s="728"/>
      <c r="AL424" s="743"/>
      <c r="AM424" s="571"/>
      <c r="AN424" s="598"/>
    </row>
    <row r="425" spans="1:55" s="551" customFormat="1" ht="12.75" customHeight="1">
      <c r="A425" s="537"/>
      <c r="B425" s="14"/>
      <c r="C425" s="14"/>
      <c r="D425" s="14"/>
      <c r="E425" s="692"/>
      <c r="F425" s="722"/>
      <c r="G425" s="604"/>
      <c r="H425" s="604"/>
      <c r="I425" s="604"/>
      <c r="J425" s="604"/>
      <c r="K425" s="604"/>
      <c r="L425" s="604"/>
      <c r="M425" s="604"/>
      <c r="N425" s="604"/>
      <c r="O425" s="604"/>
      <c r="P425" s="604"/>
      <c r="Q425" s="604"/>
      <c r="R425" s="604"/>
      <c r="S425" s="604"/>
      <c r="T425" s="604"/>
      <c r="U425" s="604"/>
      <c r="V425" s="604"/>
      <c r="W425" s="604"/>
      <c r="X425" s="604"/>
      <c r="Y425" s="604"/>
      <c r="Z425" s="604"/>
      <c r="AA425" s="604"/>
      <c r="AB425" s="604"/>
      <c r="AC425" s="604"/>
      <c r="AD425" s="604"/>
      <c r="AE425" s="537"/>
      <c r="AF425" s="540"/>
      <c r="AG425" s="537"/>
      <c r="AM425" s="571"/>
      <c r="AN425" s="598"/>
    </row>
    <row r="426" spans="1:55" s="551" customFormat="1" ht="12.75" customHeight="1">
      <c r="A426" s="537"/>
      <c r="B426" s="14"/>
      <c r="C426" s="713" t="s">
        <v>2210</v>
      </c>
      <c r="D426" s="14"/>
      <c r="E426" s="692"/>
      <c r="F426" s="604"/>
      <c r="G426" s="604"/>
      <c r="H426" s="604"/>
      <c r="I426" s="604"/>
      <c r="J426" s="604"/>
      <c r="K426" s="604"/>
      <c r="L426" s="604"/>
      <c r="M426" s="604"/>
      <c r="N426" s="604"/>
      <c r="O426" s="604"/>
      <c r="P426" s="604"/>
      <c r="Q426" s="604"/>
      <c r="R426" s="604"/>
      <c r="S426" s="604"/>
      <c r="T426" s="604"/>
      <c r="U426" s="604"/>
      <c r="V426" s="604"/>
      <c r="W426" s="604"/>
      <c r="X426" s="604"/>
      <c r="Y426" s="604"/>
      <c r="Z426" s="604"/>
      <c r="AA426" s="604"/>
      <c r="AB426" s="604"/>
      <c r="AC426" s="604"/>
      <c r="AD426" s="604"/>
      <c r="AE426" s="537"/>
      <c r="AF426" s="540"/>
      <c r="AG426" s="537"/>
      <c r="AM426" s="571"/>
      <c r="AN426" s="598"/>
    </row>
    <row r="427" spans="1:55" s="551" customFormat="1" ht="12.75" customHeight="1">
      <c r="A427" s="537"/>
      <c r="B427" s="14"/>
      <c r="C427" s="714"/>
      <c r="D427" s="715"/>
      <c r="E427" s="716" t="s">
        <v>1480</v>
      </c>
      <c r="F427" s="2459" t="s">
        <v>1481</v>
      </c>
      <c r="G427" s="2459"/>
      <c r="H427" s="2459"/>
      <c r="I427" s="2459"/>
      <c r="J427" s="2459"/>
      <c r="K427" s="2459"/>
      <c r="L427" s="2459"/>
      <c r="M427" s="2459"/>
      <c r="N427" s="2459"/>
      <c r="O427" s="2459"/>
      <c r="P427" s="2459"/>
      <c r="Q427" s="2459"/>
      <c r="R427" s="2459"/>
      <c r="S427" s="2459"/>
      <c r="T427" s="2459"/>
      <c r="U427" s="2459"/>
      <c r="V427" s="2459"/>
      <c r="W427" s="2459"/>
      <c r="X427" s="2459"/>
      <c r="Y427" s="2459"/>
      <c r="Z427" s="2459"/>
      <c r="AA427" s="2459"/>
      <c r="AB427" s="2459"/>
      <c r="AC427" s="2459"/>
      <c r="AD427" s="2459"/>
      <c r="AE427" s="2459"/>
      <c r="AF427" s="715"/>
      <c r="AG427" s="715"/>
      <c r="AH427" s="715"/>
      <c r="AI427" s="715"/>
      <c r="AJ427" s="715"/>
      <c r="AK427" s="715"/>
      <c r="AL427" s="746"/>
      <c r="AM427" s="571"/>
      <c r="AN427" s="598"/>
    </row>
    <row r="428" spans="1:55" s="551" customFormat="1" ht="12.75" customHeight="1">
      <c r="A428" s="537"/>
      <c r="B428" s="14"/>
      <c r="C428" s="732"/>
      <c r="D428" s="14"/>
      <c r="E428" s="692"/>
      <c r="F428" s="2460"/>
      <c r="G428" s="2460"/>
      <c r="H428" s="2460"/>
      <c r="I428" s="2460"/>
      <c r="J428" s="2460"/>
      <c r="K428" s="2460"/>
      <c r="L428" s="2460"/>
      <c r="M428" s="2460"/>
      <c r="N428" s="2460"/>
      <c r="O428" s="2460"/>
      <c r="P428" s="2460"/>
      <c r="Q428" s="2460"/>
      <c r="R428" s="2460"/>
      <c r="S428" s="2460"/>
      <c r="T428" s="2460"/>
      <c r="U428" s="2460"/>
      <c r="V428" s="2460"/>
      <c r="W428" s="2460"/>
      <c r="X428" s="2460"/>
      <c r="Y428" s="2460"/>
      <c r="Z428" s="2460"/>
      <c r="AA428" s="2460"/>
      <c r="AB428" s="2460"/>
      <c r="AC428" s="2460"/>
      <c r="AD428" s="2460"/>
      <c r="AE428" s="2460"/>
      <c r="AF428" s="540"/>
      <c r="AG428" s="537"/>
      <c r="AL428" s="733"/>
      <c r="AM428" s="571"/>
      <c r="AN428" s="598"/>
    </row>
    <row r="429" spans="1:55" s="551" customFormat="1" ht="12.4" customHeight="1">
      <c r="A429" s="537"/>
      <c r="B429" s="14"/>
      <c r="C429" s="732"/>
      <c r="D429" s="14"/>
      <c r="E429" s="692"/>
      <c r="F429" s="2460"/>
      <c r="G429" s="2460"/>
      <c r="H429" s="2460"/>
      <c r="I429" s="2460"/>
      <c r="J429" s="2460"/>
      <c r="K429" s="2460"/>
      <c r="L429" s="2460"/>
      <c r="M429" s="2460"/>
      <c r="N429" s="2460"/>
      <c r="O429" s="2460"/>
      <c r="P429" s="2460"/>
      <c r="Q429" s="2460"/>
      <c r="R429" s="2460"/>
      <c r="S429" s="2460"/>
      <c r="T429" s="2460"/>
      <c r="U429" s="2460"/>
      <c r="V429" s="2460"/>
      <c r="W429" s="2460"/>
      <c r="X429" s="2460"/>
      <c r="Y429" s="2460"/>
      <c r="Z429" s="2460"/>
      <c r="AA429" s="2460"/>
      <c r="AB429" s="2460"/>
      <c r="AC429" s="2460"/>
      <c r="AD429" s="2460"/>
      <c r="AE429" s="2460"/>
      <c r="AL429" s="733"/>
      <c r="AM429" s="571"/>
      <c r="AN429" s="598"/>
    </row>
    <row r="430" spans="1:55" s="551" customFormat="1" ht="12.75" customHeight="1">
      <c r="A430" s="537"/>
      <c r="B430" s="14"/>
      <c r="C430" s="2456" t="s">
        <v>591</v>
      </c>
      <c r="D430" s="2413"/>
      <c r="E430" s="692"/>
      <c r="F430" s="722" t="s">
        <v>1482</v>
      </c>
      <c r="G430" s="750"/>
      <c r="H430" s="750"/>
      <c r="I430" s="750"/>
      <c r="J430" s="750"/>
      <c r="K430" s="750"/>
      <c r="L430" s="750"/>
      <c r="M430" s="750"/>
      <c r="N430" s="750"/>
      <c r="O430" s="750"/>
      <c r="P430" s="750"/>
      <c r="Q430" s="750"/>
      <c r="R430" s="750"/>
      <c r="S430" s="750"/>
      <c r="T430" s="750"/>
      <c r="U430" s="750"/>
      <c r="V430" s="750"/>
      <c r="W430" s="750"/>
      <c r="X430" s="750"/>
      <c r="Y430" s="750"/>
      <c r="Z430" s="750"/>
      <c r="AA430" s="750"/>
      <c r="AB430" s="750"/>
      <c r="AC430" s="750"/>
      <c r="AD430" s="750"/>
      <c r="AF430" s="2381" t="s">
        <v>1461</v>
      </c>
      <c r="AG430" s="2381"/>
      <c r="AH430" s="2381"/>
      <c r="AI430" s="2381"/>
      <c r="AJ430" s="2381"/>
      <c r="AK430" s="2381"/>
      <c r="AL430" s="2461"/>
      <c r="AM430" s="571"/>
      <c r="AN430" s="598"/>
    </row>
    <row r="431" spans="1:55" s="551" customFormat="1" ht="12.75" customHeight="1">
      <c r="A431" s="537"/>
      <c r="B431" s="14"/>
      <c r="C431" s="744"/>
      <c r="D431" s="728"/>
      <c r="E431" s="725"/>
      <c r="F431" s="742"/>
      <c r="G431" s="727"/>
      <c r="H431" s="727"/>
      <c r="I431" s="727"/>
      <c r="J431" s="727"/>
      <c r="K431" s="727"/>
      <c r="L431" s="727"/>
      <c r="M431" s="727"/>
      <c r="N431" s="727"/>
      <c r="O431" s="727"/>
      <c r="P431" s="727"/>
      <c r="Q431" s="727"/>
      <c r="R431" s="727"/>
      <c r="S431" s="727"/>
      <c r="T431" s="727"/>
      <c r="U431" s="727"/>
      <c r="V431" s="727"/>
      <c r="W431" s="727"/>
      <c r="X431" s="727"/>
      <c r="Y431" s="727"/>
      <c r="Z431" s="727"/>
      <c r="AA431" s="727"/>
      <c r="AB431" s="727"/>
      <c r="AC431" s="727"/>
      <c r="AD431" s="727"/>
      <c r="AE431" s="728"/>
      <c r="AF431" s="728"/>
      <c r="AG431" s="728"/>
      <c r="AH431" s="728"/>
      <c r="AI431" s="728"/>
      <c r="AJ431" s="728"/>
      <c r="AK431" s="728"/>
      <c r="AL431" s="743"/>
      <c r="AM431" s="571"/>
      <c r="AN431" s="598"/>
    </row>
    <row r="432" spans="1:55" s="551" customFormat="1" ht="12.75" customHeight="1">
      <c r="A432" s="537"/>
      <c r="B432" s="14"/>
      <c r="C432" s="731"/>
      <c r="D432" s="731"/>
      <c r="E432" s="720"/>
      <c r="F432" s="722"/>
      <c r="G432" s="604"/>
      <c r="H432" s="604"/>
      <c r="I432" s="604"/>
      <c r="J432" s="604"/>
      <c r="K432" s="604"/>
      <c r="L432" s="604"/>
      <c r="M432" s="604"/>
      <c r="N432" s="604"/>
      <c r="O432" s="604"/>
      <c r="P432" s="604"/>
      <c r="Q432" s="604"/>
      <c r="R432" s="604"/>
      <c r="S432" s="604"/>
      <c r="T432" s="604"/>
      <c r="U432" s="604"/>
      <c r="V432" s="604"/>
      <c r="W432" s="604"/>
      <c r="X432" s="604"/>
      <c r="Y432" s="604"/>
      <c r="Z432" s="604"/>
      <c r="AA432" s="604"/>
      <c r="AB432" s="604"/>
      <c r="AC432" s="604"/>
      <c r="AD432" s="604"/>
      <c r="AE432" s="537"/>
      <c r="AM432" s="571"/>
      <c r="AN432" s="598"/>
    </row>
    <row r="433" spans="1:60" ht="13.15" customHeight="1">
      <c r="A433" s="537"/>
      <c r="C433" s="747"/>
      <c r="D433" s="748"/>
      <c r="E433" s="716" t="s">
        <v>1483</v>
      </c>
      <c r="F433" s="2459" t="s">
        <v>1484</v>
      </c>
      <c r="G433" s="2459"/>
      <c r="H433" s="2459"/>
      <c r="I433" s="2459"/>
      <c r="J433" s="2459"/>
      <c r="K433" s="2459"/>
      <c r="L433" s="2459"/>
      <c r="M433" s="2459"/>
      <c r="N433" s="2459"/>
      <c r="O433" s="2459"/>
      <c r="P433" s="2459"/>
      <c r="Q433" s="2459"/>
      <c r="R433" s="2459"/>
      <c r="S433" s="2459"/>
      <c r="T433" s="2459"/>
      <c r="U433" s="2459"/>
      <c r="V433" s="2459"/>
      <c r="W433" s="2459"/>
      <c r="X433" s="2459"/>
      <c r="Y433" s="2459"/>
      <c r="Z433" s="2459"/>
      <c r="AA433" s="2459"/>
      <c r="AB433" s="2459"/>
      <c r="AC433" s="2459"/>
      <c r="AD433" s="2459"/>
      <c r="AE433" s="2459"/>
      <c r="AF433" s="748"/>
      <c r="AG433" s="748"/>
      <c r="AH433" s="748"/>
      <c r="AI433" s="748"/>
      <c r="AJ433" s="748"/>
      <c r="AK433" s="748"/>
      <c r="AL433" s="749"/>
      <c r="AM433" s="571"/>
      <c r="AO433" s="551"/>
      <c r="AP433" s="551"/>
      <c r="BD433" s="14"/>
      <c r="BE433" s="14"/>
      <c r="BF433" s="14"/>
      <c r="BG433" s="14"/>
      <c r="BH433" s="14"/>
    </row>
    <row r="434" spans="1:60">
      <c r="A434" s="537"/>
      <c r="C434" s="732"/>
      <c r="E434" s="692"/>
      <c r="F434" s="2460"/>
      <c r="G434" s="2460"/>
      <c r="H434" s="2460"/>
      <c r="I434" s="2460"/>
      <c r="J434" s="2460"/>
      <c r="K434" s="2460"/>
      <c r="L434" s="2460"/>
      <c r="M434" s="2460"/>
      <c r="N434" s="2460"/>
      <c r="O434" s="2460"/>
      <c r="P434" s="2460"/>
      <c r="Q434" s="2460"/>
      <c r="R434" s="2460"/>
      <c r="S434" s="2460"/>
      <c r="T434" s="2460"/>
      <c r="U434" s="2460"/>
      <c r="V434" s="2460"/>
      <c r="W434" s="2460"/>
      <c r="X434" s="2460"/>
      <c r="Y434" s="2460"/>
      <c r="Z434" s="2460"/>
      <c r="AA434" s="2460"/>
      <c r="AB434" s="2460"/>
      <c r="AC434" s="2460"/>
      <c r="AD434" s="2460"/>
      <c r="AE434" s="2460"/>
      <c r="AF434" s="595"/>
      <c r="AG434" s="595"/>
      <c r="AH434" s="595"/>
      <c r="AI434" s="595"/>
      <c r="AJ434" s="595"/>
      <c r="AK434" s="595"/>
      <c r="AL434" s="751"/>
      <c r="AM434" s="571"/>
      <c r="AO434" s="551"/>
      <c r="AP434" s="551"/>
    </row>
    <row r="435" spans="1:60" s="551" customFormat="1" ht="12.75" customHeight="1">
      <c r="A435" s="537"/>
      <c r="B435" s="14"/>
      <c r="C435" s="732"/>
      <c r="D435" s="14"/>
      <c r="E435" s="692"/>
      <c r="F435" s="2460"/>
      <c r="G435" s="2460"/>
      <c r="H435" s="2460"/>
      <c r="I435" s="2460"/>
      <c r="J435" s="2460"/>
      <c r="K435" s="2460"/>
      <c r="L435" s="2460"/>
      <c r="M435" s="2460"/>
      <c r="N435" s="2460"/>
      <c r="O435" s="2460"/>
      <c r="P435" s="2460"/>
      <c r="Q435" s="2460"/>
      <c r="R435" s="2460"/>
      <c r="S435" s="2460"/>
      <c r="T435" s="2460"/>
      <c r="U435" s="2460"/>
      <c r="V435" s="2460"/>
      <c r="W435" s="2460"/>
      <c r="X435" s="2460"/>
      <c r="Y435" s="2460"/>
      <c r="Z435" s="2460"/>
      <c r="AA435" s="2460"/>
      <c r="AB435" s="2460"/>
      <c r="AC435" s="2460"/>
      <c r="AD435" s="2460"/>
      <c r="AE435" s="2460"/>
      <c r="AF435" s="595"/>
      <c r="AG435" s="595"/>
      <c r="AH435" s="595"/>
      <c r="AI435" s="595"/>
      <c r="AJ435" s="595"/>
      <c r="AK435" s="595"/>
      <c r="AL435" s="751"/>
      <c r="AM435" s="571"/>
      <c r="AN435" s="598"/>
    </row>
    <row r="436" spans="1:60" s="551" customFormat="1" ht="12.75" customHeight="1">
      <c r="A436" s="537"/>
      <c r="B436" s="14"/>
      <c r="C436" s="752"/>
      <c r="D436" s="731"/>
      <c r="E436" s="720"/>
      <c r="F436" s="2460"/>
      <c r="G436" s="2460"/>
      <c r="H436" s="2460"/>
      <c r="I436" s="2460"/>
      <c r="J436" s="2460"/>
      <c r="K436" s="2460"/>
      <c r="L436" s="2460"/>
      <c r="M436" s="2460"/>
      <c r="N436" s="2460"/>
      <c r="O436" s="2460"/>
      <c r="P436" s="2460"/>
      <c r="Q436" s="2460"/>
      <c r="R436" s="2460"/>
      <c r="S436" s="2460"/>
      <c r="T436" s="2460"/>
      <c r="U436" s="2460"/>
      <c r="V436" s="2460"/>
      <c r="W436" s="2460"/>
      <c r="X436" s="2460"/>
      <c r="Y436" s="2460"/>
      <c r="Z436" s="2460"/>
      <c r="AA436" s="2460"/>
      <c r="AB436" s="2460"/>
      <c r="AC436" s="2460"/>
      <c r="AD436" s="2460"/>
      <c r="AE436" s="2460"/>
      <c r="AF436" s="595"/>
      <c r="AG436" s="595"/>
      <c r="AH436" s="595"/>
      <c r="AI436" s="595"/>
      <c r="AJ436" s="595"/>
      <c r="AK436" s="595"/>
      <c r="AL436" s="751"/>
      <c r="AM436" s="571"/>
      <c r="AN436" s="598"/>
      <c r="AO436" s="30"/>
      <c r="AP436" s="14"/>
    </row>
    <row r="437" spans="1:60" s="551" customFormat="1" ht="12.75" customHeight="1">
      <c r="A437" s="537"/>
      <c r="B437" s="14"/>
      <c r="C437" s="752"/>
      <c r="D437" s="731"/>
      <c r="E437" s="720"/>
      <c r="F437" s="2460"/>
      <c r="G437" s="2460"/>
      <c r="H437" s="2460"/>
      <c r="I437" s="2460"/>
      <c r="J437" s="2460"/>
      <c r="K437" s="2460"/>
      <c r="L437" s="2460"/>
      <c r="M437" s="2460"/>
      <c r="N437" s="2460"/>
      <c r="O437" s="2460"/>
      <c r="P437" s="2460"/>
      <c r="Q437" s="2460"/>
      <c r="R437" s="2460"/>
      <c r="S437" s="2460"/>
      <c r="T437" s="2460"/>
      <c r="U437" s="2460"/>
      <c r="V437" s="2460"/>
      <c r="W437" s="2460"/>
      <c r="X437" s="2460"/>
      <c r="Y437" s="2460"/>
      <c r="Z437" s="2460"/>
      <c r="AA437" s="2460"/>
      <c r="AB437" s="2460"/>
      <c r="AC437" s="2460"/>
      <c r="AD437" s="2460"/>
      <c r="AE437" s="2460"/>
      <c r="AF437" s="595"/>
      <c r="AG437" s="595"/>
      <c r="AH437" s="595"/>
      <c r="AI437" s="595"/>
      <c r="AJ437" s="595"/>
      <c r="AK437" s="595"/>
      <c r="AL437" s="751"/>
      <c r="AM437" s="571"/>
      <c r="AN437" s="598"/>
    </row>
    <row r="438" spans="1:60" s="551" customFormat="1" ht="12.75" customHeight="1">
      <c r="A438" s="537"/>
      <c r="B438" s="14"/>
      <c r="C438" s="752"/>
      <c r="D438" s="731"/>
      <c r="E438" s="720"/>
      <c r="F438" s="2460"/>
      <c r="G438" s="2460"/>
      <c r="H438" s="2460"/>
      <c r="I438" s="2460"/>
      <c r="J438" s="2460"/>
      <c r="K438" s="2460"/>
      <c r="L438" s="2460"/>
      <c r="M438" s="2460"/>
      <c r="N438" s="2460"/>
      <c r="O438" s="2460"/>
      <c r="P438" s="2460"/>
      <c r="Q438" s="2460"/>
      <c r="R438" s="2460"/>
      <c r="S438" s="2460"/>
      <c r="T438" s="2460"/>
      <c r="U438" s="2460"/>
      <c r="V438" s="2460"/>
      <c r="W438" s="2460"/>
      <c r="X438" s="2460"/>
      <c r="Y438" s="2460"/>
      <c r="Z438" s="2460"/>
      <c r="AA438" s="2460"/>
      <c r="AB438" s="2460"/>
      <c r="AC438" s="2460"/>
      <c r="AD438" s="2460"/>
      <c r="AE438" s="2460"/>
      <c r="AF438" s="595"/>
      <c r="AG438" s="595"/>
      <c r="AH438" s="595"/>
      <c r="AI438" s="595"/>
      <c r="AJ438" s="595"/>
      <c r="AK438" s="595"/>
      <c r="AL438" s="751"/>
      <c r="AM438" s="571"/>
      <c r="AN438" s="598"/>
    </row>
    <row r="439" spans="1:60" s="551" customFormat="1" ht="12.75" customHeight="1">
      <c r="A439" s="537"/>
      <c r="B439" s="14"/>
      <c r="C439" s="752"/>
      <c r="D439" s="731"/>
      <c r="E439" s="720"/>
      <c r="F439" s="2460"/>
      <c r="G439" s="2460"/>
      <c r="H439" s="2460"/>
      <c r="I439" s="2460"/>
      <c r="J439" s="2460"/>
      <c r="K439" s="2460"/>
      <c r="L439" s="2460"/>
      <c r="M439" s="2460"/>
      <c r="N439" s="2460"/>
      <c r="O439" s="2460"/>
      <c r="P439" s="2460"/>
      <c r="Q439" s="2460"/>
      <c r="R439" s="2460"/>
      <c r="S439" s="2460"/>
      <c r="T439" s="2460"/>
      <c r="U439" s="2460"/>
      <c r="V439" s="2460"/>
      <c r="W439" s="2460"/>
      <c r="X439" s="2460"/>
      <c r="Y439" s="2460"/>
      <c r="Z439" s="2460"/>
      <c r="AA439" s="2460"/>
      <c r="AB439" s="2460"/>
      <c r="AC439" s="2460"/>
      <c r="AD439" s="2460"/>
      <c r="AE439" s="2460"/>
      <c r="AF439" s="595"/>
      <c r="AG439" s="595"/>
      <c r="AH439" s="595"/>
      <c r="AI439" s="595"/>
      <c r="AJ439" s="595"/>
      <c r="AK439" s="595"/>
      <c r="AL439" s="751"/>
      <c r="AM439" s="571"/>
      <c r="AN439" s="598"/>
    </row>
    <row r="440" spans="1:60" s="551" customFormat="1" ht="12.75" customHeight="1">
      <c r="A440" s="537"/>
      <c r="B440" s="14"/>
      <c r="C440" s="752"/>
      <c r="D440" s="731"/>
      <c r="E440" s="720"/>
      <c r="F440" s="2460"/>
      <c r="G440" s="2460"/>
      <c r="H440" s="2460"/>
      <c r="I440" s="2460"/>
      <c r="J440" s="2460"/>
      <c r="K440" s="2460"/>
      <c r="L440" s="2460"/>
      <c r="M440" s="2460"/>
      <c r="N440" s="2460"/>
      <c r="O440" s="2460"/>
      <c r="P440" s="2460"/>
      <c r="Q440" s="2460"/>
      <c r="R440" s="2460"/>
      <c r="S440" s="2460"/>
      <c r="T440" s="2460"/>
      <c r="U440" s="2460"/>
      <c r="V440" s="2460"/>
      <c r="W440" s="2460"/>
      <c r="X440" s="2460"/>
      <c r="Y440" s="2460"/>
      <c r="Z440" s="2460"/>
      <c r="AA440" s="2460"/>
      <c r="AB440" s="2460"/>
      <c r="AC440" s="2460"/>
      <c r="AD440" s="2460"/>
      <c r="AE440" s="2460"/>
      <c r="AF440" s="595"/>
      <c r="AG440" s="595"/>
      <c r="AH440" s="595"/>
      <c r="AI440" s="595"/>
      <c r="AJ440" s="595"/>
      <c r="AK440" s="595"/>
      <c r="AL440" s="751"/>
      <c r="AM440" s="571"/>
      <c r="AN440" s="598"/>
    </row>
    <row r="441" spans="1:60" s="551" customFormat="1" ht="17.25" customHeight="1">
      <c r="A441" s="537"/>
      <c r="B441" s="14"/>
      <c r="C441" s="752"/>
      <c r="D441" s="731"/>
      <c r="E441" s="720"/>
      <c r="F441" s="2460"/>
      <c r="G441" s="2460"/>
      <c r="H441" s="2460"/>
      <c r="I441" s="2460"/>
      <c r="J441" s="2460"/>
      <c r="K441" s="2460"/>
      <c r="L441" s="2460"/>
      <c r="M441" s="2460"/>
      <c r="N441" s="2460"/>
      <c r="O441" s="2460"/>
      <c r="P441" s="2460"/>
      <c r="Q441" s="2460"/>
      <c r="R441" s="2460"/>
      <c r="S441" s="2460"/>
      <c r="T441" s="2460"/>
      <c r="U441" s="2460"/>
      <c r="V441" s="2460"/>
      <c r="W441" s="2460"/>
      <c r="X441" s="2460"/>
      <c r="Y441" s="2460"/>
      <c r="Z441" s="2460"/>
      <c r="AA441" s="2460"/>
      <c r="AB441" s="2460"/>
      <c r="AC441" s="2460"/>
      <c r="AD441" s="2460"/>
      <c r="AE441" s="2460"/>
      <c r="AL441" s="733"/>
      <c r="AM441" s="571"/>
      <c r="AN441" s="598"/>
    </row>
    <row r="442" spans="1:60" s="551" customFormat="1" ht="12.75" customHeight="1">
      <c r="A442" s="537"/>
      <c r="B442" s="14"/>
      <c r="C442" s="2456" t="s">
        <v>591</v>
      </c>
      <c r="D442" s="2413"/>
      <c r="E442" s="720"/>
      <c r="F442" s="597" t="s">
        <v>1485</v>
      </c>
      <c r="G442" s="677"/>
      <c r="H442" s="677"/>
      <c r="I442" s="677"/>
      <c r="J442" s="677"/>
      <c r="K442" s="677"/>
      <c r="L442" s="677"/>
      <c r="M442" s="677"/>
      <c r="N442" s="677"/>
      <c r="O442" s="677"/>
      <c r="P442" s="677"/>
      <c r="Q442" s="677"/>
      <c r="R442" s="677"/>
      <c r="S442" s="677"/>
      <c r="T442" s="677"/>
      <c r="U442" s="677"/>
      <c r="V442" s="677"/>
      <c r="W442" s="677"/>
      <c r="X442" s="677"/>
      <c r="Y442" s="677"/>
      <c r="Z442" s="677"/>
      <c r="AA442" s="677"/>
      <c r="AB442" s="677"/>
      <c r="AC442" s="677"/>
      <c r="AD442" s="677"/>
      <c r="AF442" s="2381" t="s">
        <v>1461</v>
      </c>
      <c r="AG442" s="2381"/>
      <c r="AH442" s="2381"/>
      <c r="AI442" s="2381"/>
      <c r="AJ442" s="2381"/>
      <c r="AK442" s="2381"/>
      <c r="AL442" s="2461"/>
      <c r="AM442" s="571"/>
      <c r="AN442" s="598"/>
    </row>
    <row r="443" spans="1:60" s="551" customFormat="1" ht="12.75" customHeight="1">
      <c r="A443" s="537"/>
      <c r="B443" s="14"/>
      <c r="C443" s="744"/>
      <c r="D443" s="728"/>
      <c r="E443" s="725"/>
      <c r="F443" s="742"/>
      <c r="G443" s="727"/>
      <c r="H443" s="727"/>
      <c r="I443" s="727"/>
      <c r="J443" s="727"/>
      <c r="K443" s="727"/>
      <c r="L443" s="727"/>
      <c r="M443" s="727"/>
      <c r="N443" s="727"/>
      <c r="O443" s="727"/>
      <c r="P443" s="727"/>
      <c r="Q443" s="727"/>
      <c r="R443" s="727"/>
      <c r="S443" s="727"/>
      <c r="T443" s="727"/>
      <c r="U443" s="727"/>
      <c r="V443" s="727"/>
      <c r="W443" s="727"/>
      <c r="X443" s="727"/>
      <c r="Y443" s="727"/>
      <c r="Z443" s="727"/>
      <c r="AA443" s="727"/>
      <c r="AB443" s="727"/>
      <c r="AC443" s="727"/>
      <c r="AD443" s="727"/>
      <c r="AE443" s="728"/>
      <c r="AF443" s="728"/>
      <c r="AG443" s="728"/>
      <c r="AH443" s="728"/>
      <c r="AI443" s="728"/>
      <c r="AJ443" s="728"/>
      <c r="AK443" s="728"/>
      <c r="AL443" s="743"/>
      <c r="AM443" s="571"/>
      <c r="AN443" s="598"/>
    </row>
    <row r="444" spans="1:60" s="551" customFormat="1" ht="12.75" customHeight="1">
      <c r="A444" s="537"/>
      <c r="B444" s="14"/>
      <c r="C444" s="731"/>
      <c r="D444" s="731"/>
      <c r="E444" s="720"/>
      <c r="F444" s="722"/>
      <c r="G444" s="604"/>
      <c r="H444" s="604"/>
      <c r="I444" s="604"/>
      <c r="J444" s="604"/>
      <c r="K444" s="604"/>
      <c r="L444" s="604"/>
      <c r="M444" s="604"/>
      <c r="N444" s="604"/>
      <c r="O444" s="604"/>
      <c r="P444" s="604"/>
      <c r="Q444" s="604"/>
      <c r="R444" s="604"/>
      <c r="S444" s="604"/>
      <c r="T444" s="604"/>
      <c r="U444" s="604"/>
      <c r="V444" s="604"/>
      <c r="W444" s="604"/>
      <c r="X444" s="604"/>
      <c r="Y444" s="604"/>
      <c r="Z444" s="604"/>
      <c r="AA444" s="604"/>
      <c r="AB444" s="604"/>
      <c r="AC444" s="604"/>
      <c r="AD444" s="604"/>
      <c r="AE444" s="592"/>
      <c r="AF444" s="592"/>
      <c r="AG444" s="592"/>
      <c r="AH444" s="592"/>
      <c r="AI444" s="592"/>
      <c r="AJ444" s="592"/>
      <c r="AK444" s="592"/>
      <c r="AL444" s="592"/>
      <c r="AM444" s="571"/>
      <c r="AN444" s="598"/>
    </row>
    <row r="445" spans="1:60" s="551" customFormat="1" ht="12.75" customHeight="1">
      <c r="A445" s="537"/>
      <c r="B445" s="14"/>
      <c r="C445" s="714"/>
      <c r="D445" s="715"/>
      <c r="E445" s="716" t="s">
        <v>1486</v>
      </c>
      <c r="F445" s="2459" t="s">
        <v>1487</v>
      </c>
      <c r="G445" s="2459"/>
      <c r="H445" s="2459"/>
      <c r="I445" s="2459"/>
      <c r="J445" s="2459"/>
      <c r="K445" s="2459"/>
      <c r="L445" s="2459"/>
      <c r="M445" s="2459"/>
      <c r="N445" s="2459"/>
      <c r="O445" s="2459"/>
      <c r="P445" s="2459"/>
      <c r="Q445" s="2459"/>
      <c r="R445" s="2459"/>
      <c r="S445" s="2459"/>
      <c r="T445" s="2459"/>
      <c r="U445" s="2459"/>
      <c r="V445" s="2459"/>
      <c r="W445" s="2459"/>
      <c r="X445" s="2459"/>
      <c r="Y445" s="2459"/>
      <c r="Z445" s="2459"/>
      <c r="AA445" s="2459"/>
      <c r="AB445" s="2459"/>
      <c r="AC445" s="2459"/>
      <c r="AD445" s="2459"/>
      <c r="AE445" s="2459"/>
      <c r="AF445" s="715"/>
      <c r="AG445" s="715"/>
      <c r="AH445" s="715"/>
      <c r="AI445" s="715"/>
      <c r="AJ445" s="715"/>
      <c r="AK445" s="715"/>
      <c r="AL445" s="746"/>
      <c r="AM445" s="571"/>
      <c r="AN445" s="598"/>
    </row>
    <row r="446" spans="1:60" s="551" customFormat="1" ht="12.75" customHeight="1">
      <c r="A446" s="537"/>
      <c r="B446" s="14"/>
      <c r="C446" s="752"/>
      <c r="D446" s="731"/>
      <c r="E446" s="720"/>
      <c r="F446" s="2460"/>
      <c r="G446" s="2460"/>
      <c r="H446" s="2460"/>
      <c r="I446" s="2460"/>
      <c r="J446" s="2460"/>
      <c r="K446" s="2460"/>
      <c r="L446" s="2460"/>
      <c r="M446" s="2460"/>
      <c r="N446" s="2460"/>
      <c r="O446" s="2460"/>
      <c r="P446" s="2460"/>
      <c r="Q446" s="2460"/>
      <c r="R446" s="2460"/>
      <c r="S446" s="2460"/>
      <c r="T446" s="2460"/>
      <c r="U446" s="2460"/>
      <c r="V446" s="2460"/>
      <c r="W446" s="2460"/>
      <c r="X446" s="2460"/>
      <c r="Y446" s="2460"/>
      <c r="Z446" s="2460"/>
      <c r="AA446" s="2460"/>
      <c r="AB446" s="2460"/>
      <c r="AC446" s="2460"/>
      <c r="AD446" s="2460"/>
      <c r="AE446" s="2460"/>
      <c r="AF446" s="592"/>
      <c r="AG446" s="592"/>
      <c r="AH446" s="592"/>
      <c r="AI446" s="592"/>
      <c r="AJ446" s="592"/>
      <c r="AK446" s="592"/>
      <c r="AL446" s="721"/>
      <c r="AM446" s="571"/>
      <c r="AN446" s="598"/>
    </row>
    <row r="447" spans="1:60" s="551" customFormat="1" ht="12.75" customHeight="1">
      <c r="A447" s="537"/>
      <c r="B447" s="14"/>
      <c r="C447" s="752"/>
      <c r="D447" s="731"/>
      <c r="E447" s="720"/>
      <c r="F447" s="2460"/>
      <c r="G447" s="2460"/>
      <c r="H447" s="2460"/>
      <c r="I447" s="2460"/>
      <c r="J447" s="2460"/>
      <c r="K447" s="2460"/>
      <c r="L447" s="2460"/>
      <c r="M447" s="2460"/>
      <c r="N447" s="2460"/>
      <c r="O447" s="2460"/>
      <c r="P447" s="2460"/>
      <c r="Q447" s="2460"/>
      <c r="R447" s="2460"/>
      <c r="S447" s="2460"/>
      <c r="T447" s="2460"/>
      <c r="U447" s="2460"/>
      <c r="V447" s="2460"/>
      <c r="W447" s="2460"/>
      <c r="X447" s="2460"/>
      <c r="Y447" s="2460"/>
      <c r="Z447" s="2460"/>
      <c r="AA447" s="2460"/>
      <c r="AB447" s="2460"/>
      <c r="AC447" s="2460"/>
      <c r="AD447" s="2460"/>
      <c r="AE447" s="2460"/>
      <c r="AF447" s="592"/>
      <c r="AG447" s="592"/>
      <c r="AH447" s="592"/>
      <c r="AI447" s="592"/>
      <c r="AJ447" s="592"/>
      <c r="AK447" s="592"/>
      <c r="AL447" s="721"/>
      <c r="AM447" s="571"/>
      <c r="AN447" s="598"/>
    </row>
    <row r="448" spans="1:60" s="551" customFormat="1" ht="12.75" customHeight="1">
      <c r="A448" s="537"/>
      <c r="B448" s="14"/>
      <c r="C448" s="752"/>
      <c r="D448" s="731"/>
      <c r="E448" s="720"/>
      <c r="F448" s="2460"/>
      <c r="G448" s="2460"/>
      <c r="H448" s="2460"/>
      <c r="I448" s="2460"/>
      <c r="J448" s="2460"/>
      <c r="K448" s="2460"/>
      <c r="L448" s="2460"/>
      <c r="M448" s="2460"/>
      <c r="N448" s="2460"/>
      <c r="O448" s="2460"/>
      <c r="P448" s="2460"/>
      <c r="Q448" s="2460"/>
      <c r="R448" s="2460"/>
      <c r="S448" s="2460"/>
      <c r="T448" s="2460"/>
      <c r="U448" s="2460"/>
      <c r="V448" s="2460"/>
      <c r="W448" s="2460"/>
      <c r="X448" s="2460"/>
      <c r="Y448" s="2460"/>
      <c r="Z448" s="2460"/>
      <c r="AA448" s="2460"/>
      <c r="AB448" s="2460"/>
      <c r="AC448" s="2460"/>
      <c r="AD448" s="2460"/>
      <c r="AE448" s="2460"/>
      <c r="AL448" s="733"/>
      <c r="AM448" s="571"/>
      <c r="AN448" s="598"/>
    </row>
    <row r="449" spans="1:40" s="551" customFormat="1" ht="12.75" customHeight="1">
      <c r="A449" s="537"/>
      <c r="B449" s="14"/>
      <c r="C449" s="2456" t="s">
        <v>591</v>
      </c>
      <c r="D449" s="2413"/>
      <c r="E449" s="720"/>
      <c r="F449" s="722" t="s">
        <v>1491</v>
      </c>
      <c r="G449" s="604"/>
      <c r="H449" s="604"/>
      <c r="I449" s="604"/>
      <c r="J449" s="604"/>
      <c r="K449" s="604"/>
      <c r="L449" s="604"/>
      <c r="M449" s="604"/>
      <c r="N449" s="604"/>
      <c r="O449" s="604"/>
      <c r="P449" s="604"/>
      <c r="Q449" s="604"/>
      <c r="R449" s="604"/>
      <c r="S449" s="604"/>
      <c r="T449" s="604"/>
      <c r="U449" s="604"/>
      <c r="V449" s="604"/>
      <c r="W449" s="604"/>
      <c r="X449" s="604"/>
      <c r="Y449" s="604"/>
      <c r="Z449" s="604"/>
      <c r="AA449" s="604"/>
      <c r="AB449" s="604"/>
      <c r="AC449" s="604"/>
      <c r="AD449" s="604"/>
      <c r="AF449" s="2381" t="s">
        <v>1461</v>
      </c>
      <c r="AG449" s="2381"/>
      <c r="AH449" s="2381"/>
      <c r="AI449" s="2381"/>
      <c r="AJ449" s="2381"/>
      <c r="AK449" s="2381"/>
      <c r="AL449" s="2461"/>
      <c r="AM449" s="571"/>
      <c r="AN449" s="754"/>
    </row>
    <row r="450" spans="1:40" s="551" customFormat="1" ht="12.75" customHeight="1">
      <c r="A450" s="537"/>
      <c r="B450" s="14"/>
      <c r="C450" s="752"/>
      <c r="D450" s="731"/>
      <c r="E450" s="720"/>
      <c r="F450" s="722"/>
      <c r="G450" s="604"/>
      <c r="H450" s="604"/>
      <c r="I450" s="604"/>
      <c r="J450" s="604"/>
      <c r="K450" s="604"/>
      <c r="L450" s="604"/>
      <c r="M450" s="604"/>
      <c r="N450" s="604"/>
      <c r="O450" s="604"/>
      <c r="P450" s="604"/>
      <c r="Q450" s="604"/>
      <c r="R450" s="604"/>
      <c r="S450" s="604"/>
      <c r="T450" s="604"/>
      <c r="U450" s="604"/>
      <c r="V450" s="604"/>
      <c r="W450" s="604"/>
      <c r="X450" s="604"/>
      <c r="Y450" s="604"/>
      <c r="Z450" s="604"/>
      <c r="AA450" s="604"/>
      <c r="AB450" s="604"/>
      <c r="AC450" s="604"/>
      <c r="AD450" s="604"/>
      <c r="AE450" s="592"/>
      <c r="AL450" s="733"/>
      <c r="AM450" s="571"/>
      <c r="AN450" s="754"/>
    </row>
    <row r="451" spans="1:40" s="551" customFormat="1" ht="12.75" customHeight="1">
      <c r="A451" s="537"/>
      <c r="B451" s="14"/>
      <c r="C451" s="741"/>
      <c r="D451" s="734"/>
      <c r="E451" s="735"/>
      <c r="F451" s="728" t="s">
        <v>1468</v>
      </c>
      <c r="G451" s="736"/>
      <c r="H451" s="736"/>
      <c r="I451" s="736"/>
      <c r="J451" s="736"/>
      <c r="K451" s="736"/>
      <c r="L451" s="736"/>
      <c r="M451" s="736"/>
      <c r="N451" s="736"/>
      <c r="O451" s="736"/>
      <c r="P451" s="736"/>
      <c r="Q451" s="736"/>
      <c r="R451" s="736"/>
      <c r="S451" s="736"/>
      <c r="T451" s="736"/>
      <c r="U451" s="736"/>
      <c r="V451" s="736"/>
      <c r="W451" s="736"/>
      <c r="X451" s="736"/>
      <c r="Y451" s="736"/>
      <c r="Z451" s="736"/>
      <c r="AA451" s="736"/>
      <c r="AB451" s="736"/>
      <c r="AC451" s="736"/>
      <c r="AD451" s="736"/>
      <c r="AE451" s="738"/>
      <c r="AF451" s="584"/>
      <c r="AG451" s="738"/>
      <c r="AH451" s="728"/>
      <c r="AI451" s="728"/>
      <c r="AJ451" s="728"/>
      <c r="AK451" s="728"/>
      <c r="AL451" s="743"/>
      <c r="AM451" s="571"/>
      <c r="AN451" s="754"/>
    </row>
    <row r="452" spans="1:40" s="551" customFormat="1" ht="12.75" customHeight="1">
      <c r="A452" s="537"/>
      <c r="B452" s="14"/>
      <c r="C452" s="731"/>
      <c r="D452" s="731"/>
      <c r="E452" s="720"/>
      <c r="F452" s="722"/>
      <c r="G452" s="604"/>
      <c r="H452" s="604"/>
      <c r="I452" s="604"/>
      <c r="J452" s="604"/>
      <c r="K452" s="604"/>
      <c r="L452" s="604"/>
      <c r="M452" s="604"/>
      <c r="N452" s="604"/>
      <c r="O452" s="604"/>
      <c r="P452" s="604"/>
      <c r="Q452" s="604"/>
      <c r="R452" s="604"/>
      <c r="S452" s="604"/>
      <c r="T452" s="604"/>
      <c r="U452" s="604"/>
      <c r="V452" s="604"/>
      <c r="W452" s="604"/>
      <c r="X452" s="604"/>
      <c r="Y452" s="604"/>
      <c r="Z452" s="604"/>
      <c r="AA452" s="604"/>
      <c r="AB452" s="604"/>
      <c r="AC452" s="604"/>
      <c r="AD452" s="604"/>
      <c r="AE452" s="592"/>
      <c r="AM452" s="571"/>
      <c r="AN452" s="754"/>
    </row>
    <row r="453" spans="1:40" s="551" customFormat="1" ht="12.75" customHeight="1">
      <c r="A453" s="537"/>
      <c r="B453" s="14"/>
      <c r="C453" s="2462" t="s">
        <v>591</v>
      </c>
      <c r="D453" s="2463"/>
      <c r="E453" s="716" t="s">
        <v>1496</v>
      </c>
      <c r="F453" s="2459" t="s">
        <v>1497</v>
      </c>
      <c r="G453" s="2459"/>
      <c r="H453" s="2459"/>
      <c r="I453" s="2459"/>
      <c r="J453" s="2459"/>
      <c r="K453" s="2459"/>
      <c r="L453" s="2459"/>
      <c r="M453" s="2459"/>
      <c r="N453" s="2459"/>
      <c r="O453" s="2459"/>
      <c r="P453" s="2459"/>
      <c r="Q453" s="2459"/>
      <c r="R453" s="2459"/>
      <c r="S453" s="2459"/>
      <c r="T453" s="2459"/>
      <c r="U453" s="2459"/>
      <c r="V453" s="2459"/>
      <c r="W453" s="2459"/>
      <c r="X453" s="2459"/>
      <c r="Y453" s="2459"/>
      <c r="Z453" s="2459"/>
      <c r="AA453" s="2459"/>
      <c r="AB453" s="2459"/>
      <c r="AC453" s="2459"/>
      <c r="AD453" s="2459"/>
      <c r="AE453" s="2459"/>
      <c r="AF453" s="2480" t="s">
        <v>1461</v>
      </c>
      <c r="AG453" s="2480"/>
      <c r="AH453" s="2480"/>
      <c r="AI453" s="2480"/>
      <c r="AJ453" s="2480"/>
      <c r="AK453" s="2480"/>
      <c r="AL453" s="2481"/>
      <c r="AM453" s="571"/>
      <c r="AN453" s="754"/>
    </row>
    <row r="454" spans="1:40" s="551" customFormat="1" ht="12.75" customHeight="1">
      <c r="A454" s="537"/>
      <c r="B454" s="14"/>
      <c r="C454" s="752"/>
      <c r="D454" s="731"/>
      <c r="E454" s="720"/>
      <c r="F454" s="2460"/>
      <c r="G454" s="2460"/>
      <c r="H454" s="2460"/>
      <c r="I454" s="2460"/>
      <c r="J454" s="2460"/>
      <c r="K454" s="2460"/>
      <c r="L454" s="2460"/>
      <c r="M454" s="2460"/>
      <c r="N454" s="2460"/>
      <c r="O454" s="2460"/>
      <c r="P454" s="2460"/>
      <c r="Q454" s="2460"/>
      <c r="R454" s="2460"/>
      <c r="S454" s="2460"/>
      <c r="T454" s="2460"/>
      <c r="U454" s="2460"/>
      <c r="V454" s="2460"/>
      <c r="W454" s="2460"/>
      <c r="X454" s="2460"/>
      <c r="Y454" s="2460"/>
      <c r="Z454" s="2460"/>
      <c r="AA454" s="2460"/>
      <c r="AB454" s="2460"/>
      <c r="AC454" s="2460"/>
      <c r="AD454" s="2460"/>
      <c r="AE454" s="2460"/>
      <c r="AF454" s="592"/>
      <c r="AG454" s="592"/>
      <c r="AH454" s="592"/>
      <c r="AI454" s="592"/>
      <c r="AJ454" s="592"/>
      <c r="AK454" s="592"/>
      <c r="AL454" s="721"/>
      <c r="AM454" s="571"/>
      <c r="AN454" s="755"/>
    </row>
    <row r="455" spans="1:40" s="551" customFormat="1" ht="17.649999999999999" customHeight="1">
      <c r="A455" s="537"/>
      <c r="B455" s="14"/>
      <c r="C455" s="757"/>
      <c r="D455" s="724"/>
      <c r="E455" s="725"/>
      <c r="F455" s="2479"/>
      <c r="G455" s="2479"/>
      <c r="H455" s="2479"/>
      <c r="I455" s="2479"/>
      <c r="J455" s="2479"/>
      <c r="K455" s="2479"/>
      <c r="L455" s="2479"/>
      <c r="M455" s="2479"/>
      <c r="N455" s="2479"/>
      <c r="O455" s="2479"/>
      <c r="P455" s="2479"/>
      <c r="Q455" s="2479"/>
      <c r="R455" s="2479"/>
      <c r="S455" s="2479"/>
      <c r="T455" s="2479"/>
      <c r="U455" s="2479"/>
      <c r="V455" s="2479"/>
      <c r="W455" s="2479"/>
      <c r="X455" s="2479"/>
      <c r="Y455" s="2479"/>
      <c r="Z455" s="2479"/>
      <c r="AA455" s="2479"/>
      <c r="AB455" s="2479"/>
      <c r="AC455" s="2479"/>
      <c r="AD455" s="2479"/>
      <c r="AE455" s="2479"/>
      <c r="AF455" s="729"/>
      <c r="AG455" s="729"/>
      <c r="AH455" s="729"/>
      <c r="AI455" s="729"/>
      <c r="AJ455" s="729"/>
      <c r="AK455" s="729"/>
      <c r="AL455" s="758"/>
      <c r="AM455" s="571"/>
      <c r="AN455" s="536"/>
    </row>
    <row r="456" spans="1:40" s="551" customFormat="1" ht="12.75" customHeight="1">
      <c r="A456" s="537"/>
      <c r="B456" s="14"/>
      <c r="C456" s="731"/>
      <c r="D456" s="731"/>
      <c r="E456" s="720"/>
      <c r="F456" s="722"/>
      <c r="G456" s="604"/>
      <c r="H456" s="604"/>
      <c r="I456" s="604"/>
      <c r="J456" s="604"/>
      <c r="K456" s="604"/>
      <c r="L456" s="604"/>
      <c r="M456" s="604"/>
      <c r="N456" s="604"/>
      <c r="O456" s="604"/>
      <c r="P456" s="604"/>
      <c r="Q456" s="604"/>
      <c r="R456" s="604"/>
      <c r="S456" s="604"/>
      <c r="T456" s="604"/>
      <c r="U456" s="604"/>
      <c r="V456" s="604"/>
      <c r="W456" s="604"/>
      <c r="X456" s="604"/>
      <c r="Y456" s="604"/>
      <c r="Z456" s="604"/>
      <c r="AA456" s="604"/>
      <c r="AB456" s="604"/>
      <c r="AC456" s="604"/>
      <c r="AD456" s="604"/>
      <c r="AE456" s="592"/>
      <c r="AM456" s="571"/>
      <c r="AN456" s="536"/>
    </row>
    <row r="457" spans="1:40" s="551" customFormat="1" ht="12.75" customHeight="1">
      <c r="A457" s="537"/>
      <c r="B457" s="14"/>
      <c r="C457" s="2456" t="s">
        <v>591</v>
      </c>
      <c r="D457" s="2413"/>
      <c r="E457" s="716" t="s">
        <v>1502</v>
      </c>
      <c r="F457" s="2459" t="s">
        <v>1503</v>
      </c>
      <c r="G457" s="2459"/>
      <c r="H457" s="2459"/>
      <c r="I457" s="2459"/>
      <c r="J457" s="2459"/>
      <c r="K457" s="2459"/>
      <c r="L457" s="2459"/>
      <c r="M457" s="2459"/>
      <c r="N457" s="2459"/>
      <c r="O457" s="2459"/>
      <c r="P457" s="2459"/>
      <c r="Q457" s="2459"/>
      <c r="R457" s="2459"/>
      <c r="S457" s="2459"/>
      <c r="T457" s="2459"/>
      <c r="U457" s="2459"/>
      <c r="V457" s="2459"/>
      <c r="W457" s="2459"/>
      <c r="X457" s="2459"/>
      <c r="Y457" s="2459"/>
      <c r="Z457" s="2459"/>
      <c r="AA457" s="2459"/>
      <c r="AB457" s="2459"/>
      <c r="AC457" s="2459"/>
      <c r="AD457" s="2459"/>
      <c r="AE457" s="2459"/>
      <c r="AF457" s="2480" t="s">
        <v>1461</v>
      </c>
      <c r="AG457" s="2480"/>
      <c r="AH457" s="2480"/>
      <c r="AI457" s="2480"/>
      <c r="AJ457" s="2480"/>
      <c r="AK457" s="2480"/>
      <c r="AL457" s="2481"/>
      <c r="AM457" s="571"/>
      <c r="AN457" s="536"/>
    </row>
    <row r="458" spans="1:40" s="551" customFormat="1" ht="12.75" customHeight="1">
      <c r="A458" s="537"/>
      <c r="B458" s="14"/>
      <c r="C458" s="732"/>
      <c r="D458" s="14"/>
      <c r="E458" s="692"/>
      <c r="F458" s="2460"/>
      <c r="G458" s="2460"/>
      <c r="H458" s="2460"/>
      <c r="I458" s="2460"/>
      <c r="J458" s="2460"/>
      <c r="K458" s="2460"/>
      <c r="L458" s="2460"/>
      <c r="M458" s="2460"/>
      <c r="N458" s="2460"/>
      <c r="O458" s="2460"/>
      <c r="P458" s="2460"/>
      <c r="Q458" s="2460"/>
      <c r="R458" s="2460"/>
      <c r="S458" s="2460"/>
      <c r="T458" s="2460"/>
      <c r="U458" s="2460"/>
      <c r="V458" s="2460"/>
      <c r="W458" s="2460"/>
      <c r="X458" s="2460"/>
      <c r="Y458" s="2460"/>
      <c r="Z458" s="2460"/>
      <c r="AA458" s="2460"/>
      <c r="AB458" s="2460"/>
      <c r="AC458" s="2460"/>
      <c r="AD458" s="2460"/>
      <c r="AE458" s="2460"/>
      <c r="AF458" s="540"/>
      <c r="AG458" s="537"/>
      <c r="AL458" s="733"/>
      <c r="AM458" s="571"/>
      <c r="AN458" s="536"/>
    </row>
    <row r="459" spans="1:40" s="551" customFormat="1" ht="12.75" customHeight="1">
      <c r="A459" s="537"/>
      <c r="B459" s="14"/>
      <c r="C459" s="732"/>
      <c r="D459" s="14"/>
      <c r="E459" s="692"/>
      <c r="F459" s="2460"/>
      <c r="G459" s="2460"/>
      <c r="H459" s="2460"/>
      <c r="I459" s="2460"/>
      <c r="J459" s="2460"/>
      <c r="K459" s="2460"/>
      <c r="L459" s="2460"/>
      <c r="M459" s="2460"/>
      <c r="N459" s="2460"/>
      <c r="O459" s="2460"/>
      <c r="P459" s="2460"/>
      <c r="Q459" s="2460"/>
      <c r="R459" s="2460"/>
      <c r="S459" s="2460"/>
      <c r="T459" s="2460"/>
      <c r="U459" s="2460"/>
      <c r="V459" s="2460"/>
      <c r="W459" s="2460"/>
      <c r="X459" s="2460"/>
      <c r="Y459" s="2460"/>
      <c r="Z459" s="2460"/>
      <c r="AA459" s="2460"/>
      <c r="AB459" s="2460"/>
      <c r="AC459" s="2460"/>
      <c r="AD459" s="2460"/>
      <c r="AE459" s="2460"/>
      <c r="AF459" s="540"/>
      <c r="AG459" s="537"/>
      <c r="AL459" s="733"/>
      <c r="AM459" s="571"/>
      <c r="AN459" s="536"/>
    </row>
    <row r="460" spans="1:40" s="551" customFormat="1" ht="12.75" customHeight="1">
      <c r="A460" s="537"/>
      <c r="B460" s="14"/>
      <c r="C460" s="757"/>
      <c r="D460" s="724"/>
      <c r="E460" s="725"/>
      <c r="F460" s="2479"/>
      <c r="G460" s="2479"/>
      <c r="H460" s="2479"/>
      <c r="I460" s="2479"/>
      <c r="J460" s="2479"/>
      <c r="K460" s="2479"/>
      <c r="L460" s="2479"/>
      <c r="M460" s="2479"/>
      <c r="N460" s="2479"/>
      <c r="O460" s="2479"/>
      <c r="P460" s="2479"/>
      <c r="Q460" s="2479"/>
      <c r="R460" s="2479"/>
      <c r="S460" s="2479"/>
      <c r="T460" s="2479"/>
      <c r="U460" s="2479"/>
      <c r="V460" s="2479"/>
      <c r="W460" s="2479"/>
      <c r="X460" s="2479"/>
      <c r="Y460" s="2479"/>
      <c r="Z460" s="2479"/>
      <c r="AA460" s="2479"/>
      <c r="AB460" s="2479"/>
      <c r="AC460" s="2479"/>
      <c r="AD460" s="2479"/>
      <c r="AE460" s="2479"/>
      <c r="AF460" s="729"/>
      <c r="AG460" s="729"/>
      <c r="AH460" s="729"/>
      <c r="AI460" s="729"/>
      <c r="AJ460" s="729"/>
      <c r="AK460" s="729"/>
      <c r="AL460" s="758"/>
      <c r="AM460" s="571"/>
      <c r="AN460" s="598"/>
    </row>
    <row r="461" spans="1:40" s="551" customFormat="1" ht="12.75" customHeight="1">
      <c r="A461" s="537"/>
      <c r="B461" s="14"/>
      <c r="G461" s="604"/>
      <c r="H461" s="604"/>
      <c r="I461" s="604"/>
      <c r="J461" s="604"/>
      <c r="K461" s="604"/>
      <c r="L461" s="604"/>
      <c r="M461" s="604"/>
      <c r="N461" s="604"/>
      <c r="O461" s="604"/>
      <c r="P461" s="604"/>
      <c r="Q461" s="604"/>
      <c r="R461" s="604"/>
      <c r="S461" s="604"/>
      <c r="T461" s="604"/>
      <c r="U461" s="604"/>
      <c r="V461" s="604"/>
      <c r="W461" s="604"/>
      <c r="X461" s="604"/>
      <c r="Y461" s="604"/>
      <c r="Z461" s="604"/>
      <c r="AA461" s="604"/>
      <c r="AB461" s="604"/>
      <c r="AC461" s="604"/>
      <c r="AD461" s="604"/>
      <c r="AM461" s="571"/>
      <c r="AN461" s="598"/>
    </row>
    <row r="462" spans="1:40" s="551" customFormat="1" ht="12.75" customHeight="1">
      <c r="A462" s="537"/>
      <c r="B462" s="14"/>
      <c r="C462" s="714"/>
      <c r="D462" s="715"/>
      <c r="E462" s="716" t="s">
        <v>1505</v>
      </c>
      <c r="F462" s="2459" t="s">
        <v>1506</v>
      </c>
      <c r="G462" s="2459"/>
      <c r="H462" s="2459"/>
      <c r="I462" s="2459"/>
      <c r="J462" s="2459"/>
      <c r="K462" s="2459"/>
      <c r="L462" s="2459"/>
      <c r="M462" s="2459"/>
      <c r="N462" s="2459"/>
      <c r="O462" s="2459"/>
      <c r="P462" s="2459"/>
      <c r="Q462" s="2459"/>
      <c r="R462" s="2459"/>
      <c r="S462" s="2459"/>
      <c r="T462" s="2459"/>
      <c r="U462" s="2459"/>
      <c r="V462" s="2459"/>
      <c r="W462" s="2459"/>
      <c r="X462" s="2459"/>
      <c r="Y462" s="2459"/>
      <c r="Z462" s="2459"/>
      <c r="AA462" s="2459"/>
      <c r="AB462" s="2459"/>
      <c r="AC462" s="2459"/>
      <c r="AD462" s="2459"/>
      <c r="AE462" s="2459"/>
      <c r="AF462" s="2459"/>
      <c r="AG462" s="745"/>
      <c r="AH462" s="715"/>
      <c r="AI462" s="715"/>
      <c r="AJ462" s="715"/>
      <c r="AK462" s="715"/>
      <c r="AL462" s="746"/>
      <c r="AM462" s="571"/>
      <c r="AN462" s="598"/>
    </row>
    <row r="463" spans="1:40" s="551" customFormat="1" ht="12.75" customHeight="1">
      <c r="A463" s="537"/>
      <c r="B463" s="14"/>
      <c r="C463" s="732"/>
      <c r="D463" s="14"/>
      <c r="E463" s="692"/>
      <c r="F463" s="2460"/>
      <c r="G463" s="2460"/>
      <c r="H463" s="2460"/>
      <c r="I463" s="2460"/>
      <c r="J463" s="2460"/>
      <c r="K463" s="2460"/>
      <c r="L463" s="2460"/>
      <c r="M463" s="2460"/>
      <c r="N463" s="2460"/>
      <c r="O463" s="2460"/>
      <c r="P463" s="2460"/>
      <c r="Q463" s="2460"/>
      <c r="R463" s="2460"/>
      <c r="S463" s="2460"/>
      <c r="T463" s="2460"/>
      <c r="U463" s="2460"/>
      <c r="V463" s="2460"/>
      <c r="W463" s="2460"/>
      <c r="X463" s="2460"/>
      <c r="Y463" s="2460"/>
      <c r="Z463" s="2460"/>
      <c r="AA463" s="2460"/>
      <c r="AB463" s="2460"/>
      <c r="AC463" s="2460"/>
      <c r="AD463" s="2460"/>
      <c r="AE463" s="2460"/>
      <c r="AF463" s="2460"/>
      <c r="AL463" s="733"/>
      <c r="AM463" s="571"/>
      <c r="AN463" s="598"/>
    </row>
    <row r="464" spans="1:40" s="551" customFormat="1" ht="12.75" customHeight="1">
      <c r="A464" s="537"/>
      <c r="B464" s="14"/>
      <c r="C464" s="740"/>
      <c r="F464" s="2460"/>
      <c r="G464" s="2460"/>
      <c r="H464" s="2460"/>
      <c r="I464" s="2460"/>
      <c r="J464" s="2460"/>
      <c r="K464" s="2460"/>
      <c r="L464" s="2460"/>
      <c r="M464" s="2460"/>
      <c r="N464" s="2460"/>
      <c r="O464" s="2460"/>
      <c r="P464" s="2460"/>
      <c r="Q464" s="2460"/>
      <c r="R464" s="2460"/>
      <c r="S464" s="2460"/>
      <c r="T464" s="2460"/>
      <c r="U464" s="2460"/>
      <c r="V464" s="2460"/>
      <c r="W464" s="2460"/>
      <c r="X464" s="2460"/>
      <c r="Y464" s="2460"/>
      <c r="Z464" s="2460"/>
      <c r="AA464" s="2460"/>
      <c r="AB464" s="2460"/>
      <c r="AC464" s="2460"/>
      <c r="AD464" s="2460"/>
      <c r="AE464" s="2460"/>
      <c r="AF464" s="2460"/>
      <c r="AL464" s="733"/>
      <c r="AM464" s="571"/>
      <c r="AN464" s="598"/>
    </row>
    <row r="465" spans="1:58" s="551" customFormat="1" ht="12.75" customHeight="1">
      <c r="A465" s="537"/>
      <c r="B465" s="14"/>
      <c r="C465" s="740"/>
      <c r="F465" s="2460"/>
      <c r="G465" s="2460"/>
      <c r="H465" s="2460"/>
      <c r="I465" s="2460"/>
      <c r="J465" s="2460"/>
      <c r="K465" s="2460"/>
      <c r="L465" s="2460"/>
      <c r="M465" s="2460"/>
      <c r="N465" s="2460"/>
      <c r="O465" s="2460"/>
      <c r="P465" s="2460"/>
      <c r="Q465" s="2460"/>
      <c r="R465" s="2460"/>
      <c r="S465" s="2460"/>
      <c r="T465" s="2460"/>
      <c r="U465" s="2460"/>
      <c r="V465" s="2460"/>
      <c r="W465" s="2460"/>
      <c r="X465" s="2460"/>
      <c r="Y465" s="2460"/>
      <c r="Z465" s="2460"/>
      <c r="AA465" s="2460"/>
      <c r="AB465" s="2460"/>
      <c r="AC465" s="2460"/>
      <c r="AD465" s="2460"/>
      <c r="AE465" s="2460"/>
      <c r="AF465" s="2460"/>
      <c r="AL465" s="733"/>
      <c r="AM465" s="571"/>
      <c r="AN465" s="598"/>
    </row>
    <row r="466" spans="1:58" s="551" customFormat="1" ht="12.75" customHeight="1">
      <c r="A466" s="537"/>
      <c r="B466" s="14"/>
      <c r="C466" s="2456" t="s">
        <v>591</v>
      </c>
      <c r="D466" s="2413"/>
      <c r="E466" s="720"/>
      <c r="F466" s="722" t="s">
        <v>1478</v>
      </c>
      <c r="G466" s="604"/>
      <c r="H466" s="604"/>
      <c r="I466" s="604"/>
      <c r="J466" s="604"/>
      <c r="K466" s="604"/>
      <c r="L466" s="604"/>
      <c r="M466" s="604"/>
      <c r="N466" s="604"/>
      <c r="O466" s="604"/>
      <c r="P466" s="604"/>
      <c r="Q466" s="604"/>
      <c r="R466" s="604"/>
      <c r="S466" s="604"/>
      <c r="T466" s="604"/>
      <c r="U466" s="604"/>
      <c r="V466" s="604"/>
      <c r="W466" s="604"/>
      <c r="X466" s="604"/>
      <c r="Y466" s="604"/>
      <c r="Z466" s="604"/>
      <c r="AA466" s="604"/>
      <c r="AB466" s="604"/>
      <c r="AC466" s="604"/>
      <c r="AD466" s="604"/>
      <c r="AF466" s="2457" t="s">
        <v>1461</v>
      </c>
      <c r="AG466" s="2457"/>
      <c r="AH466" s="2457"/>
      <c r="AI466" s="2457"/>
      <c r="AJ466" s="2457"/>
      <c r="AK466" s="2457"/>
      <c r="AL466" s="2458"/>
      <c r="AM466" s="571"/>
      <c r="AN466" s="598"/>
    </row>
    <row r="467" spans="1:58" s="551" customFormat="1" ht="12.75" customHeight="1">
      <c r="A467" s="537"/>
      <c r="B467" s="14"/>
      <c r="C467" s="741"/>
      <c r="D467" s="734"/>
      <c r="E467" s="735"/>
      <c r="F467" s="728"/>
      <c r="G467" s="728"/>
      <c r="H467" s="728"/>
      <c r="I467" s="728"/>
      <c r="J467" s="728"/>
      <c r="K467" s="728"/>
      <c r="L467" s="728"/>
      <c r="M467" s="728"/>
      <c r="N467" s="728"/>
      <c r="O467" s="728"/>
      <c r="P467" s="728"/>
      <c r="Q467" s="728"/>
      <c r="R467" s="728"/>
      <c r="S467" s="728"/>
      <c r="T467" s="728"/>
      <c r="U467" s="728"/>
      <c r="V467" s="728"/>
      <c r="W467" s="728"/>
      <c r="X467" s="728"/>
      <c r="Y467" s="728"/>
      <c r="Z467" s="728"/>
      <c r="AA467" s="728"/>
      <c r="AB467" s="728"/>
      <c r="AC467" s="728"/>
      <c r="AD467" s="728"/>
      <c r="AE467" s="728"/>
      <c r="AF467" s="728"/>
      <c r="AG467" s="728"/>
      <c r="AH467" s="728"/>
      <c r="AI467" s="728"/>
      <c r="AJ467" s="728"/>
      <c r="AK467" s="728"/>
      <c r="AL467" s="743"/>
      <c r="AN467" s="598"/>
    </row>
    <row r="468" spans="1:58" s="551" customFormat="1" ht="12.75" customHeight="1">
      <c r="A468" s="537"/>
      <c r="B468" s="14"/>
      <c r="C468" s="1017"/>
      <c r="D468" s="571"/>
      <c r="F468" s="722"/>
      <c r="G468" s="604"/>
      <c r="H468" s="604"/>
      <c r="I468" s="604"/>
      <c r="J468" s="604"/>
      <c r="K468" s="604"/>
      <c r="L468" s="604"/>
      <c r="M468" s="604"/>
      <c r="N468" s="604"/>
      <c r="O468" s="604"/>
      <c r="P468" s="604"/>
      <c r="Q468" s="604"/>
      <c r="R468" s="604"/>
      <c r="S468" s="604"/>
      <c r="T468" s="604"/>
      <c r="U468" s="604"/>
      <c r="V468" s="604"/>
      <c r="W468" s="604"/>
      <c r="X468" s="604"/>
      <c r="Y468" s="604"/>
      <c r="Z468" s="604"/>
      <c r="AA468" s="604"/>
      <c r="AB468" s="604"/>
      <c r="AC468" s="604"/>
      <c r="AD468" s="604"/>
      <c r="AF468" s="614"/>
      <c r="AG468" s="614"/>
      <c r="AH468" s="614"/>
      <c r="AI468" s="614"/>
      <c r="AJ468" s="614"/>
      <c r="AK468" s="614"/>
      <c r="AL468" s="614"/>
      <c r="AN468" s="598"/>
    </row>
    <row r="469" spans="1:58" s="551" customFormat="1" ht="12.75" customHeight="1">
      <c r="A469" s="601"/>
      <c r="B469" s="858" t="s">
        <v>1507</v>
      </c>
      <c r="D469" s="678"/>
      <c r="E469" s="602"/>
      <c r="F469" s="602"/>
      <c r="G469" s="602"/>
      <c r="H469" s="602"/>
      <c r="I469" s="602"/>
      <c r="J469" s="602"/>
      <c r="K469" s="602"/>
      <c r="L469" s="602"/>
      <c r="M469" s="602"/>
      <c r="N469" s="602"/>
      <c r="O469" s="602"/>
      <c r="P469" s="602"/>
      <c r="Q469" s="602"/>
      <c r="R469" s="602"/>
      <c r="S469" s="602"/>
      <c r="T469" s="602"/>
      <c r="U469" s="602"/>
      <c r="V469" s="602"/>
      <c r="W469" s="602"/>
      <c r="X469" s="602"/>
      <c r="Y469" s="602"/>
      <c r="Z469" s="602"/>
      <c r="AA469" s="602"/>
      <c r="AB469" s="602"/>
      <c r="AC469" s="602"/>
      <c r="AD469" s="602"/>
      <c r="AE469" s="565"/>
      <c r="AF469" s="565"/>
      <c r="AG469" s="565"/>
      <c r="AH469" s="565"/>
      <c r="AI469" s="566"/>
      <c r="AJ469" s="566" t="s">
        <v>1508</v>
      </c>
      <c r="AK469" s="2416">
        <f>IF(Application!D214="N/A",AS358,AS360)</f>
        <v>10</v>
      </c>
      <c r="AL469" s="2417"/>
      <c r="AM469" s="2418"/>
      <c r="AN469" s="598"/>
    </row>
    <row r="470" spans="1:58" s="551" customFormat="1" ht="12.75" customHeight="1" thickBot="1">
      <c r="A470" s="760"/>
      <c r="B470" s="760"/>
      <c r="C470" s="760"/>
      <c r="D470" s="760"/>
      <c r="E470" s="760"/>
      <c r="F470" s="760"/>
      <c r="G470" s="760"/>
      <c r="H470" s="760"/>
      <c r="I470" s="760"/>
      <c r="J470" s="760"/>
      <c r="K470" s="760"/>
      <c r="L470" s="760"/>
      <c r="M470" s="760"/>
      <c r="N470" s="760"/>
      <c r="O470" s="760"/>
      <c r="P470" s="760"/>
      <c r="Q470" s="760"/>
      <c r="R470" s="760"/>
      <c r="S470" s="760"/>
      <c r="T470" s="760"/>
      <c r="U470" s="760"/>
      <c r="V470" s="760"/>
      <c r="W470" s="760"/>
      <c r="X470" s="760"/>
      <c r="Y470" s="760"/>
      <c r="Z470" s="760"/>
      <c r="AA470" s="760"/>
      <c r="AB470" s="760"/>
      <c r="AC470" s="760"/>
      <c r="AD470" s="760"/>
      <c r="AE470" s="760"/>
      <c r="AF470" s="760"/>
      <c r="AG470" s="760"/>
      <c r="AH470" s="760"/>
      <c r="AI470" s="760"/>
      <c r="AJ470" s="760"/>
      <c r="AK470" s="760"/>
      <c r="AL470" s="760"/>
      <c r="AM470" s="761"/>
      <c r="AN470" s="598"/>
    </row>
    <row r="471" spans="1:58" s="551" customFormat="1" ht="12.75" hidden="1" customHeight="1" thickTop="1">
      <c r="A471" s="86"/>
      <c r="B471" s="572"/>
      <c r="C471" s="573"/>
      <c r="D471" s="573"/>
      <c r="E471" s="573"/>
      <c r="F471" s="573"/>
      <c r="G471" s="573"/>
      <c r="H471" s="573"/>
      <c r="I471" s="574"/>
      <c r="J471" s="574"/>
      <c r="K471" s="574"/>
      <c r="L471" s="574"/>
      <c r="M471" s="574"/>
      <c r="N471" s="574"/>
      <c r="O471" s="574"/>
      <c r="P471" s="574"/>
      <c r="Q471" s="574"/>
      <c r="R471" s="571"/>
      <c r="S471" s="540"/>
      <c r="T471" s="540"/>
      <c r="U471" s="540"/>
      <c r="V471" s="540"/>
      <c r="W471" s="540"/>
      <c r="X471" s="540"/>
      <c r="Y471" s="540"/>
      <c r="Z471" s="540"/>
      <c r="AA471" s="540"/>
      <c r="AB471" s="540"/>
      <c r="AC471" s="540"/>
      <c r="AD471" s="540"/>
      <c r="AE471" s="540"/>
      <c r="AF471" s="571"/>
      <c r="AG471" s="540"/>
      <c r="AH471" s="540"/>
      <c r="AI471" s="540"/>
      <c r="AJ471" s="540"/>
      <c r="AM471" s="14"/>
      <c r="AN471" s="598"/>
      <c r="AO471" s="551" t="s">
        <v>591</v>
      </c>
      <c r="AP471" s="551">
        <v>0</v>
      </c>
      <c r="AT471" s="551" t="s">
        <v>591</v>
      </c>
      <c r="AU471" s="551">
        <v>0</v>
      </c>
      <c r="AV471" s="753"/>
    </row>
    <row r="472" spans="1:58" s="551" customFormat="1" ht="12.75" hidden="1" customHeight="1">
      <c r="A472" s="540" t="s">
        <v>1509</v>
      </c>
      <c r="C472" s="540"/>
      <c r="E472" s="597"/>
      <c r="AE472" s="2457" t="s">
        <v>1510</v>
      </c>
      <c r="AF472" s="2457"/>
      <c r="AG472" s="2457"/>
      <c r="AH472" s="2457"/>
      <c r="AI472" s="2457"/>
      <c r="AJ472" s="2457"/>
      <c r="AK472" s="2457"/>
      <c r="AL472" s="592"/>
      <c r="AN472" s="598"/>
      <c r="AO472" s="551" t="s">
        <v>1488</v>
      </c>
      <c r="AP472" s="551">
        <v>5</v>
      </c>
      <c r="AT472" s="551" t="s">
        <v>1488</v>
      </c>
      <c r="AU472" s="551">
        <v>5</v>
      </c>
      <c r="AV472" s="753"/>
    </row>
    <row r="473" spans="1:58" s="551" customFormat="1" ht="12.75" hidden="1" customHeight="1">
      <c r="A473" s="540"/>
      <c r="B473" s="537" t="s">
        <v>1511</v>
      </c>
      <c r="C473" s="540"/>
      <c r="E473" s="597"/>
      <c r="AE473" s="592"/>
      <c r="AF473" s="592"/>
      <c r="AG473" s="592"/>
      <c r="AH473" s="592"/>
      <c r="AI473" s="592"/>
      <c r="AJ473" s="592"/>
      <c r="AK473" s="592"/>
      <c r="AL473" s="592"/>
      <c r="AN473" s="598"/>
      <c r="AO473" s="551" t="s">
        <v>1512</v>
      </c>
      <c r="AP473" s="551">
        <v>5</v>
      </c>
      <c r="AT473" s="551" t="s">
        <v>1489</v>
      </c>
      <c r="AU473" s="551">
        <v>5</v>
      </c>
      <c r="AV473" s="753"/>
    </row>
    <row r="474" spans="1:58" s="551" customFormat="1" ht="12.75" hidden="1" customHeight="1">
      <c r="A474" s="540"/>
      <c r="B474" s="540" t="s">
        <v>1513</v>
      </c>
      <c r="C474" s="540"/>
      <c r="E474" s="597"/>
      <c r="AE474" s="592"/>
      <c r="AF474" s="592"/>
      <c r="AG474" s="592"/>
      <c r="AH474" s="592"/>
      <c r="AI474" s="592"/>
      <c r="AJ474" s="592"/>
      <c r="AK474" s="592"/>
      <c r="AL474" s="592"/>
      <c r="AN474" s="598"/>
      <c r="AO474" s="551" t="s">
        <v>1490</v>
      </c>
      <c r="AP474" s="551">
        <v>5</v>
      </c>
      <c r="AQ474" s="540"/>
      <c r="AR474" s="540"/>
      <c r="AS474" s="756"/>
      <c r="AT474" s="551" t="s">
        <v>1490</v>
      </c>
      <c r="AU474" s="551">
        <v>5</v>
      </c>
      <c r="AV474" s="537"/>
    </row>
    <row r="475" spans="1:58" s="551" customFormat="1" ht="12.75" hidden="1" customHeight="1">
      <c r="A475" s="540"/>
      <c r="B475" s="540" t="s">
        <v>1514</v>
      </c>
      <c r="C475" s="540"/>
      <c r="E475" s="597"/>
      <c r="AE475" s="592"/>
      <c r="AF475" s="592"/>
      <c r="AG475" s="592"/>
      <c r="AH475" s="592"/>
      <c r="AI475" s="592"/>
      <c r="AJ475" s="592"/>
      <c r="AK475" s="592"/>
      <c r="AL475" s="592"/>
      <c r="AN475" s="598"/>
      <c r="AO475" s="551" t="s">
        <v>1492</v>
      </c>
      <c r="AP475" s="551">
        <v>5</v>
      </c>
      <c r="AQ475" s="540"/>
      <c r="AR475" s="540"/>
      <c r="AT475" s="551" t="s">
        <v>1492</v>
      </c>
      <c r="AU475" s="551">
        <v>5</v>
      </c>
    </row>
    <row r="476" spans="1:58" s="551" customFormat="1" ht="12.75" hidden="1" customHeight="1">
      <c r="A476" s="540"/>
      <c r="C476" s="540"/>
      <c r="E476" s="597"/>
      <c r="AE476" s="592"/>
      <c r="AF476" s="592"/>
      <c r="AG476" s="592"/>
      <c r="AH476" s="592"/>
      <c r="AI476" s="592"/>
      <c r="AJ476" s="592"/>
      <c r="AK476" s="592"/>
      <c r="AL476" s="592"/>
      <c r="AN476" s="598"/>
      <c r="AO476" s="551" t="s">
        <v>1493</v>
      </c>
      <c r="AP476" s="551">
        <v>5</v>
      </c>
      <c r="AQ476" s="540"/>
      <c r="AR476" s="540"/>
      <c r="AT476" s="551" t="s">
        <v>1493</v>
      </c>
      <c r="AU476" s="551">
        <v>5</v>
      </c>
    </row>
    <row r="477" spans="1:58" s="551" customFormat="1" ht="12.75" hidden="1" customHeight="1">
      <c r="A477" s="540"/>
      <c r="C477" s="713" t="s">
        <v>1515</v>
      </c>
      <c r="D477" s="571"/>
      <c r="AE477" s="592"/>
      <c r="AF477" s="592"/>
      <c r="AG477" s="597"/>
      <c r="AH477" s="597"/>
      <c r="AI477" s="597"/>
      <c r="AJ477" s="597"/>
      <c r="AK477" s="597"/>
      <c r="AL477" s="597"/>
      <c r="AN477" s="598"/>
      <c r="AO477" s="551" t="s">
        <v>1494</v>
      </c>
      <c r="AP477" s="551">
        <v>5</v>
      </c>
      <c r="AT477" s="551" t="s">
        <v>1494</v>
      </c>
      <c r="AU477" s="551">
        <v>5</v>
      </c>
    </row>
    <row r="478" spans="1:58" s="551" customFormat="1" ht="12.75" hidden="1" customHeight="1">
      <c r="A478" s="540"/>
      <c r="C478" s="2482" t="s">
        <v>591</v>
      </c>
      <c r="D478" s="2483"/>
      <c r="E478" s="762" t="s">
        <v>507</v>
      </c>
      <c r="F478" s="2484" t="s">
        <v>1516</v>
      </c>
      <c r="G478" s="2484"/>
      <c r="H478" s="2484"/>
      <c r="I478" s="2484"/>
      <c r="J478" s="2484"/>
      <c r="K478" s="2484"/>
      <c r="L478" s="2484"/>
      <c r="M478" s="2484"/>
      <c r="N478" s="2484"/>
      <c r="O478" s="2484"/>
      <c r="P478" s="2484"/>
      <c r="Q478" s="2484"/>
      <c r="R478" s="2484"/>
      <c r="S478" s="2484"/>
      <c r="T478" s="2484"/>
      <c r="U478" s="2484"/>
      <c r="V478" s="2484"/>
      <c r="W478" s="2484"/>
      <c r="X478" s="2484"/>
      <c r="Y478" s="2484"/>
      <c r="Z478" s="2484"/>
      <c r="AA478" s="2484"/>
      <c r="AB478" s="2484"/>
      <c r="AC478" s="2484"/>
      <c r="AD478" s="2484"/>
      <c r="AE478" s="2484"/>
      <c r="AF478" s="715"/>
      <c r="AG478" s="715"/>
      <c r="AH478" s="715"/>
      <c r="AI478" s="715"/>
      <c r="AJ478" s="715"/>
      <c r="AK478" s="746"/>
      <c r="AN478" s="598"/>
      <c r="AO478" s="551" t="s">
        <v>1517</v>
      </c>
      <c r="AP478" s="551">
        <v>5</v>
      </c>
      <c r="AS478" s="759"/>
      <c r="AT478" s="551" t="s">
        <v>1495</v>
      </c>
      <c r="AU478" s="551">
        <v>5</v>
      </c>
    </row>
    <row r="479" spans="1:58" s="551" customFormat="1" ht="12.75" hidden="1" customHeight="1">
      <c r="C479" s="763"/>
      <c r="E479" s="764"/>
      <c r="F479" s="2485"/>
      <c r="G479" s="2485"/>
      <c r="H479" s="2485"/>
      <c r="I479" s="2485"/>
      <c r="J479" s="2485"/>
      <c r="K479" s="2485"/>
      <c r="L479" s="2485"/>
      <c r="M479" s="2485"/>
      <c r="N479" s="2485"/>
      <c r="O479" s="2485"/>
      <c r="P479" s="2485"/>
      <c r="Q479" s="2485"/>
      <c r="R479" s="2485"/>
      <c r="S479" s="2485"/>
      <c r="T479" s="2485"/>
      <c r="U479" s="2485"/>
      <c r="V479" s="2485"/>
      <c r="W479" s="2485"/>
      <c r="X479" s="2485"/>
      <c r="Y479" s="2485"/>
      <c r="Z479" s="2485"/>
      <c r="AA479" s="2485"/>
      <c r="AB479" s="2485"/>
      <c r="AC479" s="2485"/>
      <c r="AD479" s="2485"/>
      <c r="AE479" s="2485"/>
      <c r="AG479" s="552"/>
      <c r="AH479" s="552"/>
      <c r="AI479" s="552"/>
      <c r="AJ479" s="552"/>
      <c r="AK479" s="733"/>
      <c r="AN479" s="598"/>
      <c r="AO479" s="551" t="s">
        <v>1498</v>
      </c>
      <c r="AP479" s="551">
        <v>1</v>
      </c>
      <c r="AT479" s="551" t="s">
        <v>1498</v>
      </c>
      <c r="AU479" s="551">
        <v>1</v>
      </c>
    </row>
    <row r="480" spans="1:58" s="551" customFormat="1" ht="12.75" hidden="1" customHeight="1">
      <c r="C480" s="765"/>
      <c r="D480" s="728"/>
      <c r="E480" s="766"/>
      <c r="F480" s="2558" t="s">
        <v>591</v>
      </c>
      <c r="G480" s="2558"/>
      <c r="H480" s="2558"/>
      <c r="I480" s="2558"/>
      <c r="J480" s="2558"/>
      <c r="K480" s="2558"/>
      <c r="L480" s="2558"/>
      <c r="M480" s="2558"/>
      <c r="N480" s="2558"/>
      <c r="O480" s="2558"/>
      <c r="P480" s="2558"/>
      <c r="Q480" s="2558"/>
      <c r="R480" s="2558"/>
      <c r="S480" s="2558"/>
      <c r="T480" s="2558"/>
      <c r="U480" s="2558"/>
      <c r="V480" s="2558"/>
      <c r="W480" s="2558"/>
      <c r="X480" s="2558"/>
      <c r="Y480" s="2558"/>
      <c r="Z480" s="2558"/>
      <c r="AA480" s="767"/>
      <c r="AB480" s="659"/>
      <c r="AC480" s="659"/>
      <c r="AD480" s="728"/>
      <c r="AE480" s="728"/>
      <c r="AF480" s="728"/>
      <c r="AG480" s="768">
        <f>IF($C$478="Yes",(VLOOKUP($F$480,$AT$471:$AU$479,2,FALSE)),0)</f>
        <v>0</v>
      </c>
      <c r="AH480" s="769" t="s">
        <v>1327</v>
      </c>
      <c r="AI480" s="768"/>
      <c r="AJ480" s="768"/>
      <c r="AK480" s="743"/>
      <c r="AN480" s="598"/>
      <c r="AS480" s="756"/>
      <c r="AX480" s="756"/>
      <c r="BB480" s="756" t="s">
        <v>1499</v>
      </c>
      <c r="BF480" s="756" t="s">
        <v>1500</v>
      </c>
    </row>
    <row r="481" spans="1:81" s="551" customFormat="1" ht="12.75" hidden="1" customHeight="1">
      <c r="C481" s="552"/>
      <c r="E481" s="764"/>
      <c r="F481" s="594"/>
      <c r="G481" s="594"/>
      <c r="H481" s="594"/>
      <c r="I481" s="594"/>
      <c r="J481" s="594"/>
      <c r="K481" s="594"/>
      <c r="L481" s="594"/>
      <c r="M481" s="594"/>
      <c r="N481" s="594"/>
      <c r="O481" s="594"/>
      <c r="P481" s="594"/>
      <c r="Q481" s="594"/>
      <c r="R481" s="594"/>
      <c r="S481" s="594"/>
      <c r="T481" s="594"/>
      <c r="U481" s="594"/>
      <c r="V481" s="594"/>
      <c r="W481" s="594"/>
      <c r="X481" s="594"/>
      <c r="Y481" s="594"/>
      <c r="Z481" s="594"/>
      <c r="AA481" s="571"/>
      <c r="AB481" s="552"/>
      <c r="AC481" s="552"/>
      <c r="AG481" s="552"/>
      <c r="AH481" s="552"/>
      <c r="AI481" s="552"/>
      <c r="AJ481" s="552"/>
      <c r="AN481" s="598"/>
      <c r="AO481" s="551" t="s">
        <v>591</v>
      </c>
      <c r="AP481" s="638">
        <v>0</v>
      </c>
      <c r="AT481" s="551" t="s">
        <v>591</v>
      </c>
      <c r="AU481" s="638">
        <v>0</v>
      </c>
      <c r="AW481" s="551" t="s">
        <v>591</v>
      </c>
      <c r="AX481" s="638">
        <v>0</v>
      </c>
      <c r="AY481" s="594"/>
      <c r="BB481" s="551" t="s">
        <v>591</v>
      </c>
      <c r="BC481" s="594">
        <v>0</v>
      </c>
      <c r="BF481" s="551" t="s">
        <v>591</v>
      </c>
      <c r="BG481" s="594">
        <v>0</v>
      </c>
    </row>
    <row r="482" spans="1:81" s="551" customFormat="1" ht="12.75" hidden="1" customHeight="1">
      <c r="C482" s="2559" t="s">
        <v>545</v>
      </c>
      <c r="D482" s="2560"/>
      <c r="E482" s="762" t="s">
        <v>757</v>
      </c>
      <c r="F482" s="770" t="s">
        <v>1518</v>
      </c>
      <c r="G482" s="650"/>
      <c r="H482" s="650"/>
      <c r="I482" s="650"/>
      <c r="J482" s="650"/>
      <c r="K482" s="650"/>
      <c r="L482" s="650"/>
      <c r="M482" s="650"/>
      <c r="N482" s="650"/>
      <c r="O482" s="650"/>
      <c r="P482" s="650"/>
      <c r="Q482" s="650"/>
      <c r="R482" s="650"/>
      <c r="S482" s="650"/>
      <c r="T482" s="650"/>
      <c r="U482" s="650"/>
      <c r="V482" s="650"/>
      <c r="W482" s="650"/>
      <c r="X482" s="650"/>
      <c r="Y482" s="650"/>
      <c r="Z482" s="650"/>
      <c r="AA482" s="650"/>
      <c r="AB482" s="650"/>
      <c r="AC482" s="650"/>
      <c r="AD482" s="715"/>
      <c r="AE482" s="715"/>
      <c r="AF482" s="715"/>
      <c r="AG482" s="650"/>
      <c r="AH482" s="650"/>
      <c r="AI482" s="650"/>
      <c r="AJ482" s="650"/>
      <c r="AK482" s="746"/>
      <c r="AN482" s="598"/>
      <c r="AO482" s="759">
        <v>0.15</v>
      </c>
      <c r="AP482" s="638">
        <v>3</v>
      </c>
      <c r="AT482" s="759">
        <v>7.0000000000000007E-2</v>
      </c>
      <c r="AU482" s="638">
        <v>3</v>
      </c>
      <c r="AW482" s="551" t="s">
        <v>1501</v>
      </c>
      <c r="AX482" s="638">
        <v>3</v>
      </c>
      <c r="AY482" s="594"/>
      <c r="BB482" s="759">
        <v>0.4</v>
      </c>
      <c r="BC482" s="594">
        <v>3</v>
      </c>
      <c r="BF482" s="759">
        <v>0.4</v>
      </c>
      <c r="BG482" s="594">
        <v>4</v>
      </c>
    </row>
    <row r="483" spans="1:81" s="551" customFormat="1" ht="12.75" hidden="1" customHeight="1">
      <c r="C483" s="771" t="s">
        <v>1519</v>
      </c>
      <c r="F483" s="772" t="s">
        <v>1520</v>
      </c>
      <c r="G483" s="552"/>
      <c r="H483" s="552"/>
      <c r="I483" s="552"/>
      <c r="J483" s="552"/>
      <c r="K483" s="552"/>
      <c r="L483" s="552"/>
      <c r="M483" s="552"/>
      <c r="N483" s="552"/>
      <c r="O483" s="552"/>
      <c r="P483" s="552"/>
      <c r="Q483" s="552"/>
      <c r="R483" s="552"/>
      <c r="S483" s="552"/>
      <c r="T483" s="552"/>
      <c r="U483" s="552"/>
      <c r="V483" s="552"/>
      <c r="W483" s="552"/>
      <c r="X483" s="552"/>
      <c r="Y483" s="552"/>
      <c r="Z483" s="552"/>
      <c r="AA483" s="552"/>
      <c r="AB483" s="552"/>
      <c r="AC483" s="592"/>
      <c r="AG483" s="614"/>
      <c r="AH483" s="614"/>
      <c r="AI483" s="614"/>
      <c r="AJ483" s="614"/>
      <c r="AK483" s="733"/>
      <c r="AN483" s="598"/>
      <c r="AO483" s="759">
        <v>0.2</v>
      </c>
      <c r="AP483" s="638">
        <v>5</v>
      </c>
      <c r="AT483" s="759">
        <v>0.12</v>
      </c>
      <c r="AU483" s="638">
        <v>5</v>
      </c>
      <c r="AW483" s="551" t="s">
        <v>1504</v>
      </c>
      <c r="AX483" s="638">
        <v>5</v>
      </c>
      <c r="AY483" s="594"/>
      <c r="BB483" s="759">
        <v>0.6</v>
      </c>
      <c r="BC483" s="594">
        <v>4</v>
      </c>
      <c r="BF483" s="759">
        <v>0.6</v>
      </c>
      <c r="BG483" s="594">
        <v>5</v>
      </c>
    </row>
    <row r="484" spans="1:81" s="551" customFormat="1" ht="12.75" hidden="1" customHeight="1">
      <c r="C484" s="752"/>
      <c r="D484" s="731"/>
      <c r="E484" s="773"/>
      <c r="F484" s="772" t="s">
        <v>1521</v>
      </c>
      <c r="G484" s="772"/>
      <c r="H484" s="772"/>
      <c r="I484" s="772"/>
      <c r="J484" s="772"/>
      <c r="K484" s="772"/>
      <c r="L484" s="772"/>
      <c r="M484" s="772"/>
      <c r="N484" s="772"/>
      <c r="O484" s="772"/>
      <c r="P484" s="772"/>
      <c r="Q484" s="772"/>
      <c r="R484" s="772"/>
      <c r="S484" s="772"/>
      <c r="T484" s="772"/>
      <c r="U484" s="772"/>
      <c r="V484" s="772"/>
      <c r="W484" s="772"/>
      <c r="X484" s="772"/>
      <c r="Y484" s="772"/>
      <c r="Z484" s="772"/>
      <c r="AA484" s="772"/>
      <c r="AB484" s="772"/>
      <c r="AC484" s="774"/>
      <c r="AD484" s="610"/>
      <c r="AE484" s="610"/>
      <c r="AF484" s="610"/>
      <c r="AG484" s="775"/>
      <c r="AH484" s="614"/>
      <c r="AI484" s="614"/>
      <c r="AJ484" s="614"/>
      <c r="AK484" s="733"/>
      <c r="AN484" s="679"/>
      <c r="AO484" s="759"/>
      <c r="AP484" s="594"/>
      <c r="AT484" s="759"/>
      <c r="AU484" s="594"/>
      <c r="AX484" s="759"/>
      <c r="AY484" s="594"/>
      <c r="BB484" s="759">
        <v>0.8</v>
      </c>
      <c r="BC484" s="594">
        <v>5</v>
      </c>
      <c r="BF484" s="759"/>
      <c r="BG484" s="594"/>
    </row>
    <row r="485" spans="1:81" s="597" customFormat="1" ht="12.75" hidden="1" customHeight="1">
      <c r="A485" s="638"/>
      <c r="B485" s="551"/>
      <c r="C485" s="763"/>
      <c r="D485" s="551"/>
      <c r="E485" s="764"/>
      <c r="F485" s="776" t="s">
        <v>1522</v>
      </c>
      <c r="G485" s="551"/>
      <c r="H485" s="551"/>
      <c r="I485" s="772"/>
      <c r="J485" s="772"/>
      <c r="K485" s="772"/>
      <c r="L485" s="772"/>
      <c r="M485" s="772"/>
      <c r="N485" s="772"/>
      <c r="O485" s="772"/>
      <c r="P485" s="772"/>
      <c r="Q485" s="772"/>
      <c r="R485" s="772"/>
      <c r="S485" s="772"/>
      <c r="T485" s="772"/>
      <c r="U485" s="772"/>
      <c r="V485" s="2557" t="s">
        <v>591</v>
      </c>
      <c r="W485" s="2557"/>
      <c r="X485" s="2557"/>
      <c r="Y485" s="772"/>
      <c r="Z485" s="772"/>
      <c r="AA485" s="772"/>
      <c r="AB485" s="772"/>
      <c r="AC485" s="772"/>
      <c r="AD485" s="610"/>
      <c r="AE485" s="610"/>
      <c r="AF485" s="610"/>
      <c r="AG485" s="614">
        <f>IF(AND($C$482="Yes",$V$487="N/A",$V$492="N/A",$V$496="N/A",$V$498="N/A"),(VLOOKUP(V485,$AW$481:$AX$483,2,FALSE)),0)</f>
        <v>0</v>
      </c>
      <c r="AH485" s="641" t="s">
        <v>1327</v>
      </c>
      <c r="AI485" s="552"/>
      <c r="AJ485" s="552"/>
      <c r="AK485" s="733"/>
      <c r="AL485" s="551"/>
      <c r="AM485" s="551"/>
      <c r="AN485" s="598"/>
      <c r="AT485" s="551" t="s">
        <v>591</v>
      </c>
      <c r="AU485" s="638">
        <v>0</v>
      </c>
      <c r="AV485" s="551"/>
      <c r="AW485" s="551"/>
      <c r="AX485" s="551"/>
      <c r="AY485" s="551"/>
      <c r="AZ485" s="551"/>
      <c r="BA485" s="551"/>
      <c r="BB485" s="759"/>
      <c r="BC485" s="594"/>
      <c r="BD485" s="551"/>
      <c r="BE485" s="551"/>
      <c r="BF485" s="551"/>
      <c r="BG485" s="551"/>
    </row>
    <row r="486" spans="1:81" s="597" customFormat="1" ht="12.75" hidden="1" customHeight="1">
      <c r="A486" s="638"/>
      <c r="B486" s="551"/>
      <c r="C486" s="763"/>
      <c r="D486" s="551"/>
      <c r="E486" s="764"/>
      <c r="F486" s="776"/>
      <c r="G486" s="551"/>
      <c r="H486" s="551"/>
      <c r="I486" s="772"/>
      <c r="J486" s="772"/>
      <c r="K486" s="772"/>
      <c r="L486" s="772"/>
      <c r="M486" s="772"/>
      <c r="N486" s="772"/>
      <c r="O486" s="772"/>
      <c r="P486" s="772"/>
      <c r="Q486" s="772"/>
      <c r="R486" s="772"/>
      <c r="S486" s="772"/>
      <c r="T486" s="772"/>
      <c r="U486" s="772"/>
      <c r="V486" s="772"/>
      <c r="W486" s="772"/>
      <c r="X486" s="772"/>
      <c r="Y486" s="772"/>
      <c r="Z486" s="772"/>
      <c r="AA486" s="772"/>
      <c r="AB486" s="772"/>
      <c r="AC486" s="772"/>
      <c r="AD486" s="610"/>
      <c r="AE486" s="610"/>
      <c r="AF486" s="610"/>
      <c r="AG486" s="614"/>
      <c r="AH486" s="641"/>
      <c r="AI486" s="552"/>
      <c r="AJ486" s="552"/>
      <c r="AK486" s="733"/>
      <c r="AL486" s="551"/>
      <c r="AM486" s="551"/>
      <c r="AN486" s="598"/>
      <c r="AT486" s="759">
        <v>0.09</v>
      </c>
      <c r="AU486" s="638">
        <v>3</v>
      </c>
      <c r="AV486" s="551"/>
      <c r="AW486" s="551"/>
      <c r="AX486" s="756"/>
      <c r="AY486" s="551"/>
      <c r="AZ486" s="551"/>
      <c r="BA486" s="551"/>
      <c r="BB486" s="551"/>
      <c r="BC486" s="551"/>
      <c r="BD486" s="551"/>
      <c r="BE486" s="551"/>
      <c r="BF486" s="551"/>
      <c r="BG486" s="551"/>
    </row>
    <row r="487" spans="1:81" s="597" customFormat="1" ht="12.75" hidden="1" customHeight="1">
      <c r="A487" s="638"/>
      <c r="B487" s="551"/>
      <c r="C487" s="763"/>
      <c r="D487" s="551"/>
      <c r="E487" s="764"/>
      <c r="F487" s="776" t="s">
        <v>1523</v>
      </c>
      <c r="G487" s="551"/>
      <c r="H487" s="551"/>
      <c r="I487" s="772"/>
      <c r="J487" s="772"/>
      <c r="K487" s="772"/>
      <c r="L487" s="772"/>
      <c r="M487" s="772"/>
      <c r="N487" s="772"/>
      <c r="O487" s="772"/>
      <c r="P487" s="772"/>
      <c r="Q487" s="772"/>
      <c r="R487" s="772"/>
      <c r="S487" s="772"/>
      <c r="T487" s="772"/>
      <c r="U487" s="772"/>
      <c r="V487" s="2557" t="s">
        <v>591</v>
      </c>
      <c r="W487" s="2557"/>
      <c r="X487" s="2557"/>
      <c r="Y487" s="772"/>
      <c r="Z487" s="772"/>
      <c r="AA487" s="772"/>
      <c r="AB487" s="772"/>
      <c r="AC487" s="772"/>
      <c r="AD487" s="610"/>
      <c r="AE487" s="610"/>
      <c r="AF487" s="610"/>
      <c r="AG487" s="614">
        <f>IF(AND($C$482="Yes",$V$485="N/A", $V$492="N/A",$V$496="N/A",$V$498="N/A"),(VLOOKUP(V487,$AT$481:$AU$483,2,FALSE)),0)</f>
        <v>0</v>
      </c>
      <c r="AH487" s="641" t="s">
        <v>1327</v>
      </c>
      <c r="AI487" s="552"/>
      <c r="AJ487" s="552"/>
      <c r="AK487" s="733"/>
      <c r="AL487" s="551"/>
      <c r="AM487" s="551"/>
      <c r="AN487" s="598"/>
      <c r="AT487" s="759">
        <v>0.15</v>
      </c>
      <c r="AU487" s="638">
        <v>5</v>
      </c>
      <c r="AV487" s="551"/>
      <c r="AW487" s="551"/>
      <c r="AX487" s="551"/>
      <c r="AY487" s="551"/>
      <c r="AZ487" s="551"/>
      <c r="BA487" s="551"/>
      <c r="BB487" s="551"/>
      <c r="BC487" s="551"/>
      <c r="BD487" s="551"/>
      <c r="BE487" s="551"/>
      <c r="BF487" s="551"/>
      <c r="BG487" s="551"/>
    </row>
    <row r="488" spans="1:81" s="551" customFormat="1" ht="12.75" hidden="1" customHeight="1">
      <c r="C488" s="763"/>
      <c r="E488" s="764"/>
      <c r="F488" s="597"/>
      <c r="G488" s="777"/>
      <c r="H488" s="777"/>
      <c r="I488" s="777"/>
      <c r="J488" s="777"/>
      <c r="K488" s="777"/>
      <c r="L488" s="777"/>
      <c r="M488" s="777"/>
      <c r="N488" s="777"/>
      <c r="O488" s="777"/>
      <c r="P488" s="777"/>
      <c r="Q488" s="552"/>
      <c r="R488" s="552"/>
      <c r="S488" s="552"/>
      <c r="T488" s="552"/>
      <c r="U488" s="552"/>
      <c r="V488" s="552"/>
      <c r="W488" s="552"/>
      <c r="X488" s="552"/>
      <c r="Y488" s="552"/>
      <c r="Z488" s="552"/>
      <c r="AA488" s="552"/>
      <c r="AB488" s="552"/>
      <c r="AC488" s="552"/>
      <c r="AG488" s="597"/>
      <c r="AH488" s="597"/>
      <c r="AI488" s="597"/>
      <c r="AJ488" s="597"/>
      <c r="AK488" s="733"/>
      <c r="AN488" s="598"/>
      <c r="AO488" s="551" t="s">
        <v>591</v>
      </c>
      <c r="AP488" s="551">
        <v>0</v>
      </c>
    </row>
    <row r="489" spans="1:81" s="551" customFormat="1" ht="12.75" hidden="1" customHeight="1">
      <c r="C489" s="763"/>
      <c r="E489" s="764"/>
      <c r="F489" s="777" t="s">
        <v>1524</v>
      </c>
      <c r="I489" s="764"/>
      <c r="J489" s="764"/>
      <c r="K489" s="764"/>
      <c r="L489" s="764"/>
      <c r="M489" s="764"/>
      <c r="N489" s="764"/>
      <c r="O489" s="764"/>
      <c r="P489" s="764"/>
      <c r="Q489" s="552"/>
      <c r="R489" s="552"/>
      <c r="S489" s="552"/>
      <c r="T489" s="552"/>
      <c r="U489" s="552"/>
      <c r="V489" s="552"/>
      <c r="W489" s="552"/>
      <c r="X489" s="552"/>
      <c r="Y489" s="552"/>
      <c r="Z489" s="552"/>
      <c r="AA489" s="552"/>
      <c r="AB489" s="552"/>
      <c r="AC489" s="552"/>
      <c r="AJ489" s="552"/>
      <c r="AK489" s="733"/>
      <c r="AN489" s="598"/>
      <c r="AO489" s="551" t="s">
        <v>1525</v>
      </c>
      <c r="AP489" s="638">
        <v>2</v>
      </c>
    </row>
    <row r="490" spans="1:81" s="551" customFormat="1" ht="12.75" hidden="1" customHeight="1">
      <c r="C490" s="763"/>
      <c r="F490" s="610" t="s">
        <v>1526</v>
      </c>
      <c r="M490" s="764"/>
      <c r="N490" s="764"/>
      <c r="O490" s="764"/>
      <c r="P490" s="764"/>
      <c r="Q490" s="552"/>
      <c r="R490" s="552"/>
      <c r="S490" s="552"/>
      <c r="T490" s="552"/>
      <c r="U490" s="552"/>
      <c r="V490" s="552"/>
      <c r="W490" s="552"/>
      <c r="X490" s="552"/>
      <c r="Y490" s="552"/>
      <c r="Z490" s="552"/>
      <c r="AA490" s="552"/>
      <c r="AB490" s="552"/>
      <c r="AC490" s="552"/>
      <c r="AG490" s="614"/>
      <c r="AH490" s="641"/>
      <c r="AI490" s="552"/>
      <c r="AJ490" s="552"/>
      <c r="AK490" s="733"/>
      <c r="AN490" s="598"/>
      <c r="AO490" s="551" t="s">
        <v>1527</v>
      </c>
      <c r="AP490" s="551">
        <v>2</v>
      </c>
    </row>
    <row r="491" spans="1:81" s="597" customFormat="1" ht="12.75" hidden="1" customHeight="1">
      <c r="A491" s="551"/>
      <c r="B491" s="551"/>
      <c r="C491" s="740"/>
      <c r="D491" s="571"/>
      <c r="E491" s="571"/>
      <c r="F491" s="610" t="s">
        <v>1528</v>
      </c>
      <c r="G491" s="551"/>
      <c r="H491" s="551"/>
      <c r="I491" s="551"/>
      <c r="J491" s="551"/>
      <c r="K491" s="551"/>
      <c r="L491" s="551"/>
      <c r="M491" s="764"/>
      <c r="N491" s="764"/>
      <c r="O491" s="764"/>
      <c r="P491" s="764"/>
      <c r="Q491" s="552"/>
      <c r="R491" s="552"/>
      <c r="S491" s="552"/>
      <c r="T491" s="552"/>
      <c r="U491" s="552"/>
      <c r="V491" s="552"/>
      <c r="W491" s="552"/>
      <c r="X491" s="552"/>
      <c r="Y491" s="552"/>
      <c r="Z491" s="552"/>
      <c r="AA491" s="552"/>
      <c r="AB491" s="552"/>
      <c r="AC491" s="552"/>
      <c r="AD491" s="551"/>
      <c r="AE491" s="551"/>
      <c r="AF491" s="551"/>
      <c r="AG491" s="614"/>
      <c r="AH491" s="641"/>
      <c r="AI491" s="552"/>
      <c r="AJ491" s="552"/>
      <c r="AK491" s="733"/>
      <c r="AL491" s="551"/>
      <c r="AM491" s="551"/>
      <c r="AN491" s="679"/>
      <c r="AO491" s="551" t="s">
        <v>1529</v>
      </c>
      <c r="AP491" s="551">
        <v>2</v>
      </c>
    </row>
    <row r="492" spans="1:81" s="551" customFormat="1" ht="12.75" hidden="1" customHeight="1">
      <c r="C492" s="778"/>
      <c r="F492" s="776" t="s">
        <v>1530</v>
      </c>
      <c r="M492" s="764"/>
      <c r="N492" s="764"/>
      <c r="O492" s="764"/>
      <c r="P492" s="764"/>
      <c r="Q492" s="552"/>
      <c r="R492" s="552"/>
      <c r="S492" s="552"/>
      <c r="T492" s="552"/>
      <c r="U492" s="552"/>
      <c r="V492" s="2557" t="s">
        <v>591</v>
      </c>
      <c r="W492" s="2557"/>
      <c r="X492" s="2557"/>
      <c r="Y492" s="552"/>
      <c r="Z492" s="552"/>
      <c r="AA492" s="552"/>
      <c r="AB492" s="552"/>
      <c r="AC492" s="552"/>
      <c r="AG492" s="614">
        <f>IF(AND($C$482="Yes",$V$485="N/A",$V$487="N/A", $V$496="N/A",$V$498="N/A"),(VLOOKUP($V$492,$AT$485:$AU$487,2,FALSE)),0)</f>
        <v>0</v>
      </c>
      <c r="AH492" s="641" t="s">
        <v>1327</v>
      </c>
      <c r="AI492" s="552"/>
      <c r="AJ492" s="552"/>
      <c r="AK492" s="733"/>
      <c r="AN492" s="536"/>
    </row>
    <row r="493" spans="1:81" s="551" customFormat="1" ht="12.75" hidden="1" customHeight="1">
      <c r="C493" s="763"/>
      <c r="M493" s="764"/>
      <c r="N493" s="764"/>
      <c r="O493" s="764"/>
      <c r="P493" s="764"/>
      <c r="Q493" s="552"/>
      <c r="R493" s="552"/>
      <c r="S493" s="552"/>
      <c r="T493" s="552"/>
      <c r="U493" s="552"/>
      <c r="V493" s="552"/>
      <c r="W493" s="552"/>
      <c r="X493" s="552"/>
      <c r="Y493" s="552"/>
      <c r="Z493" s="552"/>
      <c r="AA493" s="552"/>
      <c r="AB493" s="552"/>
      <c r="AC493" s="552"/>
      <c r="AJ493" s="552"/>
      <c r="AK493" s="733"/>
      <c r="AN493" s="779"/>
    </row>
    <row r="494" spans="1:81" s="597" customFormat="1" ht="12.75" hidden="1" customHeight="1">
      <c r="A494" s="551"/>
      <c r="B494" s="551"/>
      <c r="C494" s="780" t="s">
        <v>1531</v>
      </c>
      <c r="D494" s="715"/>
      <c r="E494" s="715"/>
      <c r="F494" s="781" t="s">
        <v>1532</v>
      </c>
      <c r="G494" s="715"/>
      <c r="H494" s="715"/>
      <c r="I494" s="715"/>
      <c r="J494" s="715"/>
      <c r="K494" s="715"/>
      <c r="L494" s="715"/>
      <c r="M494" s="715"/>
      <c r="N494" s="715"/>
      <c r="O494" s="715"/>
      <c r="P494" s="715"/>
      <c r="Q494" s="715"/>
      <c r="R494" s="715"/>
      <c r="S494" s="715"/>
      <c r="T494" s="715"/>
      <c r="U494" s="715"/>
      <c r="V494" s="715"/>
      <c r="W494" s="715"/>
      <c r="X494" s="715"/>
      <c r="Y494" s="715"/>
      <c r="Z494" s="715"/>
      <c r="AA494" s="715"/>
      <c r="AB494" s="715"/>
      <c r="AC494" s="715"/>
      <c r="AD494" s="715"/>
      <c r="AE494" s="715"/>
      <c r="AF494" s="715"/>
      <c r="AG494" s="715"/>
      <c r="AH494" s="715"/>
      <c r="AI494" s="715"/>
      <c r="AJ494" s="715"/>
      <c r="AK494" s="746"/>
      <c r="AL494" s="551"/>
      <c r="AM494" s="551"/>
      <c r="AN494" s="593"/>
      <c r="AO494" s="551" t="s">
        <v>591</v>
      </c>
      <c r="AP494" s="551">
        <v>0</v>
      </c>
      <c r="AQ494" s="540"/>
    </row>
    <row r="495" spans="1:81" s="597" customFormat="1" ht="12.75" hidden="1" customHeight="1">
      <c r="A495" s="551"/>
      <c r="B495" s="551"/>
      <c r="C495" s="782"/>
      <c r="D495" s="2547"/>
      <c r="E495" s="2547"/>
      <c r="F495" s="772" t="s">
        <v>1533</v>
      </c>
      <c r="I495" s="551"/>
      <c r="J495" s="551"/>
      <c r="K495" s="551"/>
      <c r="L495" s="551"/>
      <c r="M495" s="551"/>
      <c r="N495" s="551"/>
      <c r="O495" s="551"/>
      <c r="P495" s="551"/>
      <c r="Q495" s="551"/>
      <c r="R495" s="551"/>
      <c r="S495" s="551"/>
      <c r="T495" s="551"/>
      <c r="U495" s="551"/>
      <c r="Y495" s="551"/>
      <c r="Z495" s="551"/>
      <c r="AA495" s="551"/>
      <c r="AB495" s="551"/>
      <c r="AC495" s="551"/>
      <c r="AD495" s="551"/>
      <c r="AE495" s="551"/>
      <c r="AF495" s="551"/>
      <c r="AK495" s="733"/>
      <c r="AL495" s="551"/>
      <c r="AM495" s="551"/>
      <c r="AN495" s="593"/>
      <c r="AO495" s="551" t="s">
        <v>1534</v>
      </c>
      <c r="AP495" s="638">
        <v>5</v>
      </c>
      <c r="AQ495" s="540"/>
    </row>
    <row r="496" spans="1:81" s="571" customFormat="1" ht="12.75" hidden="1" customHeight="1">
      <c r="A496" s="680"/>
      <c r="B496" s="551"/>
      <c r="C496" s="763"/>
      <c r="D496" s="551"/>
      <c r="E496" s="551"/>
      <c r="F496" s="783" t="s">
        <v>1522</v>
      </c>
      <c r="G496" s="551"/>
      <c r="H496" s="551"/>
      <c r="I496" s="551"/>
      <c r="J496" s="551"/>
      <c r="K496" s="551"/>
      <c r="L496" s="551"/>
      <c r="M496" s="551"/>
      <c r="N496" s="551"/>
      <c r="O496" s="551"/>
      <c r="P496" s="551"/>
      <c r="Q496" s="551"/>
      <c r="R496" s="551"/>
      <c r="S496" s="551"/>
      <c r="T496" s="551"/>
      <c r="U496" s="551"/>
      <c r="V496" s="2557" t="s">
        <v>591</v>
      </c>
      <c r="W496" s="2557"/>
      <c r="X496" s="2557"/>
      <c r="Y496" s="551"/>
      <c r="Z496" s="551"/>
      <c r="AA496" s="551"/>
      <c r="AB496" s="551"/>
      <c r="AC496" s="551"/>
      <c r="AD496" s="551"/>
      <c r="AE496" s="551"/>
      <c r="AF496" s="551"/>
      <c r="AG496" s="614">
        <f>IF(AND($C$482="Yes",$V$485="N/A",V487="N/A",$V$492="N/A",$V$498="N/A"),(VLOOKUP($V$496,$BB$481:$BC$484,2,FALSE)),0)</f>
        <v>0</v>
      </c>
      <c r="AH496" s="641" t="s">
        <v>1327</v>
      </c>
      <c r="AI496" s="552"/>
      <c r="AJ496" s="551"/>
      <c r="AK496" s="733"/>
      <c r="AL496" s="551"/>
      <c r="AM496" s="551"/>
      <c r="AN496" s="685"/>
      <c r="AO496" s="551" t="s">
        <v>1535</v>
      </c>
      <c r="AP496" s="551">
        <v>5</v>
      </c>
      <c r="AS496" s="551"/>
      <c r="AT496" s="551"/>
      <c r="AU496" s="551"/>
      <c r="AV496" s="551"/>
      <c r="AW496" s="551"/>
      <c r="AX496" s="551"/>
      <c r="AY496" s="551"/>
      <c r="AZ496" s="551"/>
      <c r="BA496" s="551"/>
      <c r="BB496" s="551"/>
      <c r="BO496" s="551"/>
      <c r="BP496" s="551"/>
      <c r="BQ496" s="551"/>
      <c r="BR496" s="551"/>
      <c r="BS496" s="551"/>
      <c r="BT496" s="551"/>
      <c r="BU496" s="551"/>
      <c r="BV496" s="551"/>
      <c r="BW496" s="551"/>
      <c r="BX496" s="551"/>
      <c r="BY496" s="551"/>
      <c r="BZ496" s="551"/>
      <c r="CA496" s="551"/>
      <c r="CB496" s="551"/>
      <c r="CC496" s="551"/>
    </row>
    <row r="497" spans="1:81" s="571" customFormat="1" ht="12.75" hidden="1" customHeight="1">
      <c r="A497" s="680"/>
      <c r="B497" s="551"/>
      <c r="C497" s="763"/>
      <c r="D497" s="551"/>
      <c r="E497" s="551"/>
      <c r="I497" s="551"/>
      <c r="J497" s="551"/>
      <c r="K497" s="551"/>
      <c r="L497" s="551"/>
      <c r="M497" s="551"/>
      <c r="N497" s="551"/>
      <c r="O497" s="551"/>
      <c r="P497" s="551"/>
      <c r="Q497" s="551"/>
      <c r="R497" s="551"/>
      <c r="S497" s="551"/>
      <c r="T497" s="551"/>
      <c r="U497" s="551"/>
      <c r="V497" s="551"/>
      <c r="W497" s="551"/>
      <c r="X497" s="551"/>
      <c r="Y497" s="551"/>
      <c r="Z497" s="551"/>
      <c r="AA497" s="551"/>
      <c r="AB497" s="551"/>
      <c r="AC497" s="551"/>
      <c r="AD497" s="551"/>
      <c r="AE497" s="551"/>
      <c r="AF497" s="551"/>
      <c r="AK497" s="733"/>
      <c r="AL497" s="551"/>
      <c r="AM497" s="551"/>
      <c r="AN497" s="685"/>
      <c r="AO497" s="551" t="s">
        <v>1536</v>
      </c>
      <c r="AP497" s="551">
        <v>5</v>
      </c>
      <c r="AS497" s="551"/>
      <c r="AT497" s="551"/>
      <c r="AU497" s="551"/>
      <c r="AV497" s="551"/>
      <c r="AW497" s="551"/>
      <c r="AX497" s="551"/>
      <c r="AY497" s="551"/>
      <c r="AZ497" s="551"/>
      <c r="BA497" s="551"/>
      <c r="BB497" s="551"/>
      <c r="BC497" s="551"/>
      <c r="BD497" s="551"/>
      <c r="BE497" s="551"/>
      <c r="BF497" s="551"/>
      <c r="BG497" s="551"/>
      <c r="BH497" s="551"/>
      <c r="BI497" s="551"/>
      <c r="BJ497" s="551"/>
      <c r="BK497" s="551"/>
      <c r="BL497" s="551"/>
      <c r="BM497" s="551"/>
      <c r="BN497" s="551"/>
      <c r="BO497" s="551"/>
      <c r="BP497" s="551"/>
      <c r="BQ497" s="551"/>
      <c r="BR497" s="551"/>
      <c r="BS497" s="551"/>
      <c r="BT497" s="551"/>
      <c r="BU497" s="551"/>
      <c r="BV497" s="551"/>
      <c r="BW497" s="551"/>
      <c r="BX497" s="551"/>
      <c r="BY497" s="551"/>
      <c r="BZ497" s="551"/>
      <c r="CA497" s="551"/>
      <c r="CB497" s="551"/>
      <c r="CC497" s="551"/>
    </row>
    <row r="498" spans="1:81" s="540" customFormat="1" ht="12.75" hidden="1" customHeight="1">
      <c r="A498" s="680"/>
      <c r="B498" s="551"/>
      <c r="C498" s="765"/>
      <c r="D498" s="728"/>
      <c r="E498" s="728"/>
      <c r="F498" s="776" t="s">
        <v>1523</v>
      </c>
      <c r="G498" s="767"/>
      <c r="H498" s="767"/>
      <c r="I498" s="728"/>
      <c r="J498" s="728"/>
      <c r="K498" s="728"/>
      <c r="L498" s="728"/>
      <c r="M498" s="728"/>
      <c r="N498" s="728"/>
      <c r="O498" s="728"/>
      <c r="P498" s="728"/>
      <c r="Q498" s="728"/>
      <c r="R498" s="728"/>
      <c r="S498" s="728"/>
      <c r="T498" s="728"/>
      <c r="U498" s="728"/>
      <c r="V498" s="2557" t="s">
        <v>591</v>
      </c>
      <c r="W498" s="2557"/>
      <c r="X498" s="2557"/>
      <c r="Y498" s="728"/>
      <c r="Z498" s="728"/>
      <c r="AA498" s="728"/>
      <c r="AB498" s="728"/>
      <c r="AC498" s="728"/>
      <c r="AD498" s="728"/>
      <c r="AE498" s="728"/>
      <c r="AF498" s="728"/>
      <c r="AG498" s="784">
        <f>IF(AND($C$482="Yes",$V$485="N/A",$V$487="N/A",$V$492="N/A",$V$496="N/A"),(VLOOKUP($V$498,$BF$481:$BG$483,2,FALSE)),0)</f>
        <v>0</v>
      </c>
      <c r="AH498" s="769" t="s">
        <v>1327</v>
      </c>
      <c r="AI498" s="728"/>
      <c r="AJ498" s="728"/>
      <c r="AK498" s="743"/>
      <c r="AL498" s="551"/>
      <c r="AM498" s="551"/>
      <c r="AN498" s="785"/>
      <c r="AP498" s="597"/>
      <c r="AQ498" s="597"/>
      <c r="AR498" s="597"/>
      <c r="AS498" s="597"/>
      <c r="AT498" s="597"/>
      <c r="AU498" s="597"/>
      <c r="AV498" s="597"/>
      <c r="AW498" s="597"/>
      <c r="AX498" s="597"/>
      <c r="AY498" s="597"/>
      <c r="AZ498" s="597"/>
      <c r="BA498" s="597"/>
      <c r="BB498" s="597"/>
      <c r="BC498" s="597"/>
      <c r="BE498" s="597"/>
      <c r="BF498" s="597"/>
      <c r="BG498" s="597"/>
      <c r="BH498" s="597"/>
      <c r="BI498" s="597"/>
      <c r="BJ498" s="597"/>
      <c r="BK498" s="597"/>
      <c r="BL498" s="597"/>
      <c r="BM498" s="597"/>
      <c r="BN498" s="597"/>
      <c r="BO498" s="597"/>
      <c r="BP498" s="597"/>
      <c r="BQ498" s="597"/>
      <c r="BR498" s="597"/>
    </row>
    <row r="499" spans="1:81" s="540" customFormat="1" ht="12.75" hidden="1" customHeight="1">
      <c r="A499" s="680"/>
      <c r="B499" s="551"/>
      <c r="C499" s="552"/>
      <c r="D499" s="551"/>
      <c r="E499" s="764"/>
      <c r="F499" s="551"/>
      <c r="G499" s="551"/>
      <c r="H499" s="551"/>
      <c r="I499" s="551"/>
      <c r="J499" s="551"/>
      <c r="K499" s="551"/>
      <c r="L499" s="551"/>
      <c r="M499" s="551"/>
      <c r="N499" s="551"/>
      <c r="O499" s="551"/>
      <c r="P499" s="551"/>
      <c r="Q499" s="551"/>
      <c r="R499" s="551"/>
      <c r="S499" s="551"/>
      <c r="T499" s="551"/>
      <c r="U499" s="551"/>
      <c r="V499" s="551"/>
      <c r="W499" s="551"/>
      <c r="X499" s="551"/>
      <c r="Y499" s="551"/>
      <c r="Z499" s="551"/>
      <c r="AA499" s="551"/>
      <c r="AB499" s="551"/>
      <c r="AC499" s="551"/>
      <c r="AD499" s="551"/>
      <c r="AE499" s="551"/>
      <c r="AF499" s="551"/>
      <c r="AG499" s="551"/>
      <c r="AH499" s="551"/>
      <c r="AI499" s="551"/>
      <c r="AJ499" s="551"/>
      <c r="AK499" s="551"/>
      <c r="AL499" s="551"/>
      <c r="AM499" s="551"/>
      <c r="AN499" s="785"/>
      <c r="AO499" s="786"/>
      <c r="AP499" s="551"/>
      <c r="AQ499" s="551"/>
      <c r="AR499" s="551"/>
      <c r="AS499" s="551"/>
      <c r="AT499" s="551"/>
      <c r="AU499" s="787"/>
      <c r="AV499" s="787"/>
      <c r="AW499" s="787"/>
      <c r="AX499" s="787"/>
      <c r="AY499" s="787"/>
      <c r="AZ499" s="787"/>
      <c r="BA499" s="787"/>
      <c r="BB499" s="597"/>
      <c r="BC499" s="597"/>
      <c r="BE499" s="551"/>
      <c r="BF499" s="551"/>
      <c r="BG499" s="551"/>
      <c r="BH499" s="551"/>
      <c r="BI499" s="551"/>
      <c r="BJ499" s="787"/>
      <c r="BK499" s="787"/>
      <c r="BL499" s="787"/>
      <c r="BM499" s="787"/>
      <c r="BN499" s="787"/>
      <c r="BO499" s="787"/>
      <c r="BP499" s="787"/>
      <c r="BQ499" s="597"/>
      <c r="BR499" s="551"/>
    </row>
    <row r="500" spans="1:81" s="540" customFormat="1" ht="12.75" hidden="1" customHeight="1">
      <c r="A500" s="680"/>
      <c r="B500" s="551"/>
      <c r="C500" s="713" t="s">
        <v>1537</v>
      </c>
      <c r="D500" s="551"/>
      <c r="E500" s="764"/>
      <c r="F500" s="552"/>
      <c r="G500" s="552"/>
      <c r="H500" s="552"/>
      <c r="I500" s="552"/>
      <c r="J500" s="552"/>
      <c r="K500" s="552"/>
      <c r="L500" s="552"/>
      <c r="M500" s="552"/>
      <c r="N500" s="552"/>
      <c r="O500" s="552"/>
      <c r="P500" s="552"/>
      <c r="Q500" s="552"/>
      <c r="R500" s="552"/>
      <c r="S500" s="552"/>
      <c r="T500" s="552"/>
      <c r="U500" s="552"/>
      <c r="V500" s="552"/>
      <c r="W500" s="552"/>
      <c r="X500" s="552"/>
      <c r="Y500" s="552"/>
      <c r="Z500" s="552"/>
      <c r="AA500" s="552"/>
      <c r="AB500" s="552"/>
      <c r="AC500" s="552"/>
      <c r="AD500" s="551"/>
      <c r="AE500" s="551"/>
      <c r="AF500" s="551"/>
      <c r="AG500" s="552"/>
      <c r="AH500" s="552"/>
      <c r="AI500" s="552"/>
      <c r="AJ500" s="552"/>
      <c r="AK500" s="551"/>
      <c r="AL500" s="551"/>
      <c r="AM500" s="551"/>
      <c r="AN500" s="785"/>
      <c r="AO500" s="786"/>
      <c r="AP500" s="551"/>
      <c r="AQ500" s="551"/>
      <c r="AR500" s="551"/>
      <c r="AS500" s="551"/>
      <c r="AT500" s="551"/>
      <c r="AU500" s="787"/>
      <c r="AV500" s="787"/>
      <c r="AW500" s="787"/>
      <c r="AX500" s="787"/>
      <c r="AY500" s="787"/>
      <c r="AZ500" s="787"/>
      <c r="BA500" s="787"/>
      <c r="BB500" s="597"/>
      <c r="BC500" s="597"/>
      <c r="BE500" s="551"/>
      <c r="BF500" s="551"/>
      <c r="BG500" s="551"/>
      <c r="BH500" s="551"/>
      <c r="BI500" s="551"/>
      <c r="BJ500" s="787"/>
      <c r="BK500" s="787"/>
      <c r="BL500" s="787"/>
      <c r="BM500" s="787"/>
      <c r="BN500" s="787"/>
      <c r="BO500" s="787"/>
      <c r="BP500" s="787"/>
      <c r="BQ500" s="597"/>
      <c r="BR500" s="551"/>
    </row>
    <row r="501" spans="1:81" s="571" customFormat="1" ht="12.75" hidden="1" customHeight="1">
      <c r="A501" s="680"/>
      <c r="B501" s="551"/>
      <c r="C501" s="2482" t="s">
        <v>591</v>
      </c>
      <c r="D501" s="2483"/>
      <c r="E501" s="762" t="s">
        <v>507</v>
      </c>
      <c r="F501" s="2484" t="s">
        <v>1516</v>
      </c>
      <c r="G501" s="2484"/>
      <c r="H501" s="2484"/>
      <c r="I501" s="2484"/>
      <c r="J501" s="2484"/>
      <c r="K501" s="2484"/>
      <c r="L501" s="2484"/>
      <c r="M501" s="2484"/>
      <c r="N501" s="2484"/>
      <c r="O501" s="2484"/>
      <c r="P501" s="2484"/>
      <c r="Q501" s="2484"/>
      <c r="R501" s="2484"/>
      <c r="S501" s="2484"/>
      <c r="T501" s="2484"/>
      <c r="U501" s="2484"/>
      <c r="V501" s="2484"/>
      <c r="W501" s="2484"/>
      <c r="X501" s="2484"/>
      <c r="Y501" s="2484"/>
      <c r="Z501" s="2484"/>
      <c r="AA501" s="2484"/>
      <c r="AB501" s="2484"/>
      <c r="AC501" s="2484"/>
      <c r="AD501" s="2484"/>
      <c r="AE501" s="2484"/>
      <c r="AF501" s="715"/>
      <c r="AG501" s="717"/>
      <c r="AH501" s="717"/>
      <c r="AI501" s="717"/>
      <c r="AJ501" s="717"/>
      <c r="AK501" s="746"/>
      <c r="AL501" s="551"/>
      <c r="AM501" s="551"/>
      <c r="AN501" s="535"/>
      <c r="AO501" s="30"/>
      <c r="AP501" s="551"/>
      <c r="AQ501" s="551"/>
      <c r="AR501" s="551"/>
      <c r="AS501" s="551"/>
      <c r="AT501" s="551"/>
      <c r="AU501" s="788"/>
      <c r="AV501" s="788"/>
      <c r="AW501" s="788"/>
      <c r="AX501" s="788"/>
      <c r="AY501" s="788"/>
      <c r="AZ501" s="788"/>
      <c r="BA501" s="788"/>
      <c r="BB501" s="551"/>
      <c r="BC501" s="551"/>
      <c r="BD501" s="537"/>
      <c r="BE501" s="551"/>
      <c r="BF501" s="551"/>
      <c r="BG501" s="551"/>
      <c r="BH501" s="551"/>
      <c r="BI501" s="551"/>
      <c r="BJ501" s="788"/>
      <c r="BK501" s="788"/>
      <c r="BL501" s="788"/>
      <c r="BM501" s="788"/>
      <c r="BN501" s="788"/>
      <c r="BO501" s="788"/>
      <c r="BP501" s="788"/>
      <c r="BQ501" s="551"/>
      <c r="BR501" s="551"/>
      <c r="BS501" s="537"/>
      <c r="BT501" s="537"/>
      <c r="BU501" s="537"/>
      <c r="BV501" s="537"/>
      <c r="BW501" s="537"/>
      <c r="BX501" s="537"/>
      <c r="BY501" s="537"/>
      <c r="BZ501" s="537"/>
      <c r="CA501" s="537"/>
      <c r="CB501" s="537"/>
      <c r="CC501" s="537"/>
    </row>
    <row r="502" spans="1:81" s="571" customFormat="1" ht="12.75" hidden="1" customHeight="1">
      <c r="A502" s="680"/>
      <c r="B502" s="551"/>
      <c r="C502" s="763"/>
      <c r="D502" s="551"/>
      <c r="E502" s="764"/>
      <c r="F502" s="2485"/>
      <c r="G502" s="2485"/>
      <c r="H502" s="2485"/>
      <c r="I502" s="2485"/>
      <c r="J502" s="2485"/>
      <c r="K502" s="2485"/>
      <c r="L502" s="2485"/>
      <c r="M502" s="2485"/>
      <c r="N502" s="2485"/>
      <c r="O502" s="2485"/>
      <c r="P502" s="2485"/>
      <c r="Q502" s="2485"/>
      <c r="R502" s="2485"/>
      <c r="S502" s="2485"/>
      <c r="T502" s="2485"/>
      <c r="U502" s="2485"/>
      <c r="V502" s="2485"/>
      <c r="W502" s="2485"/>
      <c r="X502" s="2485"/>
      <c r="Y502" s="2485"/>
      <c r="Z502" s="2485"/>
      <c r="AA502" s="2485"/>
      <c r="AB502" s="2485"/>
      <c r="AC502" s="2485"/>
      <c r="AD502" s="2485"/>
      <c r="AE502" s="2485"/>
      <c r="AF502" s="551"/>
      <c r="AG502" s="552"/>
      <c r="AH502" s="552"/>
      <c r="AI502" s="552"/>
      <c r="AJ502" s="552"/>
      <c r="AK502" s="733"/>
      <c r="AL502" s="551"/>
      <c r="AM502" s="551"/>
      <c r="AN502" s="535"/>
      <c r="AO502" s="30"/>
      <c r="AP502" s="789"/>
      <c r="AQ502" s="789"/>
      <c r="AR502" s="789"/>
      <c r="AS502" s="680"/>
      <c r="AT502" s="551"/>
      <c r="AU502" s="790"/>
      <c r="AV502" s="790"/>
      <c r="AW502" s="790"/>
      <c r="AX502" s="790"/>
      <c r="AY502" s="790"/>
      <c r="AZ502" s="790"/>
      <c r="BA502" s="790"/>
      <c r="BB502" s="14"/>
      <c r="BC502" s="14"/>
      <c r="BD502" s="537"/>
      <c r="BE502" s="789"/>
      <c r="BF502" s="789"/>
      <c r="BG502" s="789"/>
      <c r="BH502" s="680"/>
      <c r="BI502" s="551"/>
      <c r="BJ502" s="791"/>
      <c r="BK502" s="790"/>
      <c r="BL502" s="790"/>
      <c r="BM502" s="790"/>
      <c r="BN502" s="790"/>
      <c r="BO502" s="790"/>
      <c r="BP502" s="790"/>
      <c r="BQ502" s="14"/>
      <c r="BR502" s="551"/>
      <c r="BS502" s="537"/>
      <c r="BT502" s="537"/>
      <c r="BU502" s="537"/>
      <c r="BV502" s="537"/>
      <c r="BW502" s="537"/>
      <c r="BX502" s="537"/>
      <c r="BY502" s="537"/>
      <c r="BZ502" s="537"/>
      <c r="CA502" s="537"/>
      <c r="CB502" s="537"/>
      <c r="CC502" s="537"/>
    </row>
    <row r="503" spans="1:81" s="571" customFormat="1" ht="12.75" hidden="1" customHeight="1">
      <c r="A503" s="680"/>
      <c r="B503" s="551"/>
      <c r="C503" s="765"/>
      <c r="D503" s="728"/>
      <c r="E503" s="766"/>
      <c r="F503" s="2553" t="s">
        <v>591</v>
      </c>
      <c r="G503" s="2553"/>
      <c r="H503" s="2553"/>
      <c r="I503" s="2553"/>
      <c r="J503" s="2553"/>
      <c r="K503" s="2553"/>
      <c r="L503" s="2553"/>
      <c r="M503" s="2553"/>
      <c r="N503" s="2553"/>
      <c r="O503" s="2553"/>
      <c r="P503" s="2553"/>
      <c r="Q503" s="2553"/>
      <c r="R503" s="2553"/>
      <c r="S503" s="2553"/>
      <c r="T503" s="2553"/>
      <c r="U503" s="2553"/>
      <c r="V503" s="2553"/>
      <c r="W503" s="2553"/>
      <c r="X503" s="2553"/>
      <c r="Y503" s="2553"/>
      <c r="Z503" s="2553"/>
      <c r="AA503" s="767"/>
      <c r="AB503" s="659"/>
      <c r="AC503" s="659"/>
      <c r="AD503" s="728"/>
      <c r="AE503" s="728"/>
      <c r="AF503" s="728"/>
      <c r="AG503" s="768">
        <f>IF($C$501="Yes",(VLOOKUP($F$503,$AO$471:$AP$479,2,FALSE)),0)</f>
        <v>0</v>
      </c>
      <c r="AH503" s="769" t="s">
        <v>1327</v>
      </c>
      <c r="AI503" s="768"/>
      <c r="AJ503" s="659"/>
      <c r="AK503" s="743"/>
      <c r="AL503" s="551"/>
      <c r="AM503" s="551"/>
      <c r="AN503" s="535"/>
      <c r="AO503" s="30"/>
      <c r="AP503" s="789"/>
      <c r="AQ503" s="789"/>
      <c r="AR503" s="789"/>
      <c r="AS503" s="680"/>
      <c r="AT503" s="551"/>
      <c r="AU503" s="790"/>
      <c r="AV503" s="790"/>
      <c r="AW503" s="790"/>
      <c r="AX503" s="790"/>
      <c r="AY503" s="790"/>
      <c r="AZ503" s="790"/>
      <c r="BA503" s="790"/>
      <c r="BB503" s="14"/>
      <c r="BC503" s="14"/>
      <c r="BD503" s="537"/>
      <c r="BE503" s="789"/>
      <c r="BF503" s="789"/>
      <c r="BG503" s="789"/>
      <c r="BH503" s="680"/>
      <c r="BI503" s="551"/>
      <c r="BJ503" s="791"/>
      <c r="BK503" s="790"/>
      <c r="BL503" s="790"/>
      <c r="BM503" s="790"/>
      <c r="BN503" s="790"/>
      <c r="BO503" s="790"/>
      <c r="BP503" s="790"/>
      <c r="BQ503" s="14"/>
      <c r="BR503" s="551"/>
      <c r="BS503" s="537"/>
      <c r="BT503" s="537"/>
      <c r="BU503" s="537"/>
      <c r="BV503" s="537"/>
      <c r="BW503" s="537"/>
      <c r="BX503" s="537"/>
      <c r="BY503" s="537"/>
      <c r="BZ503" s="537"/>
      <c r="CA503" s="537"/>
      <c r="CB503" s="537"/>
      <c r="CC503" s="537"/>
    </row>
    <row r="504" spans="1:81" s="571" customFormat="1" ht="12.75" hidden="1" customHeight="1">
      <c r="A504" s="680"/>
      <c r="B504" s="551"/>
      <c r="C504" s="713"/>
      <c r="D504" s="551"/>
      <c r="E504" s="764"/>
      <c r="F504" s="552"/>
      <c r="G504" s="552"/>
      <c r="H504" s="552"/>
      <c r="I504" s="552"/>
      <c r="J504" s="552"/>
      <c r="K504" s="552"/>
      <c r="L504" s="552"/>
      <c r="M504" s="552"/>
      <c r="N504" s="552"/>
      <c r="O504" s="552"/>
      <c r="P504" s="552"/>
      <c r="Q504" s="552"/>
      <c r="R504" s="552"/>
      <c r="S504" s="552"/>
      <c r="T504" s="552"/>
      <c r="U504" s="552"/>
      <c r="V504" s="552"/>
      <c r="W504" s="552"/>
      <c r="X504" s="552"/>
      <c r="Y504" s="552"/>
      <c r="Z504" s="552"/>
      <c r="AA504" s="552"/>
      <c r="AB504" s="552"/>
      <c r="AC504" s="552"/>
      <c r="AD504" s="551"/>
      <c r="AE504" s="551"/>
      <c r="AF504" s="551"/>
      <c r="AG504" s="552"/>
      <c r="AH504" s="552"/>
      <c r="AI504" s="552"/>
      <c r="AJ504" s="552"/>
      <c r="AK504" s="551"/>
      <c r="AL504" s="551"/>
      <c r="AM504" s="551"/>
      <c r="AN504" s="535"/>
      <c r="AO504" s="30"/>
      <c r="AP504" s="789"/>
      <c r="AQ504" s="789"/>
      <c r="AR504" s="789"/>
      <c r="AS504" s="680"/>
      <c r="AT504" s="551"/>
      <c r="AU504" s="790"/>
      <c r="AV504" s="790"/>
      <c r="AW504" s="790"/>
      <c r="AX504" s="790"/>
      <c r="AY504" s="790"/>
      <c r="AZ504" s="790"/>
      <c r="BA504" s="790"/>
      <c r="BB504" s="14"/>
      <c r="BC504" s="14"/>
      <c r="BD504" s="537"/>
      <c r="BE504" s="789"/>
      <c r="BF504" s="789"/>
      <c r="BG504" s="789"/>
      <c r="BH504" s="680"/>
      <c r="BI504" s="551"/>
      <c r="BJ504" s="791"/>
      <c r="BK504" s="790"/>
      <c r="BL504" s="790"/>
      <c r="BM504" s="790"/>
      <c r="BN504" s="790"/>
      <c r="BO504" s="790"/>
      <c r="BP504" s="790"/>
      <c r="BQ504" s="14"/>
      <c r="BR504" s="551"/>
      <c r="BS504" s="537"/>
      <c r="BT504" s="537"/>
      <c r="BU504" s="537"/>
      <c r="BV504" s="537"/>
      <c r="BW504" s="537"/>
      <c r="BX504" s="537"/>
      <c r="BY504" s="537"/>
      <c r="BZ504" s="537"/>
      <c r="CA504" s="537"/>
      <c r="CB504" s="537"/>
      <c r="CC504" s="537"/>
    </row>
    <row r="505" spans="1:81" s="571" customFormat="1" ht="12.75" hidden="1" customHeight="1">
      <c r="A505" s="551"/>
      <c r="B505" s="551"/>
      <c r="C505" s="2482" t="s">
        <v>591</v>
      </c>
      <c r="D505" s="2483"/>
      <c r="E505" s="762" t="s">
        <v>757</v>
      </c>
      <c r="F505" s="2554" t="s">
        <v>1538</v>
      </c>
      <c r="G505" s="2554"/>
      <c r="H505" s="2554"/>
      <c r="I505" s="2554"/>
      <c r="J505" s="2554"/>
      <c r="K505" s="2554"/>
      <c r="L505" s="2554"/>
      <c r="M505" s="2554"/>
      <c r="N505" s="2554"/>
      <c r="O505" s="2554"/>
      <c r="P505" s="2554"/>
      <c r="Q505" s="2554"/>
      <c r="R505" s="2554"/>
      <c r="S505" s="2554"/>
      <c r="T505" s="2554"/>
      <c r="U505" s="2554"/>
      <c r="V505" s="2554"/>
      <c r="W505" s="2554"/>
      <c r="X505" s="2554"/>
      <c r="Y505" s="2554"/>
      <c r="Z505" s="2554"/>
      <c r="AA505" s="2554"/>
      <c r="AB505" s="2554"/>
      <c r="AC505" s="2554"/>
      <c r="AD505" s="2554"/>
      <c r="AE505" s="2554"/>
      <c r="AF505" s="715"/>
      <c r="AG505" s="650"/>
      <c r="AH505" s="650"/>
      <c r="AI505" s="650"/>
      <c r="AJ505" s="650"/>
      <c r="AK505" s="746"/>
      <c r="AL505" s="551"/>
      <c r="AM505" s="551"/>
      <c r="AN505" s="535"/>
      <c r="AO505" s="30"/>
      <c r="AP505" s="789"/>
      <c r="AQ505" s="789"/>
      <c r="AR505" s="789"/>
      <c r="AS505" s="680"/>
      <c r="AT505" s="551"/>
      <c r="AU505" s="790"/>
      <c r="AV505" s="790"/>
      <c r="AW505" s="790"/>
      <c r="AX505" s="790"/>
      <c r="AY505" s="790"/>
      <c r="AZ505" s="790"/>
      <c r="BA505" s="790"/>
      <c r="BB505" s="14"/>
      <c r="BC505" s="14"/>
      <c r="BD505" s="537"/>
      <c r="BE505" s="789"/>
      <c r="BF505" s="789"/>
      <c r="BG505" s="789"/>
      <c r="BH505" s="680"/>
      <c r="BI505" s="551"/>
      <c r="BJ505" s="791"/>
      <c r="BK505" s="790"/>
      <c r="BL505" s="790"/>
      <c r="BM505" s="790"/>
      <c r="BN505" s="790"/>
      <c r="BO505" s="790"/>
      <c r="BP505" s="790"/>
      <c r="BQ505" s="14"/>
      <c r="BR505" s="551"/>
      <c r="BS505" s="537"/>
      <c r="BT505" s="537"/>
      <c r="BU505" s="537"/>
      <c r="BV505" s="537"/>
      <c r="BW505" s="537"/>
      <c r="BX505" s="537"/>
      <c r="BY505" s="537"/>
      <c r="BZ505" s="537"/>
      <c r="CA505" s="537"/>
      <c r="CB505" s="537"/>
      <c r="CC505" s="537"/>
    </row>
    <row r="506" spans="1:81" s="571" customFormat="1" ht="12.75" hidden="1" customHeight="1">
      <c r="A506" s="551"/>
      <c r="B506" s="551"/>
      <c r="C506" s="763"/>
      <c r="D506" s="551"/>
      <c r="E506" s="764"/>
      <c r="F506" s="2555"/>
      <c r="G506" s="2555"/>
      <c r="H506" s="2555"/>
      <c r="I506" s="2555"/>
      <c r="J506" s="2555"/>
      <c r="K506" s="2555"/>
      <c r="L506" s="2555"/>
      <c r="M506" s="2555"/>
      <c r="N506" s="2555"/>
      <c r="O506" s="2555"/>
      <c r="P506" s="2555"/>
      <c r="Q506" s="2555"/>
      <c r="R506" s="2555"/>
      <c r="S506" s="2555"/>
      <c r="T506" s="2555"/>
      <c r="U506" s="2555"/>
      <c r="V506" s="2555"/>
      <c r="W506" s="2555"/>
      <c r="X506" s="2555"/>
      <c r="Y506" s="2555"/>
      <c r="Z506" s="2555"/>
      <c r="AA506" s="2555"/>
      <c r="AB506" s="2555"/>
      <c r="AC506" s="2555"/>
      <c r="AD506" s="2555"/>
      <c r="AE506" s="2555"/>
      <c r="AF506" s="551"/>
      <c r="AG506" s="552"/>
      <c r="AH506" s="552"/>
      <c r="AI506" s="552"/>
      <c r="AJ506" s="552"/>
      <c r="AK506" s="733"/>
      <c r="AL506" s="551"/>
      <c r="AM506" s="551"/>
      <c r="AN506" s="535"/>
      <c r="AO506" s="30"/>
      <c r="AP506" s="789"/>
      <c r="AQ506" s="789"/>
      <c r="AR506" s="789"/>
      <c r="AS506" s="680"/>
      <c r="AT506" s="551"/>
      <c r="AU506" s="790"/>
      <c r="AV506" s="790"/>
      <c r="AW506" s="790"/>
      <c r="AX506" s="790"/>
      <c r="AY506" s="790"/>
      <c r="AZ506" s="790"/>
      <c r="BA506" s="790"/>
      <c r="BB506" s="14"/>
      <c r="BC506" s="14"/>
      <c r="BD506" s="537"/>
      <c r="BE506" s="789"/>
      <c r="BF506" s="789"/>
      <c r="BG506" s="789"/>
      <c r="BH506" s="680"/>
      <c r="BI506" s="551"/>
      <c r="BJ506" s="791"/>
      <c r="BK506" s="790"/>
      <c r="BL506" s="790"/>
      <c r="BM506" s="790"/>
      <c r="BN506" s="790"/>
      <c r="BO506" s="790"/>
      <c r="BP506" s="790"/>
      <c r="BQ506" s="14"/>
      <c r="BR506" s="551"/>
      <c r="BS506" s="537"/>
      <c r="BT506" s="537"/>
      <c r="BU506" s="537"/>
      <c r="BV506" s="537"/>
      <c r="BW506" s="537"/>
      <c r="BX506" s="537"/>
      <c r="BY506" s="537"/>
      <c r="BZ506" s="537"/>
      <c r="CA506" s="537"/>
      <c r="CB506" s="537"/>
      <c r="CC506" s="537"/>
    </row>
    <row r="507" spans="1:81" s="571" customFormat="1" ht="12.75" hidden="1" customHeight="1">
      <c r="A507" s="551"/>
      <c r="B507" s="551"/>
      <c r="C507" s="740"/>
      <c r="D507" s="551"/>
      <c r="E507" s="551"/>
      <c r="F507" s="783" t="s">
        <v>1539</v>
      </c>
      <c r="G507" s="552"/>
      <c r="H507" s="552"/>
      <c r="I507" s="552"/>
      <c r="J507" s="552"/>
      <c r="K507" s="552"/>
      <c r="L507" s="552"/>
      <c r="M507" s="552"/>
      <c r="N507" s="552"/>
      <c r="O507" s="552"/>
      <c r="P507" s="552"/>
      <c r="Q507" s="552"/>
      <c r="R507" s="552"/>
      <c r="S507" s="552"/>
      <c r="T507" s="552"/>
      <c r="U507" s="552"/>
      <c r="V507" s="552"/>
      <c r="W507" s="552"/>
      <c r="X507" s="552"/>
      <c r="Y507" s="552"/>
      <c r="Z507" s="552"/>
      <c r="AA507" s="552"/>
      <c r="AB507" s="552"/>
      <c r="AC507" s="592"/>
      <c r="AD507" s="551"/>
      <c r="AE507" s="551"/>
      <c r="AF507" s="551"/>
      <c r="AG507" s="614"/>
      <c r="AH507" s="614"/>
      <c r="AI507" s="614"/>
      <c r="AJ507" s="614"/>
      <c r="AK507" s="733"/>
      <c r="AL507" s="551"/>
      <c r="AM507" s="551"/>
      <c r="AN507" s="535"/>
      <c r="AO507" s="537"/>
      <c r="AP507" s="789"/>
      <c r="AQ507" s="789"/>
      <c r="AR507" s="789"/>
      <c r="AS507" s="680"/>
      <c r="AT507" s="551"/>
      <c r="AU507" s="790"/>
      <c r="AV507" s="790"/>
      <c r="AW507" s="790"/>
      <c r="AX507" s="790"/>
      <c r="AY507" s="790"/>
      <c r="AZ507" s="790"/>
      <c r="BA507" s="790"/>
      <c r="BB507" s="537"/>
      <c r="BC507" s="537"/>
      <c r="BD507" s="537"/>
      <c r="BE507" s="789"/>
      <c r="BF507" s="789"/>
      <c r="BG507" s="789"/>
      <c r="BH507" s="680"/>
      <c r="BI507" s="551"/>
      <c r="BJ507" s="791"/>
      <c r="BK507" s="790"/>
      <c r="BL507" s="790"/>
      <c r="BM507" s="790"/>
      <c r="BN507" s="790"/>
      <c r="BO507" s="790"/>
      <c r="BP507" s="790"/>
      <c r="BQ507" s="537"/>
      <c r="BR507" s="551"/>
      <c r="BS507" s="537"/>
      <c r="BT507" s="537"/>
      <c r="BU507" s="537"/>
      <c r="BV507" s="537"/>
      <c r="BW507" s="537"/>
      <c r="BX507" s="537"/>
      <c r="BY507" s="537"/>
      <c r="BZ507" s="537"/>
      <c r="CA507" s="537"/>
      <c r="CB507" s="537"/>
      <c r="CC507" s="537"/>
    </row>
    <row r="508" spans="1:81" s="571" customFormat="1" hidden="1">
      <c r="A508" s="551"/>
      <c r="B508" s="551"/>
      <c r="C508" s="765"/>
      <c r="D508" s="728"/>
      <c r="E508" s="766"/>
      <c r="F508" s="2556" t="s">
        <v>591</v>
      </c>
      <c r="G508" s="2556"/>
      <c r="H508" s="2556"/>
      <c r="I508" s="659"/>
      <c r="J508" s="659"/>
      <c r="K508" s="659"/>
      <c r="L508" s="659"/>
      <c r="M508" s="659"/>
      <c r="N508" s="659"/>
      <c r="O508" s="659"/>
      <c r="P508" s="659"/>
      <c r="Q508" s="659"/>
      <c r="R508" s="659"/>
      <c r="S508" s="659"/>
      <c r="T508" s="659"/>
      <c r="U508" s="659"/>
      <c r="V508" s="659"/>
      <c r="W508" s="659"/>
      <c r="X508" s="659"/>
      <c r="Y508" s="659"/>
      <c r="Z508" s="659"/>
      <c r="AA508" s="659"/>
      <c r="AB508" s="659"/>
      <c r="AC508" s="659"/>
      <c r="AD508" s="728"/>
      <c r="AE508" s="728"/>
      <c r="AF508" s="728"/>
      <c r="AG508" s="768">
        <f>IF($C$505="Yes",(VLOOKUP($F$508,$AO$481:$AP$483,2,FALSE)),0)</f>
        <v>0</v>
      </c>
      <c r="AH508" s="769" t="s">
        <v>1327</v>
      </c>
      <c r="AI508" s="659"/>
      <c r="AJ508" s="659"/>
      <c r="AK508" s="743"/>
      <c r="AL508" s="551"/>
      <c r="AM508" s="551"/>
      <c r="AN508" s="535"/>
      <c r="AO508" s="537"/>
      <c r="AP508" s="789"/>
      <c r="AQ508" s="789"/>
      <c r="AR508" s="789"/>
      <c r="AS508" s="788"/>
      <c r="AT508" s="551"/>
      <c r="AU508" s="790"/>
      <c r="AV508" s="790"/>
      <c r="AW508" s="790"/>
      <c r="AX508" s="790"/>
      <c r="AY508" s="790"/>
      <c r="AZ508" s="790"/>
      <c r="BA508" s="790"/>
      <c r="BB508" s="537"/>
      <c r="BC508" s="537"/>
      <c r="BD508" s="537"/>
      <c r="BE508" s="789"/>
      <c r="BF508" s="789"/>
      <c r="BG508" s="789"/>
      <c r="BH508" s="788"/>
      <c r="BI508" s="551"/>
      <c r="BJ508" s="791"/>
      <c r="BK508" s="790"/>
      <c r="BL508" s="790"/>
      <c r="BM508" s="790"/>
      <c r="BN508" s="790"/>
      <c r="BO508" s="790"/>
      <c r="BP508" s="790"/>
      <c r="BQ508" s="537"/>
      <c r="BR508" s="551"/>
      <c r="BS508" s="537"/>
      <c r="BT508" s="537"/>
      <c r="BU508" s="537"/>
      <c r="BV508" s="537"/>
      <c r="BW508" s="537"/>
      <c r="BX508" s="537"/>
      <c r="BY508" s="537"/>
      <c r="BZ508" s="537"/>
      <c r="CA508" s="537"/>
      <c r="CB508" s="537"/>
      <c r="CC508" s="537"/>
    </row>
    <row r="509" spans="1:81" s="571" customFormat="1" hidden="1">
      <c r="A509" s="552"/>
      <c r="B509" s="552"/>
      <c r="C509" s="552"/>
      <c r="D509" s="552"/>
      <c r="E509" s="552"/>
      <c r="F509" s="552"/>
      <c r="G509" s="552"/>
      <c r="H509" s="552"/>
      <c r="I509" s="552"/>
      <c r="J509" s="552"/>
      <c r="K509" s="552"/>
      <c r="L509" s="552"/>
      <c r="M509" s="552"/>
      <c r="N509" s="552"/>
      <c r="O509" s="552"/>
      <c r="P509" s="552"/>
      <c r="Q509" s="552"/>
      <c r="R509" s="552"/>
      <c r="S509" s="552"/>
      <c r="T509" s="552"/>
      <c r="U509" s="552"/>
      <c r="V509" s="552"/>
      <c r="W509" s="552"/>
      <c r="X509" s="552"/>
      <c r="Y509" s="552"/>
      <c r="Z509" s="552"/>
      <c r="AA509" s="552"/>
      <c r="AB509" s="552"/>
      <c r="AC509" s="552"/>
      <c r="AD509" s="552"/>
      <c r="AE509" s="551"/>
      <c r="AF509" s="551"/>
      <c r="AG509" s="614"/>
      <c r="AH509" s="641"/>
      <c r="AI509" s="552"/>
      <c r="AJ509" s="552"/>
      <c r="AK509" s="551"/>
      <c r="AL509" s="551"/>
      <c r="AM509" s="551"/>
      <c r="AN509" s="535"/>
      <c r="AO509" s="537"/>
      <c r="AP509" s="789"/>
      <c r="AQ509" s="789"/>
      <c r="AR509" s="789"/>
      <c r="AS509" s="788"/>
      <c r="AT509" s="551"/>
      <c r="AU509" s="790"/>
      <c r="AV509" s="790"/>
      <c r="AW509" s="790"/>
      <c r="AX509" s="790"/>
      <c r="AY509" s="790"/>
      <c r="AZ509" s="790"/>
      <c r="BA509" s="790"/>
      <c r="BB509" s="537"/>
      <c r="BC509" s="537"/>
      <c r="BD509" s="537"/>
      <c r="BE509" s="789"/>
      <c r="BF509" s="789"/>
      <c r="BG509" s="789"/>
      <c r="BH509" s="788"/>
      <c r="BI509" s="551"/>
      <c r="BJ509" s="791"/>
      <c r="BK509" s="790"/>
      <c r="BL509" s="790"/>
      <c r="BM509" s="790"/>
      <c r="BN509" s="790"/>
      <c r="BO509" s="790"/>
      <c r="BP509" s="790"/>
      <c r="BQ509" s="537"/>
      <c r="BR509" s="551"/>
      <c r="BS509" s="537"/>
      <c r="BT509" s="537"/>
      <c r="BU509" s="537"/>
      <c r="BV509" s="537"/>
      <c r="BW509" s="537"/>
      <c r="BX509" s="537"/>
      <c r="BY509" s="537"/>
      <c r="BZ509" s="537"/>
      <c r="CA509" s="537"/>
      <c r="CB509" s="537"/>
      <c r="CC509" s="537"/>
    </row>
    <row r="510" spans="1:81" s="571" customFormat="1" hidden="1">
      <c r="A510" s="551"/>
      <c r="B510" s="551"/>
      <c r="C510" s="2482" t="s">
        <v>591</v>
      </c>
      <c r="D510" s="2483"/>
      <c r="E510" s="762" t="s">
        <v>1540</v>
      </c>
      <c r="F510" s="781" t="s">
        <v>1541</v>
      </c>
      <c r="G510" s="650"/>
      <c r="H510" s="650"/>
      <c r="I510" s="650"/>
      <c r="J510" s="650"/>
      <c r="K510" s="650"/>
      <c r="L510" s="650"/>
      <c r="M510" s="650"/>
      <c r="N510" s="650"/>
      <c r="O510" s="650"/>
      <c r="P510" s="650"/>
      <c r="Q510" s="650"/>
      <c r="R510" s="650"/>
      <c r="S510" s="650"/>
      <c r="T510" s="650"/>
      <c r="U510" s="650"/>
      <c r="V510" s="650"/>
      <c r="W510" s="650"/>
      <c r="X510" s="650"/>
      <c r="Y510" s="650"/>
      <c r="Z510" s="650"/>
      <c r="AA510" s="650"/>
      <c r="AB510" s="650"/>
      <c r="AC510" s="792"/>
      <c r="AD510" s="715"/>
      <c r="AE510" s="715"/>
      <c r="AF510" s="715"/>
      <c r="AG510" s="793"/>
      <c r="AH510" s="793"/>
      <c r="AI510" s="793"/>
      <c r="AJ510" s="793"/>
      <c r="AK510" s="746"/>
      <c r="AL510" s="551"/>
      <c r="AM510" s="551"/>
      <c r="AN510" s="535"/>
      <c r="AO510" s="537"/>
      <c r="AP510" s="789"/>
      <c r="AQ510" s="789"/>
      <c r="AR510" s="789"/>
      <c r="AS510" s="788"/>
      <c r="AT510" s="551"/>
      <c r="AU510" s="790"/>
      <c r="AV510" s="790"/>
      <c r="AW510" s="790"/>
      <c r="AX510" s="790"/>
      <c r="AY510" s="790"/>
      <c r="AZ510" s="790"/>
      <c r="BA510" s="790"/>
      <c r="BB510" s="537"/>
      <c r="BC510" s="537"/>
      <c r="BD510" s="537"/>
      <c r="BE510" s="789"/>
      <c r="BF510" s="789"/>
      <c r="BG510" s="789"/>
      <c r="BH510" s="788"/>
      <c r="BI510" s="551"/>
      <c r="BJ510" s="791"/>
      <c r="BK510" s="790"/>
      <c r="BL510" s="790"/>
      <c r="BM510" s="790"/>
      <c r="BN510" s="790"/>
      <c r="BO510" s="790"/>
      <c r="BP510" s="790"/>
      <c r="BQ510" s="537"/>
      <c r="BR510" s="551"/>
      <c r="BS510" s="537"/>
      <c r="BT510" s="537"/>
      <c r="BU510" s="537"/>
      <c r="BV510" s="537"/>
      <c r="BW510" s="537"/>
      <c r="BX510" s="537"/>
      <c r="BY510" s="537"/>
      <c r="BZ510" s="537"/>
      <c r="CA510" s="537"/>
      <c r="CB510" s="537"/>
      <c r="CC510" s="537"/>
    </row>
    <row r="511" spans="1:81" s="571" customFormat="1" hidden="1">
      <c r="A511" s="551"/>
      <c r="B511" s="551"/>
      <c r="C511" s="763"/>
      <c r="D511" s="551"/>
      <c r="E511" s="764"/>
      <c r="F511" s="552"/>
      <c r="G511" s="552"/>
      <c r="H511" s="552"/>
      <c r="I511" s="552"/>
      <c r="J511" s="552"/>
      <c r="K511" s="552"/>
      <c r="L511" s="552"/>
      <c r="M511" s="552"/>
      <c r="N511" s="552"/>
      <c r="O511" s="552"/>
      <c r="P511" s="552"/>
      <c r="Q511" s="552"/>
      <c r="R511" s="552"/>
      <c r="S511" s="552"/>
      <c r="T511" s="552"/>
      <c r="U511" s="552"/>
      <c r="V511" s="552"/>
      <c r="W511" s="552"/>
      <c r="X511" s="552"/>
      <c r="Y511" s="552"/>
      <c r="Z511" s="552"/>
      <c r="AA511" s="552"/>
      <c r="AB511" s="552"/>
      <c r="AC511" s="552"/>
      <c r="AD511" s="551"/>
      <c r="AE511" s="551"/>
      <c r="AF511" s="551"/>
      <c r="AG511" s="552"/>
      <c r="AH511" s="552"/>
      <c r="AI511" s="552"/>
      <c r="AJ511" s="552"/>
      <c r="AK511" s="733"/>
      <c r="AL511" s="551"/>
      <c r="AM511" s="551"/>
      <c r="AN511" s="535"/>
      <c r="AO511" s="537"/>
      <c r="AP511" s="789"/>
      <c r="AQ511" s="789"/>
      <c r="AR511" s="789"/>
      <c r="AS511" s="788"/>
      <c r="AT511" s="551"/>
      <c r="AU511" s="790"/>
      <c r="AV511" s="790"/>
      <c r="AW511" s="790"/>
      <c r="AX511" s="790"/>
      <c r="AY511" s="790"/>
      <c r="AZ511" s="790"/>
      <c r="BA511" s="790"/>
      <c r="BB511" s="537"/>
      <c r="BC511" s="537"/>
      <c r="BD511" s="537"/>
      <c r="BE511" s="789"/>
      <c r="BF511" s="789"/>
      <c r="BG511" s="789"/>
      <c r="BH511" s="788"/>
      <c r="BI511" s="551"/>
      <c r="BJ511" s="791"/>
      <c r="BK511" s="790"/>
      <c r="BL511" s="790"/>
      <c r="BM511" s="790"/>
      <c r="BN511" s="790"/>
      <c r="BO511" s="790"/>
      <c r="BP511" s="790"/>
      <c r="BQ511" s="537"/>
      <c r="BR511" s="14"/>
      <c r="BS511" s="537"/>
      <c r="BT511" s="537"/>
      <c r="BU511" s="537"/>
      <c r="BV511" s="537"/>
      <c r="BW511" s="537"/>
      <c r="BX511" s="537"/>
      <c r="BY511" s="537"/>
      <c r="BZ511" s="537"/>
      <c r="CA511" s="537"/>
      <c r="CB511" s="537"/>
      <c r="CC511" s="537"/>
    </row>
    <row r="512" spans="1:81" s="571" customFormat="1" hidden="1">
      <c r="A512" s="551"/>
      <c r="B512" s="551"/>
      <c r="C512" s="2546"/>
      <c r="D512" s="2547"/>
      <c r="E512" s="773"/>
      <c r="F512" s="552" t="s">
        <v>1542</v>
      </c>
      <c r="G512" s="552"/>
      <c r="H512" s="552"/>
      <c r="I512" s="552"/>
      <c r="J512" s="552"/>
      <c r="K512" s="552"/>
      <c r="L512" s="552"/>
      <c r="M512" s="552"/>
      <c r="N512" s="552"/>
      <c r="O512" s="552"/>
      <c r="P512" s="552"/>
      <c r="Q512" s="552"/>
      <c r="R512" s="552"/>
      <c r="S512" s="552"/>
      <c r="T512" s="552"/>
      <c r="U512" s="552"/>
      <c r="V512" s="552"/>
      <c r="W512" s="552"/>
      <c r="X512" s="552"/>
      <c r="Y512" s="552"/>
      <c r="Z512" s="552"/>
      <c r="AA512" s="552"/>
      <c r="AB512" s="552"/>
      <c r="AC512" s="592"/>
      <c r="AD512" s="551"/>
      <c r="AE512" s="551"/>
      <c r="AF512" s="551"/>
      <c r="AG512" s="614">
        <f>IF($C$510="Yes",(VLOOKUP($G$513,$AO$488:$AP$491,2,FALSE)),0)</f>
        <v>0</v>
      </c>
      <c r="AH512" s="641" t="s">
        <v>1327</v>
      </c>
      <c r="AI512" s="552"/>
      <c r="AJ512" s="614"/>
      <c r="AK512" s="733"/>
      <c r="AL512" s="551"/>
      <c r="AM512" s="551"/>
      <c r="AN512" s="535"/>
      <c r="AO512" s="537"/>
      <c r="AP512" s="789"/>
      <c r="AQ512" s="789"/>
      <c r="AR512" s="789"/>
      <c r="AS512" s="788"/>
      <c r="AT512" s="551"/>
      <c r="AU512" s="790"/>
      <c r="AV512" s="790"/>
      <c r="AW512" s="790"/>
      <c r="AX512" s="790"/>
      <c r="AY512" s="790"/>
      <c r="AZ512" s="790"/>
      <c r="BA512" s="790"/>
      <c r="BB512" s="537"/>
      <c r="BC512" s="537"/>
      <c r="BD512" s="537"/>
      <c r="BE512" s="789"/>
      <c r="BF512" s="789"/>
      <c r="BG512" s="789"/>
      <c r="BH512" s="788"/>
      <c r="BI512" s="551"/>
      <c r="BJ512" s="791"/>
      <c r="BK512" s="790"/>
      <c r="BL512" s="790"/>
      <c r="BM512" s="790"/>
      <c r="BN512" s="790"/>
      <c r="BO512" s="790"/>
      <c r="BP512" s="790"/>
      <c r="BQ512" s="537"/>
      <c r="BR512" s="551"/>
      <c r="BS512" s="537"/>
      <c r="BT512" s="537"/>
      <c r="BU512" s="537"/>
      <c r="BV512" s="537"/>
      <c r="BW512" s="537"/>
      <c r="BX512" s="537"/>
      <c r="BY512" s="537"/>
      <c r="BZ512" s="537"/>
      <c r="CA512" s="537"/>
      <c r="CB512" s="537"/>
      <c r="CC512" s="537"/>
    </row>
    <row r="513" spans="1:81" s="571" customFormat="1" hidden="1">
      <c r="A513" s="551"/>
      <c r="B513" s="551"/>
      <c r="C513" s="763"/>
      <c r="D513" s="551"/>
      <c r="E513" s="764"/>
      <c r="F513" s="552"/>
      <c r="G513" s="2548" t="s">
        <v>591</v>
      </c>
      <c r="H513" s="2548"/>
      <c r="I513" s="2548"/>
      <c r="J513" s="2548"/>
      <c r="K513" s="2548"/>
      <c r="L513" s="2548"/>
      <c r="M513" s="2548"/>
      <c r="N513" s="2548"/>
      <c r="O513" s="2548"/>
      <c r="P513" s="2548"/>
      <c r="Q513" s="2548"/>
      <c r="R513" s="2548"/>
      <c r="S513" s="2548"/>
      <c r="T513" s="2548"/>
      <c r="U513" s="2548"/>
      <c r="V513" s="2548"/>
      <c r="W513" s="2548"/>
      <c r="X513" s="2548"/>
      <c r="Y513" s="2548"/>
      <c r="Z513" s="2548"/>
      <c r="AA513" s="2548"/>
      <c r="AB513" s="2548"/>
      <c r="AC513" s="2548"/>
      <c r="AD513" s="2548"/>
      <c r="AE513" s="2548"/>
      <c r="AF513" s="2548"/>
      <c r="AG513" s="551"/>
      <c r="AH513" s="551"/>
      <c r="AI513" s="551"/>
      <c r="AJ513" s="552"/>
      <c r="AK513" s="733"/>
      <c r="AL513" s="551"/>
      <c r="AM513" s="551"/>
      <c r="AN513" s="535"/>
      <c r="AO513" s="537"/>
      <c r="AP513" s="789"/>
      <c r="AQ513" s="789"/>
      <c r="AR513" s="789"/>
      <c r="AS513" s="788"/>
      <c r="AT513" s="551"/>
      <c r="AU513" s="790"/>
      <c r="AV513" s="790"/>
      <c r="AW513" s="790"/>
      <c r="AX513" s="790"/>
      <c r="AY513" s="790"/>
      <c r="AZ513" s="790"/>
      <c r="BA513" s="790"/>
      <c r="BB513" s="537"/>
      <c r="BC513" s="537"/>
      <c r="BD513" s="537"/>
      <c r="BE513" s="789"/>
      <c r="BF513" s="789"/>
      <c r="BG513" s="789"/>
      <c r="BH513" s="788"/>
      <c r="BI513" s="551"/>
      <c r="BJ513" s="791"/>
      <c r="BK513" s="790"/>
      <c r="BL513" s="790"/>
      <c r="BM513" s="790"/>
      <c r="BN513" s="790"/>
      <c r="BO513" s="790"/>
      <c r="BP513" s="790"/>
      <c r="BQ513" s="537"/>
      <c r="BR513" s="551"/>
      <c r="BS513" s="537"/>
      <c r="BT513" s="537"/>
      <c r="BU513" s="537"/>
      <c r="BV513" s="537"/>
      <c r="BW513" s="537"/>
      <c r="BX513" s="537"/>
      <c r="BY513" s="537"/>
      <c r="BZ513" s="537"/>
      <c r="CA513" s="537"/>
      <c r="CB513" s="537"/>
      <c r="CC513" s="537"/>
    </row>
    <row r="514" spans="1:81" s="571" customFormat="1" hidden="1">
      <c r="A514" s="551"/>
      <c r="B514" s="551"/>
      <c r="C514" s="732"/>
      <c r="F514" s="14"/>
      <c r="G514" s="14"/>
      <c r="H514" s="14"/>
      <c r="I514" s="14"/>
      <c r="J514" s="14"/>
      <c r="K514" s="14"/>
      <c r="L514" s="14"/>
      <c r="M514" s="14"/>
      <c r="N514" s="14"/>
      <c r="O514" s="14"/>
      <c r="P514" s="14"/>
      <c r="Q514" s="14"/>
      <c r="R514" s="14"/>
      <c r="S514" s="14"/>
      <c r="T514" s="14"/>
      <c r="U514" s="14"/>
      <c r="V514" s="14"/>
      <c r="W514" s="14"/>
      <c r="X514" s="14"/>
      <c r="Y514" s="14"/>
      <c r="Z514" s="14"/>
      <c r="AA514" s="14"/>
      <c r="AB514" s="14"/>
      <c r="AC514" s="14"/>
      <c r="AD514" s="551"/>
      <c r="AE514" s="551"/>
      <c r="AF514" s="551"/>
      <c r="AG514" s="14"/>
      <c r="AH514" s="14"/>
      <c r="AI514" s="14"/>
      <c r="AJ514" s="14"/>
      <c r="AK514" s="733"/>
      <c r="AL514" s="551"/>
      <c r="AM514" s="551"/>
      <c r="AN514" s="535"/>
      <c r="AO514" s="537"/>
      <c r="AP514" s="789"/>
      <c r="AQ514" s="789"/>
      <c r="AR514" s="789"/>
      <c r="AS514" s="788"/>
      <c r="AT514" s="551"/>
      <c r="AU514" s="790"/>
      <c r="AV514" s="790"/>
      <c r="AW514" s="790"/>
      <c r="AX514" s="790"/>
      <c r="AY514" s="790"/>
      <c r="AZ514" s="790"/>
      <c r="BA514" s="790"/>
      <c r="BB514" s="537"/>
      <c r="BC514" s="537"/>
      <c r="BD514" s="537"/>
      <c r="BE514" s="789"/>
      <c r="BF514" s="789"/>
      <c r="BG514" s="789"/>
      <c r="BH514" s="788"/>
      <c r="BI514" s="551"/>
      <c r="BJ514" s="791"/>
      <c r="BK514" s="790"/>
      <c r="BL514" s="790"/>
      <c r="BM514" s="790"/>
      <c r="BN514" s="790"/>
      <c r="BO514" s="790"/>
      <c r="BP514" s="790"/>
      <c r="BQ514" s="537"/>
      <c r="BR514" s="551"/>
      <c r="BS514" s="537"/>
      <c r="BT514" s="537"/>
      <c r="BU514" s="537"/>
      <c r="BV514" s="537"/>
      <c r="BW514" s="537"/>
      <c r="BX514" s="537"/>
      <c r="BY514" s="537"/>
      <c r="BZ514" s="537"/>
      <c r="CA514" s="537"/>
      <c r="CB514" s="537"/>
      <c r="CC514" s="537"/>
    </row>
    <row r="515" spans="1:81" s="571" customFormat="1" ht="12.75" hidden="1" customHeight="1">
      <c r="A515" s="14"/>
      <c r="B515" s="551"/>
      <c r="C515" s="2486" t="s">
        <v>591</v>
      </c>
      <c r="D515" s="2487"/>
      <c r="F515" s="552" t="s">
        <v>1543</v>
      </c>
      <c r="G515" s="552"/>
      <c r="H515" s="552"/>
      <c r="I515" s="552"/>
      <c r="J515" s="552"/>
      <c r="K515" s="552"/>
      <c r="L515" s="552"/>
      <c r="M515" s="552"/>
      <c r="N515" s="552"/>
      <c r="O515" s="552"/>
      <c r="P515" s="552"/>
      <c r="Q515" s="552"/>
      <c r="R515" s="552"/>
      <c r="S515" s="552"/>
      <c r="T515" s="552"/>
      <c r="U515" s="552"/>
      <c r="V515" s="552"/>
      <c r="W515" s="552"/>
      <c r="X515" s="552"/>
      <c r="Y515" s="552"/>
      <c r="Z515" s="552"/>
      <c r="AA515" s="552"/>
      <c r="AB515" s="552"/>
      <c r="AC515" s="592"/>
      <c r="AD515" s="551"/>
      <c r="AE515" s="551"/>
      <c r="AF515" s="551"/>
      <c r="AG515" s="614">
        <f>IF(AND($C$515="Yes",$C$510="Yes"),2,0)</f>
        <v>0</v>
      </c>
      <c r="AH515" s="641" t="s">
        <v>1327</v>
      </c>
      <c r="AI515" s="552"/>
      <c r="AJ515" s="595"/>
      <c r="AK515" s="733"/>
      <c r="AL515" s="551"/>
      <c r="AM515" s="551"/>
      <c r="AN515" s="535"/>
      <c r="AO515" s="537"/>
      <c r="AP515" s="789"/>
      <c r="AQ515" s="789"/>
      <c r="AR515" s="789"/>
      <c r="AS515" s="788"/>
      <c r="AT515" s="551"/>
      <c r="AU515" s="790"/>
      <c r="AV515" s="790"/>
      <c r="AW515" s="790"/>
      <c r="AX515" s="790"/>
      <c r="AY515" s="790"/>
      <c r="AZ515" s="790"/>
      <c r="BA515" s="790"/>
      <c r="BB515" s="537"/>
      <c r="BC515" s="537"/>
      <c r="BD515" s="537"/>
      <c r="BE515" s="789"/>
      <c r="BF515" s="789"/>
      <c r="BG515" s="789"/>
      <c r="BH515" s="788"/>
      <c r="BI515" s="551"/>
      <c r="BJ515" s="791"/>
      <c r="BK515" s="790"/>
      <c r="BL515" s="790"/>
      <c r="BM515" s="790"/>
      <c r="BN515" s="790"/>
      <c r="BO515" s="790"/>
      <c r="BP515" s="790"/>
      <c r="BQ515" s="537"/>
      <c r="BR515" s="551"/>
      <c r="BS515" s="537"/>
      <c r="BT515" s="537"/>
      <c r="BU515" s="537"/>
      <c r="BV515" s="537"/>
      <c r="BW515" s="537"/>
      <c r="BX515" s="537"/>
      <c r="BY515" s="537"/>
      <c r="BZ515" s="537"/>
      <c r="CA515" s="537"/>
      <c r="CB515" s="537"/>
      <c r="CC515" s="537"/>
    </row>
    <row r="516" spans="1:81" s="571" customFormat="1" hidden="1">
      <c r="A516" s="14"/>
      <c r="B516" s="551"/>
      <c r="C516" s="782"/>
      <c r="D516" s="731"/>
      <c r="E516" s="731"/>
      <c r="F516" s="552"/>
      <c r="G516" s="552" t="s">
        <v>1544</v>
      </c>
      <c r="H516" s="552"/>
      <c r="I516" s="552"/>
      <c r="J516" s="552"/>
      <c r="K516" s="552"/>
      <c r="L516" s="552"/>
      <c r="M516" s="552"/>
      <c r="N516" s="552"/>
      <c r="O516" s="552"/>
      <c r="P516" s="552"/>
      <c r="Q516" s="552"/>
      <c r="R516" s="552"/>
      <c r="S516" s="552"/>
      <c r="T516" s="552"/>
      <c r="U516" s="552"/>
      <c r="V516" s="552"/>
      <c r="W516" s="552"/>
      <c r="X516" s="552"/>
      <c r="Y516" s="552"/>
      <c r="Z516" s="552"/>
      <c r="AA516" s="552"/>
      <c r="AB516" s="552"/>
      <c r="AC516" s="592"/>
      <c r="AD516" s="551"/>
      <c r="AE516" s="551"/>
      <c r="AF516" s="551"/>
      <c r="AG516" s="595"/>
      <c r="AH516" s="595"/>
      <c r="AI516" s="595"/>
      <c r="AJ516" s="595"/>
      <c r="AK516" s="733"/>
      <c r="AL516" s="551"/>
      <c r="AM516" s="551"/>
      <c r="AN516" s="598"/>
      <c r="AO516" s="537"/>
      <c r="AP516" s="789"/>
      <c r="AQ516" s="789"/>
      <c r="AR516" s="789"/>
      <c r="AS516" s="788"/>
      <c r="AT516" s="551"/>
      <c r="AU516" s="790"/>
      <c r="AV516" s="790"/>
      <c r="AW516" s="790"/>
      <c r="AX516" s="790"/>
      <c r="AY516" s="790"/>
      <c r="AZ516" s="790"/>
      <c r="BA516" s="790"/>
      <c r="BB516" s="537"/>
      <c r="BC516" s="537"/>
      <c r="BD516" s="537"/>
      <c r="BE516" s="789"/>
      <c r="BF516" s="789"/>
      <c r="BG516" s="789"/>
      <c r="BH516" s="788"/>
      <c r="BI516" s="551"/>
      <c r="BJ516" s="791"/>
      <c r="BK516" s="790"/>
      <c r="BL516" s="790"/>
      <c r="BM516" s="790"/>
      <c r="BN516" s="790"/>
      <c r="BO516" s="790"/>
      <c r="BP516" s="790"/>
      <c r="BQ516" s="537"/>
      <c r="BR516" s="551"/>
      <c r="BS516" s="537"/>
      <c r="BT516" s="537"/>
      <c r="BU516" s="537"/>
      <c r="BV516" s="537"/>
      <c r="BW516" s="537"/>
      <c r="BX516" s="537"/>
      <c r="BY516" s="537"/>
      <c r="BZ516" s="537"/>
      <c r="CA516" s="537"/>
      <c r="CB516" s="537"/>
      <c r="CC516" s="537"/>
    </row>
    <row r="517" spans="1:81" s="551" customFormat="1" ht="12.75" hidden="1" customHeight="1">
      <c r="A517" s="14"/>
      <c r="C517" s="782"/>
      <c r="D517" s="731"/>
      <c r="E517" s="731"/>
      <c r="F517" s="552"/>
      <c r="G517" s="552" t="s">
        <v>1545</v>
      </c>
      <c r="H517" s="552"/>
      <c r="I517" s="552"/>
      <c r="J517" s="552"/>
      <c r="K517" s="552"/>
      <c r="L517" s="552"/>
      <c r="M517" s="552"/>
      <c r="N517" s="552"/>
      <c r="O517" s="552"/>
      <c r="P517" s="552"/>
      <c r="Q517" s="552"/>
      <c r="R517" s="552"/>
      <c r="S517" s="552"/>
      <c r="T517" s="552"/>
      <c r="U517" s="552"/>
      <c r="V517" s="552"/>
      <c r="W517" s="552"/>
      <c r="X517" s="552"/>
      <c r="Y517" s="552"/>
      <c r="Z517" s="552"/>
      <c r="AA517" s="552"/>
      <c r="AB517" s="552"/>
      <c r="AC517" s="592"/>
      <c r="AG517" s="595"/>
      <c r="AH517" s="595"/>
      <c r="AI517" s="595"/>
      <c r="AJ517" s="595"/>
      <c r="AK517" s="733"/>
      <c r="AN517" s="536"/>
      <c r="AP517" s="537"/>
      <c r="AQ517" s="537"/>
      <c r="AR517" s="537"/>
    </row>
    <row r="518" spans="1:81" s="551" customFormat="1" ht="12.75" hidden="1" customHeight="1">
      <c r="A518" s="638"/>
      <c r="B518" s="14"/>
      <c r="C518" s="794"/>
      <c r="D518" s="14"/>
      <c r="G518" s="612"/>
      <c r="H518" s="612"/>
      <c r="I518" s="612"/>
      <c r="J518" s="612"/>
      <c r="K518" s="612"/>
      <c r="L518" s="612"/>
      <c r="M518" s="612"/>
      <c r="N518" s="612"/>
      <c r="O518" s="612"/>
      <c r="P518" s="612"/>
      <c r="Q518" s="612"/>
      <c r="R518" s="612"/>
      <c r="S518" s="612"/>
      <c r="T518" s="612"/>
      <c r="U518" s="612"/>
      <c r="V518" s="612"/>
      <c r="W518" s="612"/>
      <c r="X518" s="612"/>
      <c r="Y518" s="612"/>
      <c r="Z518" s="612"/>
      <c r="AA518" s="612"/>
      <c r="AB518" s="612"/>
      <c r="AC518" s="612"/>
      <c r="AD518" s="612"/>
      <c r="AE518" s="612"/>
      <c r="AF518" s="612"/>
      <c r="AG518" s="592"/>
      <c r="AH518" s="592"/>
      <c r="AI518" s="592"/>
      <c r="AJ518" s="592"/>
      <c r="AK518" s="795"/>
      <c r="AL518" s="14"/>
      <c r="AM518" s="14"/>
      <c r="AN518" s="536"/>
      <c r="AO518" s="537"/>
      <c r="AP518" s="537"/>
      <c r="AQ518" s="537"/>
      <c r="AR518" s="537"/>
    </row>
    <row r="519" spans="1:81" s="551" customFormat="1" ht="12.75" hidden="1" customHeight="1">
      <c r="A519" s="638"/>
      <c r="C519" s="2486" t="s">
        <v>591</v>
      </c>
      <c r="D519" s="2487"/>
      <c r="F519" s="796" t="s">
        <v>1546</v>
      </c>
      <c r="G519" s="2460" t="s">
        <v>1547</v>
      </c>
      <c r="H519" s="2460"/>
      <c r="I519" s="2460"/>
      <c r="J519" s="2460"/>
      <c r="K519" s="2460"/>
      <c r="L519" s="2460"/>
      <c r="M519" s="2460"/>
      <c r="N519" s="2460"/>
      <c r="O519" s="2460"/>
      <c r="P519" s="2460"/>
      <c r="Q519" s="2460"/>
      <c r="R519" s="2460"/>
      <c r="S519" s="2460"/>
      <c r="T519" s="2460"/>
      <c r="U519" s="2460"/>
      <c r="V519" s="2460"/>
      <c r="W519" s="2460"/>
      <c r="X519" s="2460"/>
      <c r="Y519" s="2460"/>
      <c r="Z519" s="2460"/>
      <c r="AA519" s="2460"/>
      <c r="AB519" s="2460"/>
      <c r="AC519" s="2460"/>
      <c r="AD519" s="2460"/>
      <c r="AE519" s="2460"/>
      <c r="AF519" s="2460"/>
      <c r="AG519" s="614">
        <f>IF(AND($C$519="Yes",$C$510="Yes"),2,0)</f>
        <v>0</v>
      </c>
      <c r="AH519" s="641" t="s">
        <v>1327</v>
      </c>
      <c r="AI519" s="552"/>
      <c r="AJ519" s="595"/>
      <c r="AK519" s="733"/>
      <c r="AN519" s="536"/>
      <c r="AZ519" s="540"/>
      <c r="BC519" s="544"/>
      <c r="BD519" s="540"/>
      <c r="BE519" s="540"/>
      <c r="BF519" s="540"/>
      <c r="BM519" s="537"/>
      <c r="BN519" s="540"/>
      <c r="BO519" s="537"/>
      <c r="BP519" s="540"/>
      <c r="BQ519" s="540"/>
      <c r="BR519" s="540"/>
      <c r="BS519" s="540"/>
      <c r="BT519" s="540"/>
      <c r="BU519" s="540"/>
      <c r="BV519" s="537"/>
      <c r="BW519" s="537"/>
      <c r="BX519" s="537"/>
      <c r="BY519" s="537"/>
      <c r="BZ519" s="537"/>
      <c r="CA519" s="537"/>
      <c r="CB519" s="537"/>
      <c r="CC519" s="537"/>
    </row>
    <row r="520" spans="1:81" s="551" customFormat="1" ht="12.75" hidden="1" customHeight="1">
      <c r="C520" s="797"/>
      <c r="D520" s="728"/>
      <c r="E520" s="766"/>
      <c r="F520" s="727"/>
      <c r="G520" s="2479"/>
      <c r="H520" s="2479"/>
      <c r="I520" s="2479"/>
      <c r="J520" s="2479"/>
      <c r="K520" s="2479"/>
      <c r="L520" s="2479"/>
      <c r="M520" s="2479"/>
      <c r="N520" s="2479"/>
      <c r="O520" s="2479"/>
      <c r="P520" s="2479"/>
      <c r="Q520" s="2479"/>
      <c r="R520" s="2479"/>
      <c r="S520" s="2479"/>
      <c r="T520" s="2479"/>
      <c r="U520" s="2479"/>
      <c r="V520" s="2479"/>
      <c r="W520" s="2479"/>
      <c r="X520" s="2479"/>
      <c r="Y520" s="2479"/>
      <c r="Z520" s="2479"/>
      <c r="AA520" s="2479"/>
      <c r="AB520" s="2479"/>
      <c r="AC520" s="2479"/>
      <c r="AD520" s="2479"/>
      <c r="AE520" s="2479"/>
      <c r="AF520" s="2479"/>
      <c r="AG520" s="659"/>
      <c r="AH520" s="659"/>
      <c r="AI520" s="659"/>
      <c r="AJ520" s="659"/>
      <c r="AK520" s="743"/>
      <c r="AN520" s="536"/>
      <c r="AZ520" s="540"/>
      <c r="BC520" s="544"/>
      <c r="BD520" s="540"/>
      <c r="BE520" s="540"/>
      <c r="BF520" s="540"/>
      <c r="BM520" s="596"/>
      <c r="BN520" s="596"/>
      <c r="BO520" s="596"/>
      <c r="BP520" s="596"/>
      <c r="BQ520" s="596"/>
      <c r="BR520" s="596"/>
      <c r="BS520" s="596"/>
      <c r="BT520" s="596"/>
      <c r="BU520" s="596"/>
      <c r="BV520" s="596"/>
      <c r="BW520" s="596"/>
      <c r="BX520" s="596"/>
      <c r="BY520" s="596"/>
      <c r="BZ520" s="596"/>
      <c r="CA520" s="596"/>
      <c r="CB520" s="596"/>
      <c r="CC520" s="596"/>
    </row>
    <row r="521" spans="1:81" s="551" customFormat="1" ht="12.75" hidden="1" customHeight="1">
      <c r="C521" s="537"/>
      <c r="E521" s="764"/>
      <c r="F521" s="604"/>
      <c r="G521" s="574"/>
      <c r="H521" s="574"/>
      <c r="I521" s="574"/>
      <c r="J521" s="574"/>
      <c r="K521" s="574"/>
      <c r="L521" s="574"/>
      <c r="M521" s="574"/>
      <c r="N521" s="574"/>
      <c r="O521" s="574"/>
      <c r="P521" s="574"/>
      <c r="Q521" s="574"/>
      <c r="R521" s="574"/>
      <c r="S521" s="574"/>
      <c r="T521" s="574"/>
      <c r="U521" s="574"/>
      <c r="V521" s="574"/>
      <c r="W521" s="574"/>
      <c r="X521" s="574"/>
      <c r="Y521" s="574"/>
      <c r="Z521" s="574"/>
      <c r="AA521" s="574"/>
      <c r="AB521" s="574"/>
      <c r="AC521" s="574"/>
      <c r="AD521" s="574"/>
      <c r="AE521" s="574"/>
      <c r="AF521" s="574"/>
      <c r="AG521" s="552"/>
      <c r="AH521" s="552"/>
      <c r="AI521" s="552"/>
      <c r="AJ521" s="552"/>
      <c r="AN521" s="536"/>
      <c r="AP521" s="540"/>
      <c r="AQ521" s="540"/>
      <c r="AR521" s="540"/>
      <c r="AS521" s="540"/>
      <c r="AT521" s="540"/>
      <c r="AU521" s="540"/>
      <c r="AV521" s="540"/>
      <c r="AW521" s="540"/>
      <c r="AX521" s="540"/>
      <c r="AY521" s="540"/>
      <c r="AZ521" s="540"/>
      <c r="BA521" s="540"/>
      <c r="BB521" s="540"/>
      <c r="BC521" s="540"/>
      <c r="BD521" s="540"/>
      <c r="BE521" s="540"/>
      <c r="BF521" s="540"/>
      <c r="BG521" s="540"/>
      <c r="BH521" s="540"/>
      <c r="BI521" s="544"/>
      <c r="BJ521" s="798"/>
      <c r="BK521" s="798"/>
      <c r="BM521" s="596"/>
      <c r="BN521" s="596"/>
      <c r="BO521" s="596"/>
      <c r="BP521" s="596"/>
      <c r="BQ521" s="596"/>
      <c r="BR521" s="596"/>
      <c r="BS521" s="596"/>
      <c r="BT521" s="596"/>
      <c r="BU521" s="596"/>
      <c r="BV521" s="596"/>
      <c r="BW521" s="596"/>
      <c r="BX521" s="596"/>
      <c r="BY521" s="596"/>
      <c r="BZ521" s="596"/>
      <c r="CA521" s="596"/>
      <c r="CB521" s="596"/>
      <c r="CC521" s="596"/>
    </row>
    <row r="522" spans="1:81" s="551" customFormat="1" ht="12.75" hidden="1" customHeight="1">
      <c r="C522" s="799" t="s">
        <v>1548</v>
      </c>
      <c r="D522" s="715"/>
      <c r="E522" s="800"/>
      <c r="F522" s="801"/>
      <c r="G522" s="802"/>
      <c r="H522" s="802"/>
      <c r="I522" s="802"/>
      <c r="J522" s="802"/>
      <c r="K522" s="802"/>
      <c r="L522" s="802"/>
      <c r="M522" s="802"/>
      <c r="N522" s="802"/>
      <c r="O522" s="802"/>
      <c r="P522" s="802"/>
      <c r="Q522" s="802"/>
      <c r="R522" s="802"/>
      <c r="S522" s="802"/>
      <c r="T522" s="802"/>
      <c r="U522" s="802"/>
      <c r="V522" s="802"/>
      <c r="W522" s="802"/>
      <c r="X522" s="802"/>
      <c r="Y522" s="802"/>
      <c r="Z522" s="802"/>
      <c r="AA522" s="802"/>
      <c r="AB522" s="802"/>
      <c r="AC522" s="802"/>
      <c r="AD522" s="802"/>
      <c r="AE522" s="802"/>
      <c r="AF522" s="802"/>
      <c r="AG522" s="650"/>
      <c r="AH522" s="650"/>
      <c r="AI522" s="650"/>
      <c r="AJ522" s="650"/>
      <c r="AK522" s="746"/>
      <c r="AN522" s="598"/>
      <c r="AP522" s="540"/>
      <c r="AQ522" s="540"/>
      <c r="AR522" s="540"/>
      <c r="AS522" s="540"/>
      <c r="AT522" s="540"/>
      <c r="AU522" s="540"/>
      <c r="AV522" s="540"/>
      <c r="AW522" s="540"/>
      <c r="AX522" s="540"/>
      <c r="AY522" s="540"/>
      <c r="AZ522" s="540"/>
      <c r="BA522" s="540"/>
      <c r="BB522" s="540"/>
      <c r="BC522" s="540"/>
      <c r="BD522" s="540"/>
      <c r="BE522" s="540"/>
      <c r="BF522" s="540"/>
      <c r="BG522" s="540"/>
      <c r="BH522" s="540"/>
      <c r="BI522" s="638"/>
      <c r="BJ522" s="798"/>
      <c r="BK522" s="798"/>
      <c r="BM522" s="596"/>
      <c r="BN522" s="596"/>
      <c r="BO522" s="596"/>
      <c r="BP522" s="596"/>
      <c r="BQ522" s="596"/>
      <c r="BR522" s="596"/>
      <c r="BS522" s="596"/>
      <c r="BT522" s="596"/>
      <c r="BU522" s="596"/>
      <c r="BV522" s="596"/>
      <c r="BW522" s="596"/>
      <c r="BX522" s="596"/>
      <c r="BY522" s="596"/>
      <c r="BZ522" s="596"/>
      <c r="CA522" s="596"/>
      <c r="CB522" s="596"/>
      <c r="CC522" s="596"/>
    </row>
    <row r="523" spans="1:81" s="551" customFormat="1" ht="12.75" hidden="1" customHeight="1">
      <c r="C523" s="2488" t="s">
        <v>591</v>
      </c>
      <c r="D523" s="2489"/>
      <c r="E523" s="803" t="s">
        <v>1549</v>
      </c>
      <c r="F523" s="772" t="s">
        <v>1550</v>
      </c>
      <c r="G523" s="574"/>
      <c r="H523" s="574"/>
      <c r="I523" s="574"/>
      <c r="J523" s="574"/>
      <c r="K523" s="574"/>
      <c r="L523" s="574"/>
      <c r="M523" s="574"/>
      <c r="N523" s="574"/>
      <c r="O523" s="574"/>
      <c r="P523" s="574"/>
      <c r="Q523" s="574"/>
      <c r="R523" s="574"/>
      <c r="S523" s="574"/>
      <c r="T523" s="574"/>
      <c r="U523" s="574"/>
      <c r="V523" s="574"/>
      <c r="W523" s="574"/>
      <c r="X523" s="574"/>
      <c r="Y523" s="574"/>
      <c r="Z523" s="574"/>
      <c r="AA523" s="574"/>
      <c r="AB523" s="574"/>
      <c r="AC523" s="574"/>
      <c r="AD523" s="574"/>
      <c r="AE523" s="574"/>
      <c r="AF523" s="574"/>
      <c r="AG523" s="614">
        <f>IF(C$523="Yes",(VLOOKUP(F$524,$AO$494:$AP$497,2,FALSE)),0)</f>
        <v>0</v>
      </c>
      <c r="AH523" s="641" t="s">
        <v>1327</v>
      </c>
      <c r="AI523" s="552"/>
      <c r="AJ523" s="552"/>
      <c r="AK523" s="733"/>
      <c r="AN523" s="598"/>
      <c r="AP523" s="540"/>
      <c r="AQ523" s="540"/>
      <c r="AR523" s="540"/>
      <c r="AS523" s="540"/>
      <c r="AT523" s="540"/>
      <c r="AU523" s="540"/>
      <c r="AV523" s="540"/>
      <c r="AW523" s="540"/>
      <c r="AX523" s="540"/>
      <c r="AY523" s="540"/>
      <c r="AZ523" s="540"/>
      <c r="BA523" s="540"/>
      <c r="BB523" s="540"/>
      <c r="BC523" s="540"/>
      <c r="BD523" s="540"/>
      <c r="BE523" s="540"/>
      <c r="BF523" s="540"/>
      <c r="BG523" s="540"/>
      <c r="BH523" s="540"/>
      <c r="BI523" s="638"/>
      <c r="BJ523" s="798"/>
      <c r="BK523" s="798"/>
      <c r="BM523" s="537"/>
      <c r="BN523" s="537"/>
      <c r="BO523" s="537"/>
      <c r="BP523" s="537"/>
      <c r="BQ523" s="537"/>
      <c r="BR523" s="537"/>
      <c r="BS523" s="537"/>
      <c r="BT523" s="537"/>
      <c r="BU523" s="537"/>
      <c r="BV523" s="537"/>
      <c r="BW523" s="537"/>
      <c r="BX523" s="537"/>
      <c r="BY523" s="537"/>
      <c r="BZ523" s="537"/>
      <c r="CA523" s="537"/>
      <c r="CB523" s="537"/>
      <c r="CC523" s="537"/>
    </row>
    <row r="524" spans="1:81" s="551" customFormat="1" ht="12.75" hidden="1" customHeight="1">
      <c r="C524" s="719"/>
      <c r="E524" s="764"/>
      <c r="F524" s="2490" t="s">
        <v>591</v>
      </c>
      <c r="G524" s="2490"/>
      <c r="H524" s="2490"/>
      <c r="I524" s="2490"/>
      <c r="J524" s="2490"/>
      <c r="K524" s="2490"/>
      <c r="L524" s="2490"/>
      <c r="M524" s="2490"/>
      <c r="N524" s="2490"/>
      <c r="O524" s="2490"/>
      <c r="P524" s="2490"/>
      <c r="Q524" s="2490"/>
      <c r="R524" s="2490"/>
      <c r="S524" s="2490"/>
      <c r="T524" s="2490"/>
      <c r="U524" s="2490"/>
      <c r="V524" s="2490"/>
      <c r="W524" s="2490"/>
      <c r="X524" s="2490"/>
      <c r="Y524" s="2490"/>
      <c r="Z524" s="2490"/>
      <c r="AA524" s="2490"/>
      <c r="AB524" s="2490"/>
      <c r="AC524" s="2490"/>
      <c r="AD524" s="2490"/>
      <c r="AE524" s="2490"/>
      <c r="AF524" s="2490"/>
      <c r="AG524" s="552"/>
      <c r="AH524" s="552"/>
      <c r="AI524" s="552"/>
      <c r="AJ524" s="552"/>
      <c r="AK524" s="733"/>
      <c r="AN524" s="598"/>
      <c r="BM524" s="537"/>
      <c r="BN524" s="537"/>
      <c r="BO524" s="537"/>
      <c r="BP524" s="537"/>
      <c r="BQ524" s="537"/>
      <c r="BR524" s="537"/>
      <c r="BS524" s="537"/>
      <c r="BT524" s="537"/>
      <c r="BU524" s="537"/>
      <c r="BV524" s="537"/>
      <c r="BW524" s="537"/>
      <c r="BX524" s="537"/>
      <c r="BY524" s="537"/>
      <c r="BZ524" s="537"/>
      <c r="CA524" s="537"/>
      <c r="CB524" s="537"/>
      <c r="CC524" s="537"/>
    </row>
    <row r="525" spans="1:81" s="551" customFormat="1" ht="12.75" hidden="1" customHeight="1">
      <c r="C525" s="797"/>
      <c r="D525" s="728"/>
      <c r="E525" s="766"/>
      <c r="F525" s="2491"/>
      <c r="G525" s="2491"/>
      <c r="H525" s="2491"/>
      <c r="I525" s="2491"/>
      <c r="J525" s="2491"/>
      <c r="K525" s="2491"/>
      <c r="L525" s="2491"/>
      <c r="M525" s="2491"/>
      <c r="N525" s="2491"/>
      <c r="O525" s="2491"/>
      <c r="P525" s="2491"/>
      <c r="Q525" s="2491"/>
      <c r="R525" s="2491"/>
      <c r="S525" s="2491"/>
      <c r="T525" s="2491"/>
      <c r="U525" s="2491"/>
      <c r="V525" s="2491"/>
      <c r="W525" s="2491"/>
      <c r="X525" s="2491"/>
      <c r="Y525" s="2491"/>
      <c r="Z525" s="2491"/>
      <c r="AA525" s="2491"/>
      <c r="AB525" s="2491"/>
      <c r="AC525" s="2491"/>
      <c r="AD525" s="2491"/>
      <c r="AE525" s="2491"/>
      <c r="AF525" s="2491"/>
      <c r="AG525" s="659"/>
      <c r="AH525" s="659"/>
      <c r="AI525" s="659"/>
      <c r="AJ525" s="659"/>
      <c r="AK525" s="743"/>
      <c r="AN525" s="598"/>
      <c r="BM525" s="537"/>
      <c r="BN525" s="537"/>
      <c r="BO525" s="537"/>
      <c r="BP525" s="537"/>
      <c r="BQ525" s="537"/>
      <c r="BR525" s="537"/>
      <c r="BS525" s="537"/>
      <c r="BT525" s="537"/>
      <c r="BU525" s="537"/>
      <c r="BV525" s="537"/>
      <c r="BW525" s="537"/>
      <c r="BX525" s="537"/>
      <c r="BY525" s="537"/>
      <c r="BZ525" s="537"/>
      <c r="CA525" s="537"/>
      <c r="CB525" s="537"/>
      <c r="CC525" s="537"/>
    </row>
    <row r="526" spans="1:81" s="551" customFormat="1" ht="12.75" hidden="1" customHeight="1">
      <c r="A526" s="638"/>
      <c r="C526" s="552"/>
      <c r="E526" s="552"/>
      <c r="F526" s="772"/>
      <c r="G526" s="552"/>
      <c r="H526" s="552"/>
      <c r="I526" s="552"/>
      <c r="J526" s="552"/>
      <c r="K526" s="552"/>
      <c r="L526" s="552"/>
      <c r="M526" s="552"/>
      <c r="N526" s="552"/>
      <c r="O526" s="552"/>
      <c r="P526" s="552"/>
      <c r="Q526" s="552"/>
      <c r="R526" s="552"/>
      <c r="S526" s="552"/>
      <c r="T526" s="552"/>
      <c r="U526" s="552"/>
      <c r="V526" s="552"/>
      <c r="W526" s="552"/>
      <c r="X526" s="552"/>
      <c r="Y526" s="552"/>
      <c r="Z526" s="552"/>
      <c r="AA526" s="552"/>
      <c r="AB526" s="552"/>
      <c r="AC526" s="552"/>
      <c r="AD526" s="617"/>
      <c r="AE526" s="552"/>
      <c r="AF526" s="552"/>
      <c r="AG526" s="552"/>
      <c r="AH526" s="552"/>
      <c r="AN526" s="598"/>
      <c r="BM526" s="537"/>
      <c r="BN526" s="537"/>
      <c r="BO526" s="537"/>
      <c r="BP526" s="537"/>
      <c r="BQ526" s="537"/>
      <c r="BR526" s="537"/>
      <c r="BS526" s="537"/>
      <c r="BT526" s="537"/>
      <c r="BU526" s="537"/>
      <c r="BV526" s="537"/>
      <c r="BW526" s="537"/>
      <c r="BX526" s="537"/>
      <c r="BY526" s="537"/>
      <c r="BZ526" s="537"/>
      <c r="CA526" s="537"/>
      <c r="CB526" s="537"/>
      <c r="CC526" s="537"/>
    </row>
    <row r="527" spans="1:81" s="551" customFormat="1" ht="12.75" hidden="1" customHeight="1">
      <c r="A527" s="638"/>
      <c r="B527" s="551" t="s">
        <v>1551</v>
      </c>
      <c r="C527" s="552"/>
      <c r="E527" s="552"/>
      <c r="F527" s="552"/>
      <c r="G527" s="552"/>
      <c r="H527" s="552"/>
      <c r="I527" s="552"/>
      <c r="J527" s="552"/>
      <c r="K527" s="552"/>
      <c r="L527" s="552"/>
      <c r="M527" s="552"/>
      <c r="N527" s="552"/>
      <c r="O527" s="552"/>
      <c r="P527" s="552"/>
      <c r="Q527" s="552"/>
      <c r="R527" s="552"/>
      <c r="S527" s="552"/>
      <c r="T527" s="552"/>
      <c r="U527" s="552"/>
      <c r="V527" s="552"/>
      <c r="W527" s="552"/>
      <c r="X527" s="552"/>
      <c r="Y527" s="552"/>
      <c r="Z527" s="552"/>
      <c r="AA527" s="552"/>
      <c r="AB527" s="552"/>
      <c r="AC527" s="552"/>
      <c r="AD527" s="617"/>
      <c r="AE527" s="552"/>
      <c r="AF527" s="552"/>
      <c r="AG527" s="552"/>
      <c r="AH527" s="552"/>
      <c r="AN527" s="598"/>
      <c r="AP527" s="787"/>
      <c r="AQ527" s="787"/>
      <c r="AR527" s="787"/>
      <c r="AS527" s="787"/>
      <c r="AT527" s="787"/>
      <c r="AU527" s="787"/>
      <c r="AV527" s="787"/>
      <c r="AW527" s="787"/>
      <c r="AX527" s="787"/>
      <c r="AY527" s="787"/>
      <c r="BM527" s="537"/>
      <c r="BN527" s="537"/>
      <c r="BO527" s="537"/>
      <c r="BP527" s="537"/>
      <c r="BQ527" s="537"/>
      <c r="BR527" s="537"/>
      <c r="BS527" s="537"/>
      <c r="BT527" s="537"/>
      <c r="BU527" s="537"/>
      <c r="BV527" s="537"/>
      <c r="BW527" s="537"/>
      <c r="BX527" s="537"/>
      <c r="BY527" s="537"/>
      <c r="BZ527" s="537"/>
      <c r="CA527" s="537"/>
      <c r="CB527" s="537"/>
      <c r="CC527" s="537"/>
    </row>
    <row r="528" spans="1:81" s="551" customFormat="1" ht="12.75" hidden="1" customHeight="1">
      <c r="A528" s="638"/>
      <c r="B528" s="551" t="s">
        <v>1552</v>
      </c>
      <c r="C528" s="552"/>
      <c r="E528" s="552"/>
      <c r="F528" s="552"/>
      <c r="G528" s="552"/>
      <c r="H528" s="552"/>
      <c r="I528" s="552"/>
      <c r="J528" s="552"/>
      <c r="K528" s="552"/>
      <c r="L528" s="552"/>
      <c r="M528" s="552"/>
      <c r="N528" s="552"/>
      <c r="O528" s="552"/>
      <c r="P528" s="552"/>
      <c r="Q528" s="552"/>
      <c r="R528" s="552"/>
      <c r="S528" s="552"/>
      <c r="T528" s="552"/>
      <c r="U528" s="552"/>
      <c r="V528" s="552"/>
      <c r="W528" s="552"/>
      <c r="X528" s="552"/>
      <c r="Y528" s="552"/>
      <c r="Z528" s="552"/>
      <c r="AA528" s="552"/>
      <c r="AB528" s="552"/>
      <c r="AC528" s="552"/>
      <c r="AD528" s="617"/>
      <c r="AE528" s="552"/>
      <c r="AF528" s="552"/>
      <c r="AG528" s="552"/>
      <c r="AH528" s="552"/>
      <c r="AN528" s="598"/>
      <c r="AP528" s="804"/>
      <c r="AQ528" s="804"/>
      <c r="AR528" s="804"/>
      <c r="AS528" s="804"/>
      <c r="AT528" s="804"/>
      <c r="AU528" s="804"/>
      <c r="AV528" s="804"/>
      <c r="AW528" s="804"/>
      <c r="AX528" s="804"/>
      <c r="AY528" s="804"/>
      <c r="BM528" s="537"/>
      <c r="BN528" s="537"/>
      <c r="BO528" s="537"/>
      <c r="BP528" s="537"/>
      <c r="BQ528" s="537"/>
      <c r="BR528" s="537"/>
      <c r="BS528" s="537"/>
      <c r="BT528" s="537"/>
      <c r="BU528" s="537"/>
      <c r="BV528" s="537"/>
      <c r="BW528" s="537"/>
      <c r="BX528" s="537"/>
      <c r="BY528" s="537"/>
      <c r="BZ528" s="537"/>
      <c r="CA528" s="537"/>
      <c r="CB528" s="537"/>
      <c r="CC528" s="537"/>
    </row>
    <row r="529" spans="1:81" s="551" customFormat="1" ht="12.75" hidden="1" customHeight="1">
      <c r="A529" s="638"/>
      <c r="B529" s="551" t="s">
        <v>2029</v>
      </c>
      <c r="C529" s="552"/>
      <c r="E529" s="552"/>
      <c r="F529" s="552"/>
      <c r="G529" s="552"/>
      <c r="H529" s="552"/>
      <c r="I529" s="552"/>
      <c r="J529" s="552"/>
      <c r="K529" s="552"/>
      <c r="L529" s="552"/>
      <c r="M529" s="552"/>
      <c r="N529" s="552"/>
      <c r="O529" s="552"/>
      <c r="P529" s="552"/>
      <c r="Q529" s="552"/>
      <c r="R529" s="552"/>
      <c r="S529" s="552"/>
      <c r="T529" s="552"/>
      <c r="U529" s="552"/>
      <c r="V529" s="552"/>
      <c r="W529" s="552"/>
      <c r="X529" s="552"/>
      <c r="Y529" s="552"/>
      <c r="Z529" s="552"/>
      <c r="AA529" s="552"/>
      <c r="AB529" s="552"/>
      <c r="AC529" s="552"/>
      <c r="AD529" s="617"/>
      <c r="AE529" s="552"/>
      <c r="AF529" s="552"/>
      <c r="AG529" s="552"/>
      <c r="AH529" s="552"/>
      <c r="AN529" s="598"/>
      <c r="AP529" s="804"/>
      <c r="AQ529" s="804"/>
      <c r="AR529" s="804"/>
      <c r="AS529" s="804"/>
      <c r="AT529" s="804"/>
      <c r="AU529" s="804"/>
      <c r="AV529" s="804"/>
      <c r="AW529" s="804"/>
      <c r="AX529" s="804"/>
      <c r="AY529" s="804"/>
      <c r="BM529" s="537"/>
      <c r="BN529" s="537"/>
      <c r="BO529" s="537"/>
      <c r="BP529" s="537"/>
      <c r="BQ529" s="537"/>
      <c r="BR529" s="537"/>
      <c r="BS529" s="537"/>
      <c r="BT529" s="537"/>
      <c r="BU529" s="537"/>
      <c r="BV529" s="537"/>
      <c r="BW529" s="537"/>
      <c r="BX529" s="537"/>
      <c r="BY529" s="537"/>
      <c r="BZ529" s="537"/>
      <c r="CA529" s="537"/>
      <c r="CB529" s="537"/>
      <c r="CC529" s="537"/>
    </row>
    <row r="530" spans="1:81" s="551" customFormat="1" ht="12.75" hidden="1" customHeight="1">
      <c r="A530" s="638"/>
      <c r="B530" s="551" t="s">
        <v>1553</v>
      </c>
      <c r="C530" s="552"/>
      <c r="E530" s="552"/>
      <c r="F530" s="552"/>
      <c r="G530" s="552"/>
      <c r="H530" s="552"/>
      <c r="I530" s="552"/>
      <c r="J530" s="552"/>
      <c r="K530" s="552"/>
      <c r="L530" s="552"/>
      <c r="M530" s="552"/>
      <c r="N530" s="552"/>
      <c r="O530" s="552"/>
      <c r="P530" s="552"/>
      <c r="Q530" s="552"/>
      <c r="R530" s="552"/>
      <c r="S530" s="552"/>
      <c r="T530" s="552"/>
      <c r="U530" s="552"/>
      <c r="V530" s="552"/>
      <c r="W530" s="552"/>
      <c r="X530" s="552"/>
      <c r="Y530" s="552"/>
      <c r="Z530" s="552"/>
      <c r="AA530" s="552"/>
      <c r="AB530" s="552"/>
      <c r="AC530" s="552"/>
      <c r="AD530" s="617"/>
      <c r="AE530" s="552"/>
      <c r="AF530" s="552"/>
      <c r="AG530" s="552"/>
      <c r="AH530" s="552"/>
      <c r="AN530" s="598"/>
      <c r="AP530" s="804"/>
      <c r="AQ530" s="804"/>
      <c r="AR530" s="804"/>
      <c r="AS530" s="804"/>
      <c r="AT530" s="804"/>
      <c r="AU530" s="804"/>
      <c r="AV530" s="804"/>
      <c r="AW530" s="804"/>
      <c r="AX530" s="804"/>
      <c r="AY530" s="804"/>
      <c r="BM530" s="537"/>
      <c r="BN530" s="537"/>
      <c r="BO530" s="537"/>
      <c r="BP530" s="537"/>
      <c r="BQ530" s="537"/>
      <c r="BR530" s="537"/>
      <c r="BS530" s="537"/>
      <c r="BT530" s="537"/>
      <c r="BU530" s="537"/>
      <c r="BV530" s="537"/>
      <c r="BW530" s="537"/>
      <c r="BX530" s="537"/>
      <c r="BY530" s="537"/>
      <c r="BZ530" s="537"/>
      <c r="CA530" s="537"/>
      <c r="CB530" s="537"/>
      <c r="CC530" s="537"/>
    </row>
    <row r="531" spans="1:81" s="551" customFormat="1" ht="12.75" hidden="1" customHeight="1">
      <c r="A531" s="638"/>
      <c r="B531" s="551" t="s">
        <v>2030</v>
      </c>
      <c r="C531" s="552"/>
      <c r="E531" s="552"/>
      <c r="F531" s="552"/>
      <c r="G531" s="552"/>
      <c r="H531" s="552"/>
      <c r="I531" s="552"/>
      <c r="J531" s="552"/>
      <c r="K531" s="552"/>
      <c r="L531" s="552"/>
      <c r="M531" s="552"/>
      <c r="N531" s="552"/>
      <c r="O531" s="552"/>
      <c r="P531" s="552"/>
      <c r="Q531" s="552"/>
      <c r="R531" s="552"/>
      <c r="S531" s="552"/>
      <c r="T531" s="552"/>
      <c r="U531" s="552"/>
      <c r="V531" s="552"/>
      <c r="W531" s="552"/>
      <c r="X531" s="552"/>
      <c r="Y531" s="552"/>
      <c r="Z531" s="552"/>
      <c r="AA531" s="552"/>
      <c r="AB531" s="552"/>
      <c r="AC531" s="552"/>
      <c r="AD531" s="617"/>
      <c r="AE531" s="552"/>
      <c r="AF531" s="552"/>
      <c r="AG531" s="552"/>
      <c r="AH531" s="552"/>
      <c r="AN531" s="598"/>
      <c r="AP531" s="804"/>
      <c r="AQ531" s="804"/>
      <c r="AR531" s="804"/>
      <c r="AS531" s="804"/>
      <c r="AT531" s="804"/>
      <c r="AU531" s="804"/>
      <c r="AV531" s="804"/>
      <c r="AW531" s="804"/>
      <c r="AX531" s="804"/>
      <c r="AY531" s="804"/>
      <c r="BM531" s="537"/>
      <c r="BN531" s="537"/>
      <c r="BO531" s="537"/>
      <c r="BP531" s="537"/>
      <c r="BQ531" s="537"/>
      <c r="BR531" s="537"/>
      <c r="BS531" s="537"/>
      <c r="BT531" s="537"/>
      <c r="BU531" s="537"/>
      <c r="BV531" s="537"/>
      <c r="BW531" s="537"/>
      <c r="BX531" s="537"/>
      <c r="BY531" s="537"/>
      <c r="BZ531" s="537"/>
      <c r="CA531" s="537"/>
      <c r="CB531" s="537"/>
      <c r="CC531" s="537"/>
    </row>
    <row r="532" spans="1:81" s="551" customFormat="1" ht="12.75" hidden="1" customHeight="1">
      <c r="A532" s="638"/>
      <c r="B532" s="551" t="s">
        <v>1554</v>
      </c>
      <c r="C532" s="552"/>
      <c r="E532" s="552"/>
      <c r="F532" s="552"/>
      <c r="G532" s="552"/>
      <c r="H532" s="552"/>
      <c r="I532" s="552"/>
      <c r="J532" s="552"/>
      <c r="K532" s="552"/>
      <c r="L532" s="552"/>
      <c r="M532" s="552"/>
      <c r="N532" s="552"/>
      <c r="O532" s="552"/>
      <c r="P532" s="552"/>
      <c r="Q532" s="552"/>
      <c r="R532" s="552"/>
      <c r="S532" s="552"/>
      <c r="T532" s="552"/>
      <c r="U532" s="552"/>
      <c r="V532" s="552"/>
      <c r="W532" s="552"/>
      <c r="X532" s="552"/>
      <c r="Y532" s="552"/>
      <c r="Z532" s="552"/>
      <c r="AA532" s="552"/>
      <c r="AB532" s="552"/>
      <c r="AC532" s="552"/>
      <c r="AD532" s="617"/>
      <c r="AE532" s="552"/>
      <c r="AF532" s="552"/>
      <c r="AG532" s="552"/>
      <c r="AH532" s="552"/>
      <c r="AN532" s="598"/>
      <c r="AP532" s="804"/>
      <c r="AQ532" s="804"/>
      <c r="AR532" s="804"/>
      <c r="AS532" s="804"/>
      <c r="AT532" s="804"/>
      <c r="AU532" s="804"/>
      <c r="AV532" s="804"/>
      <c r="AW532" s="804"/>
      <c r="AX532" s="804"/>
      <c r="AY532" s="804"/>
      <c r="BM532" s="537"/>
      <c r="BN532" s="537"/>
      <c r="BO532" s="537"/>
      <c r="BP532" s="537"/>
      <c r="BQ532" s="537"/>
      <c r="BR532" s="537"/>
      <c r="BS532" s="537"/>
      <c r="BT532" s="537"/>
      <c r="BU532" s="537"/>
      <c r="BV532" s="537"/>
      <c r="BW532" s="537"/>
      <c r="BX532" s="537"/>
      <c r="BY532" s="537"/>
      <c r="BZ532" s="537"/>
      <c r="CA532" s="537"/>
      <c r="CB532" s="537"/>
      <c r="CC532" s="537"/>
    </row>
    <row r="533" spans="1:81" s="551" customFormat="1" ht="12.75" hidden="1" customHeight="1">
      <c r="A533" s="638"/>
      <c r="B533" s="551" t="s">
        <v>1555</v>
      </c>
      <c r="C533" s="552"/>
      <c r="E533" s="552"/>
      <c r="F533" s="552"/>
      <c r="G533" s="552"/>
      <c r="H533" s="552"/>
      <c r="I533" s="552"/>
      <c r="J533" s="552"/>
      <c r="K533" s="552"/>
      <c r="L533" s="552"/>
      <c r="M533" s="552"/>
      <c r="N533" s="552"/>
      <c r="O533" s="552"/>
      <c r="P533" s="552"/>
      <c r="Q533" s="552"/>
      <c r="R533" s="552"/>
      <c r="S533" s="552"/>
      <c r="T533" s="552"/>
      <c r="U533" s="552"/>
      <c r="V533" s="552"/>
      <c r="W533" s="552"/>
      <c r="X533" s="552"/>
      <c r="Y533" s="552"/>
      <c r="Z533" s="552"/>
      <c r="AA533" s="552"/>
      <c r="AB533" s="552"/>
      <c r="AC533" s="552"/>
      <c r="AD533" s="617"/>
      <c r="AE533" s="552"/>
      <c r="AF533" s="552"/>
      <c r="AG533" s="552"/>
      <c r="AH533" s="552"/>
      <c r="AN533" s="598"/>
    </row>
    <row r="534" spans="1:81" s="551" customFormat="1" ht="12.75" hidden="1" customHeight="1">
      <c r="A534" s="805"/>
      <c r="C534" s="552"/>
      <c r="E534" s="552"/>
      <c r="F534" s="552"/>
      <c r="G534" s="552"/>
      <c r="H534" s="552"/>
      <c r="I534" s="552"/>
      <c r="J534" s="552"/>
      <c r="K534" s="552"/>
      <c r="L534" s="552"/>
      <c r="M534" s="552"/>
      <c r="N534" s="552"/>
      <c r="O534" s="552"/>
      <c r="P534" s="552"/>
      <c r="Q534" s="552"/>
      <c r="R534" s="552"/>
      <c r="S534" s="552"/>
      <c r="T534" s="552"/>
      <c r="U534" s="552"/>
      <c r="V534" s="552"/>
      <c r="W534" s="552"/>
      <c r="X534" s="552"/>
      <c r="Y534" s="552"/>
      <c r="Z534" s="552"/>
      <c r="AA534" s="552"/>
      <c r="AB534" s="552"/>
      <c r="AC534" s="552"/>
      <c r="AD534" s="617"/>
      <c r="AE534" s="552"/>
      <c r="AF534" s="552"/>
      <c r="AG534" s="552"/>
      <c r="AH534" s="552"/>
      <c r="AN534" s="598"/>
    </row>
    <row r="535" spans="1:81" s="551" customFormat="1" ht="12.75" hidden="1" customHeight="1">
      <c r="A535" s="607"/>
      <c r="B535" s="665"/>
      <c r="C535" s="665"/>
      <c r="D535" s="665"/>
      <c r="E535" s="665"/>
      <c r="F535" s="665"/>
      <c r="G535" s="665"/>
      <c r="H535" s="665"/>
      <c r="I535" s="665"/>
      <c r="J535" s="665"/>
      <c r="K535" s="665"/>
      <c r="L535" s="665"/>
      <c r="M535" s="665"/>
      <c r="N535" s="665"/>
      <c r="O535" s="665"/>
      <c r="P535" s="665"/>
      <c r="Q535" s="665"/>
      <c r="R535" s="665"/>
      <c r="S535" s="665"/>
      <c r="T535" s="665"/>
      <c r="U535" s="665"/>
      <c r="V535" s="665"/>
      <c r="W535" s="665"/>
      <c r="X535" s="665"/>
      <c r="Y535" s="665"/>
      <c r="Z535" s="665"/>
      <c r="AA535" s="665"/>
      <c r="AB535" s="665"/>
      <c r="AC535" s="666"/>
      <c r="AD535" s="665"/>
      <c r="AE535" s="665"/>
      <c r="AF535" s="665"/>
      <c r="AG535" s="665"/>
      <c r="AH535" s="565"/>
      <c r="AI535" s="566"/>
      <c r="AJ535" s="566" t="s">
        <v>1556</v>
      </c>
      <c r="AK535" s="2416">
        <f>SUM(AG479:AG524)</f>
        <v>0</v>
      </c>
      <c r="AL535" s="2417"/>
      <c r="AM535" s="2418"/>
      <c r="AN535" s="598"/>
      <c r="AP535" s="537"/>
      <c r="AQ535" s="537"/>
      <c r="AR535" s="537"/>
      <c r="AS535" s="537"/>
      <c r="AT535" s="537"/>
      <c r="AU535" s="537"/>
      <c r="AV535" s="537"/>
      <c r="AW535" s="537"/>
      <c r="AX535" s="537"/>
      <c r="AY535" s="537"/>
      <c r="AZ535" s="537"/>
    </row>
    <row r="536" spans="1:81" s="551" customFormat="1" ht="12.75" hidden="1" customHeight="1">
      <c r="B536" s="552"/>
      <c r="C536" s="552"/>
      <c r="D536" s="552"/>
      <c r="E536" s="552"/>
      <c r="F536" s="552"/>
      <c r="G536" s="552"/>
      <c r="H536" s="552"/>
      <c r="I536" s="552"/>
      <c r="J536" s="552"/>
      <c r="K536" s="552"/>
      <c r="L536" s="552"/>
      <c r="M536" s="552"/>
      <c r="N536" s="552"/>
      <c r="O536" s="552"/>
      <c r="P536" s="552"/>
      <c r="Q536" s="552"/>
      <c r="R536" s="552"/>
      <c r="S536" s="552"/>
      <c r="T536" s="552"/>
      <c r="U536" s="552"/>
      <c r="V536" s="552"/>
      <c r="W536" s="552"/>
      <c r="X536" s="552"/>
      <c r="Y536" s="552"/>
      <c r="Z536" s="552"/>
      <c r="AA536" s="552"/>
      <c r="AB536" s="552"/>
      <c r="AC536" s="617"/>
      <c r="AD536" s="552"/>
      <c r="AE536" s="552"/>
      <c r="AF536" s="552"/>
      <c r="AG536" s="552"/>
      <c r="AI536" s="544"/>
      <c r="AJ536" s="544"/>
      <c r="AK536" s="596"/>
      <c r="AL536" s="596"/>
      <c r="AM536" s="596"/>
      <c r="AN536" s="598"/>
      <c r="AP536" s="537"/>
      <c r="AQ536" s="537"/>
      <c r="AR536" s="537"/>
      <c r="AS536" s="537"/>
      <c r="AT536" s="537"/>
      <c r="AU536" s="537"/>
      <c r="AV536" s="537"/>
      <c r="AW536" s="537"/>
      <c r="AX536" s="537"/>
      <c r="AY536" s="537"/>
      <c r="AZ536" s="537"/>
    </row>
    <row r="537" spans="1:81" ht="13.5" thickTop="1"/>
    <row r="538" spans="1:81" s="551" customFormat="1" ht="12.75" customHeight="1">
      <c r="A538" s="540" t="s">
        <v>1557</v>
      </c>
      <c r="B538" s="540" t="s">
        <v>1558</v>
      </c>
      <c r="C538" s="552"/>
      <c r="D538" s="552"/>
      <c r="E538" s="552"/>
      <c r="F538" s="552"/>
      <c r="G538" s="552"/>
      <c r="H538" s="552"/>
      <c r="I538" s="552"/>
      <c r="J538" s="552"/>
      <c r="K538" s="552"/>
      <c r="L538" s="552"/>
      <c r="M538" s="552"/>
      <c r="N538" s="552"/>
      <c r="O538" s="552"/>
      <c r="P538" s="552"/>
      <c r="Q538" s="552"/>
      <c r="R538" s="552"/>
      <c r="S538" s="552"/>
      <c r="T538" s="552"/>
      <c r="U538" s="552"/>
      <c r="V538" s="552"/>
      <c r="W538" s="552"/>
      <c r="X538" s="552"/>
      <c r="Y538" s="552"/>
      <c r="Z538" s="552"/>
      <c r="AA538" s="552"/>
      <c r="AB538" s="552"/>
      <c r="AC538" s="617"/>
      <c r="AD538" s="552"/>
      <c r="AE538" s="2346" t="s">
        <v>1559</v>
      </c>
      <c r="AF538" s="2346"/>
      <c r="AG538" s="2346"/>
      <c r="AH538" s="2346"/>
      <c r="AI538" s="2346"/>
      <c r="AJ538" s="2346"/>
      <c r="AK538" s="2346"/>
      <c r="AL538" s="596"/>
      <c r="AM538" s="596"/>
      <c r="AN538" s="598"/>
    </row>
    <row r="539" spans="1:81" s="551" customFormat="1" ht="12.75" customHeight="1">
      <c r="A539" s="540"/>
      <c r="B539" s="540" t="s">
        <v>1323</v>
      </c>
      <c r="C539" s="552"/>
      <c r="D539" s="552"/>
      <c r="E539" s="552"/>
      <c r="F539" s="552"/>
      <c r="G539" s="552"/>
      <c r="H539" s="552"/>
      <c r="I539" s="552"/>
      <c r="J539" s="552"/>
      <c r="K539" s="552"/>
      <c r="L539" s="552"/>
      <c r="M539" s="552"/>
      <c r="N539" s="552"/>
      <c r="O539" s="552"/>
      <c r="P539" s="552"/>
      <c r="Q539" s="552"/>
      <c r="R539" s="552"/>
      <c r="S539" s="552"/>
      <c r="T539" s="552"/>
      <c r="U539" s="552"/>
      <c r="V539" s="552"/>
      <c r="W539" s="552"/>
      <c r="X539" s="552"/>
      <c r="Y539" s="552"/>
      <c r="Z539" s="552"/>
      <c r="AA539" s="552"/>
      <c r="AB539" s="552"/>
      <c r="AC539" s="617"/>
      <c r="AD539" s="552"/>
      <c r="AE539" s="544"/>
      <c r="AF539" s="544"/>
      <c r="AG539" s="544"/>
      <c r="AH539" s="544"/>
      <c r="AI539" s="544"/>
      <c r="AJ539" s="544"/>
      <c r="AK539" s="544"/>
      <c r="AL539" s="596"/>
      <c r="AM539" s="596"/>
      <c r="AN539" s="598"/>
    </row>
    <row r="540" spans="1:81" s="551" customFormat="1" ht="12.75" customHeight="1">
      <c r="A540" s="540"/>
      <c r="B540" s="540"/>
      <c r="C540" s="552"/>
      <c r="D540" s="552"/>
      <c r="E540" s="552"/>
      <c r="F540" s="552"/>
      <c r="G540" s="552"/>
      <c r="H540" s="552"/>
      <c r="I540" s="552"/>
      <c r="J540" s="552"/>
      <c r="K540" s="552"/>
      <c r="L540" s="552"/>
      <c r="M540" s="552"/>
      <c r="N540" s="552"/>
      <c r="O540" s="552"/>
      <c r="P540" s="552"/>
      <c r="Q540" s="552"/>
      <c r="R540" s="552"/>
      <c r="S540" s="552"/>
      <c r="T540" s="552"/>
      <c r="U540" s="552"/>
      <c r="V540" s="552"/>
      <c r="W540" s="552"/>
      <c r="X540" s="552"/>
      <c r="Y540" s="552"/>
      <c r="Z540" s="552"/>
      <c r="AA540" s="552"/>
      <c r="AB540" s="552"/>
      <c r="AC540" s="617"/>
      <c r="AD540" s="552"/>
      <c r="AE540" s="544"/>
      <c r="AF540" s="544"/>
      <c r="AG540" s="544"/>
      <c r="AH540" s="544"/>
      <c r="AI540" s="544"/>
      <c r="AJ540" s="544"/>
      <c r="AK540" s="544"/>
      <c r="AL540" s="596"/>
      <c r="AM540" s="596"/>
      <c r="AN540" s="598"/>
    </row>
    <row r="541" spans="1:81" s="551" customFormat="1" ht="12.75" customHeight="1">
      <c r="A541" s="540"/>
      <c r="B541" s="540"/>
      <c r="C541" s="2413" t="s">
        <v>545</v>
      </c>
      <c r="D541" s="2413"/>
      <c r="E541" s="552"/>
      <c r="F541" s="2540" t="s">
        <v>1560</v>
      </c>
      <c r="G541" s="2541"/>
      <c r="H541" s="2541"/>
      <c r="I541" s="2541"/>
      <c r="J541" s="2541"/>
      <c r="K541" s="2541"/>
      <c r="L541" s="2541"/>
      <c r="M541" s="2541"/>
      <c r="N541" s="2541"/>
      <c r="O541" s="2541"/>
      <c r="P541" s="2541"/>
      <c r="Q541" s="2541"/>
      <c r="R541" s="2541"/>
      <c r="S541" s="2541"/>
      <c r="T541" s="2541"/>
      <c r="U541" s="2541"/>
      <c r="V541" s="2541"/>
      <c r="W541" s="2541"/>
      <c r="X541" s="2541"/>
      <c r="Y541" s="2541"/>
      <c r="Z541" s="2541"/>
      <c r="AA541" s="2541"/>
      <c r="AB541" s="2541"/>
      <c r="AC541" s="2541"/>
      <c r="AD541" s="2541"/>
      <c r="AE541" s="2541"/>
      <c r="AF541" s="2541"/>
      <c r="AG541" s="2541"/>
      <c r="AH541" s="2541"/>
      <c r="AI541" s="2541"/>
      <c r="AJ541" s="2541"/>
      <c r="AK541" s="2541"/>
      <c r="AL541" s="2542"/>
      <c r="AM541" s="596"/>
      <c r="AN541" s="598"/>
    </row>
    <row r="542" spans="1:81" s="551" customFormat="1" ht="12.75" customHeight="1">
      <c r="A542" s="540"/>
      <c r="B542" s="540"/>
      <c r="C542" s="552"/>
      <c r="D542" s="552"/>
      <c r="E542" s="552"/>
      <c r="F542" s="2543"/>
      <c r="G542" s="2544"/>
      <c r="H542" s="2544"/>
      <c r="I542" s="2544"/>
      <c r="J542" s="2544"/>
      <c r="K542" s="2544"/>
      <c r="L542" s="2544"/>
      <c r="M542" s="2544"/>
      <c r="N542" s="2544"/>
      <c r="O542" s="2544"/>
      <c r="P542" s="2544"/>
      <c r="Q542" s="2544"/>
      <c r="R542" s="2544"/>
      <c r="S542" s="2544"/>
      <c r="T542" s="2544"/>
      <c r="U542" s="2544"/>
      <c r="V542" s="2544"/>
      <c r="W542" s="2544"/>
      <c r="X542" s="2544"/>
      <c r="Y542" s="2544"/>
      <c r="Z542" s="2544"/>
      <c r="AA542" s="2544"/>
      <c r="AB542" s="2544"/>
      <c r="AC542" s="2544"/>
      <c r="AD542" s="2544"/>
      <c r="AE542" s="2544"/>
      <c r="AF542" s="2544"/>
      <c r="AG542" s="2544"/>
      <c r="AH542" s="2544"/>
      <c r="AI542" s="2544"/>
      <c r="AJ542" s="2544"/>
      <c r="AK542" s="2544"/>
      <c r="AL542" s="2545"/>
      <c r="AM542" s="596"/>
      <c r="AN542" s="598"/>
    </row>
    <row r="543" spans="1:81" s="551" customFormat="1" ht="12.75" customHeight="1">
      <c r="A543" s="540"/>
      <c r="B543" s="540"/>
      <c r="C543" s="552"/>
      <c r="D543" s="552"/>
      <c r="E543" s="552"/>
      <c r="F543" s="806"/>
      <c r="G543" s="806"/>
      <c r="H543" s="806"/>
      <c r="I543" s="806"/>
      <c r="J543" s="806"/>
      <c r="K543" s="806"/>
      <c r="L543" s="806"/>
      <c r="M543" s="806"/>
      <c r="N543" s="806"/>
      <c r="O543" s="806"/>
      <c r="P543" s="806"/>
      <c r="Q543" s="806"/>
      <c r="R543" s="806"/>
      <c r="S543" s="806"/>
      <c r="T543" s="806"/>
      <c r="U543" s="806"/>
      <c r="V543" s="806"/>
      <c r="W543" s="806"/>
      <c r="X543" s="806"/>
      <c r="Y543" s="806"/>
      <c r="Z543" s="806"/>
      <c r="AA543" s="806"/>
      <c r="AB543" s="806"/>
      <c r="AC543" s="806"/>
      <c r="AD543" s="806"/>
      <c r="AE543" s="806"/>
      <c r="AF543" s="806"/>
      <c r="AG543" s="806"/>
      <c r="AH543" s="806"/>
      <c r="AI543" s="806"/>
      <c r="AJ543" s="806"/>
      <c r="AK543" s="806"/>
      <c r="AL543" s="806"/>
      <c r="AM543" s="596"/>
      <c r="AN543" s="598"/>
    </row>
    <row r="544" spans="1:81" s="551" customFormat="1" ht="12.75" customHeight="1">
      <c r="A544" s="540"/>
      <c r="B544" s="807"/>
      <c r="C544" s="2413" t="s">
        <v>591</v>
      </c>
      <c r="D544" s="2413"/>
      <c r="E544" s="807"/>
      <c r="F544" s="645" t="s">
        <v>1561</v>
      </c>
      <c r="G544" s="808"/>
      <c r="H544" s="809"/>
      <c r="I544" s="809"/>
      <c r="J544" s="809"/>
      <c r="K544" s="809"/>
      <c r="L544" s="809"/>
      <c r="M544" s="809"/>
      <c r="N544" s="809"/>
      <c r="O544" s="809"/>
      <c r="P544" s="809"/>
      <c r="Q544" s="809"/>
      <c r="R544" s="809"/>
      <c r="S544" s="809"/>
      <c r="T544" s="809"/>
      <c r="U544" s="809"/>
      <c r="V544" s="809"/>
      <c r="W544" s="809"/>
      <c r="X544" s="809"/>
      <c r="Y544" s="809"/>
      <c r="Z544" s="809"/>
      <c r="AA544" s="809"/>
      <c r="AB544" s="809"/>
      <c r="AC544" s="809"/>
      <c r="AD544" s="809"/>
      <c r="AE544" s="809"/>
      <c r="AF544" s="809"/>
      <c r="AG544" s="809"/>
      <c r="AH544" s="809"/>
      <c r="AI544" s="809"/>
      <c r="AJ544" s="809"/>
      <c r="AK544" s="810"/>
      <c r="AL544" s="811"/>
      <c r="AM544" s="596"/>
      <c r="AN544" s="598"/>
    </row>
    <row r="545" spans="1:49" s="551" customFormat="1" ht="12.75" customHeight="1">
      <c r="B545" s="807"/>
      <c r="C545" s="807"/>
      <c r="D545" s="807"/>
      <c r="E545" s="807"/>
      <c r="F545" s="2435" t="s">
        <v>1562</v>
      </c>
      <c r="G545" s="2436"/>
      <c r="H545" s="2436"/>
      <c r="I545" s="2436"/>
      <c r="J545" s="2436"/>
      <c r="K545" s="2436"/>
      <c r="L545" s="2436"/>
      <c r="M545" s="2436"/>
      <c r="N545" s="2436"/>
      <c r="O545" s="2436"/>
      <c r="P545" s="2436"/>
      <c r="Q545" s="2436"/>
      <c r="R545" s="2436"/>
      <c r="S545" s="2436"/>
      <c r="T545" s="2436"/>
      <c r="U545" s="2436"/>
      <c r="V545" s="2436"/>
      <c r="W545" s="2436"/>
      <c r="X545" s="2436"/>
      <c r="Y545" s="2436"/>
      <c r="Z545" s="2436"/>
      <c r="AA545" s="2436"/>
      <c r="AB545" s="2436"/>
      <c r="AC545" s="2436"/>
      <c r="AD545" s="2436"/>
      <c r="AE545" s="2436"/>
      <c r="AF545" s="2436"/>
      <c r="AG545" s="2436"/>
      <c r="AH545" s="2436"/>
      <c r="AI545" s="2436"/>
      <c r="AJ545" s="2436"/>
      <c r="AK545" s="2436"/>
      <c r="AL545" s="2437"/>
      <c r="AM545" s="596"/>
      <c r="AN545" s="598"/>
      <c r="AS545" s="871"/>
      <c r="AT545" s="871"/>
      <c r="AU545" s="871"/>
      <c r="AV545" s="871"/>
      <c r="AW545" s="871"/>
    </row>
    <row r="546" spans="1:49" s="551" customFormat="1" ht="12.75" customHeight="1">
      <c r="B546" s="807"/>
      <c r="C546" s="807"/>
      <c r="D546" s="807"/>
      <c r="E546" s="807"/>
      <c r="F546" s="2435"/>
      <c r="G546" s="2436"/>
      <c r="H546" s="2436"/>
      <c r="I546" s="2436"/>
      <c r="J546" s="2436"/>
      <c r="K546" s="2436"/>
      <c r="L546" s="2436"/>
      <c r="M546" s="2436"/>
      <c r="N546" s="2436"/>
      <c r="O546" s="2436"/>
      <c r="P546" s="2436"/>
      <c r="Q546" s="2436"/>
      <c r="R546" s="2436"/>
      <c r="S546" s="2436"/>
      <c r="T546" s="2436"/>
      <c r="U546" s="2436"/>
      <c r="V546" s="2436"/>
      <c r="W546" s="2436"/>
      <c r="X546" s="2436"/>
      <c r="Y546" s="2436"/>
      <c r="Z546" s="2436"/>
      <c r="AA546" s="2436"/>
      <c r="AB546" s="2436"/>
      <c r="AC546" s="2436"/>
      <c r="AD546" s="2436"/>
      <c r="AE546" s="2436"/>
      <c r="AF546" s="2436"/>
      <c r="AG546" s="2436"/>
      <c r="AH546" s="2436"/>
      <c r="AI546" s="2436"/>
      <c r="AJ546" s="2436"/>
      <c r="AK546" s="2436"/>
      <c r="AL546" s="2437"/>
      <c r="AM546" s="596"/>
      <c r="AN546" s="598"/>
    </row>
    <row r="547" spans="1:49" s="551" customFormat="1" ht="12.75" customHeight="1">
      <c r="B547" s="807"/>
      <c r="C547" s="807"/>
      <c r="D547" s="807"/>
      <c r="E547" s="807"/>
      <c r="F547" s="812" t="s">
        <v>2031</v>
      </c>
      <c r="G547" s="617"/>
      <c r="H547" s="617"/>
      <c r="I547" s="617"/>
      <c r="J547" s="617"/>
      <c r="K547" s="617"/>
      <c r="L547" s="617"/>
      <c r="M547" s="617"/>
      <c r="N547" s="617"/>
      <c r="O547" s="617"/>
      <c r="P547" s="617"/>
      <c r="Q547" s="617"/>
      <c r="R547" s="617"/>
      <c r="S547" s="617"/>
      <c r="T547" s="617"/>
      <c r="U547" s="617"/>
      <c r="V547" s="617"/>
      <c r="W547" s="617"/>
      <c r="X547" s="617"/>
      <c r="Y547" s="617"/>
      <c r="Z547" s="617"/>
      <c r="AA547" s="617"/>
      <c r="AB547" s="617"/>
      <c r="AC547" s="617"/>
      <c r="AD547" s="617"/>
      <c r="AE547" s="617"/>
      <c r="AF547" s="617"/>
      <c r="AG547" s="617"/>
      <c r="AH547" s="617"/>
      <c r="AI547" s="617"/>
      <c r="AJ547" s="617"/>
      <c r="AK547" s="617"/>
      <c r="AL547" s="813"/>
      <c r="AM547" s="596"/>
      <c r="AN547" s="598"/>
    </row>
    <row r="548" spans="1:49" s="551" customFormat="1" ht="12.75" customHeight="1">
      <c r="B548" s="807"/>
      <c r="C548" s="807"/>
      <c r="D548" s="807"/>
      <c r="E548" s="807"/>
      <c r="F548" s="2435" t="s">
        <v>1563</v>
      </c>
      <c r="G548" s="2436"/>
      <c r="H548" s="2436"/>
      <c r="I548" s="2436"/>
      <c r="J548" s="2436"/>
      <c r="K548" s="2436"/>
      <c r="L548" s="2436"/>
      <c r="M548" s="2436"/>
      <c r="N548" s="2436"/>
      <c r="O548" s="2436"/>
      <c r="P548" s="2436"/>
      <c r="Q548" s="2436"/>
      <c r="R548" s="2436"/>
      <c r="S548" s="2436"/>
      <c r="T548" s="2436"/>
      <c r="U548" s="2436"/>
      <c r="V548" s="2436"/>
      <c r="W548" s="2436"/>
      <c r="X548" s="2436"/>
      <c r="Y548" s="2436"/>
      <c r="Z548" s="2436"/>
      <c r="AA548" s="2436"/>
      <c r="AB548" s="2436"/>
      <c r="AC548" s="2436"/>
      <c r="AD548" s="2436"/>
      <c r="AE548" s="2436"/>
      <c r="AF548" s="2436"/>
      <c r="AG548" s="2436"/>
      <c r="AH548" s="2436"/>
      <c r="AI548" s="2436"/>
      <c r="AJ548" s="2436"/>
      <c r="AK548" s="2436"/>
      <c r="AL548" s="814"/>
      <c r="AM548" s="596"/>
      <c r="AN548" s="598"/>
    </row>
    <row r="549" spans="1:49" s="551" customFormat="1" ht="12.75" customHeight="1">
      <c r="B549" s="807"/>
      <c r="C549" s="807"/>
      <c r="D549" s="807"/>
      <c r="E549" s="807"/>
      <c r="F549" s="2438"/>
      <c r="G549" s="2439"/>
      <c r="H549" s="2439"/>
      <c r="I549" s="2439"/>
      <c r="J549" s="2439"/>
      <c r="K549" s="2439"/>
      <c r="L549" s="2439"/>
      <c r="M549" s="2439"/>
      <c r="N549" s="2439"/>
      <c r="O549" s="2439"/>
      <c r="P549" s="2439"/>
      <c r="Q549" s="2439"/>
      <c r="R549" s="2439"/>
      <c r="S549" s="2439"/>
      <c r="T549" s="2439"/>
      <c r="U549" s="2439"/>
      <c r="V549" s="2439"/>
      <c r="W549" s="2439"/>
      <c r="X549" s="2439"/>
      <c r="Y549" s="2439"/>
      <c r="Z549" s="2439"/>
      <c r="AA549" s="2439"/>
      <c r="AB549" s="2439"/>
      <c r="AC549" s="2439"/>
      <c r="AD549" s="2439"/>
      <c r="AE549" s="2439"/>
      <c r="AF549" s="2439"/>
      <c r="AG549" s="2439"/>
      <c r="AH549" s="2439"/>
      <c r="AI549" s="2439"/>
      <c r="AJ549" s="2439"/>
      <c r="AK549" s="2439"/>
      <c r="AL549" s="815"/>
      <c r="AM549" s="596"/>
      <c r="AN549" s="598"/>
    </row>
    <row r="550" spans="1:49" s="551" customFormat="1" ht="12.75" customHeight="1">
      <c r="B550" s="807"/>
      <c r="C550" s="807"/>
      <c r="D550" s="807"/>
      <c r="E550" s="807"/>
      <c r="F550" s="643"/>
      <c r="G550" s="643"/>
      <c r="H550" s="643"/>
      <c r="I550" s="643"/>
      <c r="J550" s="643"/>
      <c r="K550" s="643"/>
      <c r="L550" s="643"/>
      <c r="M550" s="643"/>
      <c r="N550" s="643"/>
      <c r="O550" s="643"/>
      <c r="P550" s="643"/>
      <c r="Q550" s="643"/>
      <c r="R550" s="643"/>
      <c r="S550" s="643"/>
      <c r="T550" s="643"/>
      <c r="U550" s="643"/>
      <c r="V550" s="643"/>
      <c r="W550" s="643"/>
      <c r="X550" s="643"/>
      <c r="Y550" s="643"/>
      <c r="Z550" s="643"/>
      <c r="AA550" s="643"/>
      <c r="AB550" s="643"/>
      <c r="AC550" s="643"/>
      <c r="AD550" s="643"/>
      <c r="AE550" s="643"/>
      <c r="AF550" s="643"/>
      <c r="AG550" s="643"/>
      <c r="AH550" s="643"/>
      <c r="AI550" s="643"/>
      <c r="AJ550" s="643"/>
      <c r="AK550" s="643"/>
      <c r="AL550" s="596"/>
      <c r="AM550" s="596"/>
      <c r="AN550" s="598"/>
      <c r="AP550" s="2562">
        <f>Application!AJ992</f>
        <v>120215447</v>
      </c>
      <c r="AQ550" s="2562"/>
      <c r="AR550" s="2562"/>
      <c r="AS550" s="551" t="s">
        <v>2170</v>
      </c>
    </row>
    <row r="551" spans="1:49" s="551" customFormat="1" ht="12.75" customHeight="1">
      <c r="A551" s="499"/>
      <c r="B551" s="448" t="s">
        <v>1564</v>
      </c>
      <c r="C551" s="624"/>
      <c r="D551" s="624"/>
      <c r="E551" s="624"/>
      <c r="F551" s="14"/>
      <c r="G551" s="625"/>
      <c r="H551" s="625"/>
      <c r="I551" s="625"/>
      <c r="J551" s="625"/>
      <c r="K551" s="625"/>
      <c r="L551" s="625"/>
      <c r="M551" s="625"/>
      <c r="N551" s="625"/>
      <c r="O551" s="625"/>
      <c r="P551" s="625"/>
      <c r="Q551" s="625"/>
      <c r="R551" s="14"/>
      <c r="S551" s="14"/>
      <c r="T551" s="14"/>
      <c r="U551" s="14"/>
      <c r="V551" s="14"/>
      <c r="W551" s="14"/>
      <c r="X551" s="625"/>
      <c r="Y551" s="625"/>
      <c r="Z551" s="625"/>
      <c r="AA551" s="623"/>
      <c r="AB551" s="623"/>
      <c r="AC551" s="623"/>
      <c r="AD551" s="623"/>
      <c r="AE551" s="14"/>
      <c r="AF551" s="2419">
        <f>'Sources and Uses Budget'!S107+'Sources and Uses Budget'!T107</f>
        <v>71312045</v>
      </c>
      <c r="AG551" s="2419"/>
      <c r="AH551" s="2419"/>
      <c r="AI551" s="2419"/>
      <c r="AJ551" s="2419"/>
      <c r="AK551" s="596"/>
      <c r="AL551" s="596"/>
      <c r="AM551" s="596"/>
      <c r="AN551" s="598"/>
    </row>
    <row r="552" spans="1:49" s="551" customFormat="1" ht="12.75" customHeight="1">
      <c r="A552" s="626"/>
      <c r="B552" s="626" t="s">
        <v>1565</v>
      </c>
      <c r="C552" s="625"/>
      <c r="D552" s="625"/>
      <c r="E552" s="627"/>
      <c r="F552" s="627"/>
      <c r="G552" s="627"/>
      <c r="H552" s="627"/>
      <c r="I552" s="627"/>
      <c r="J552" s="627"/>
      <c r="K552" s="627"/>
      <c r="L552" s="625"/>
      <c r="M552" s="627"/>
      <c r="N552" s="627"/>
      <c r="O552" s="627"/>
      <c r="P552" s="627"/>
      <c r="Q552" s="627"/>
      <c r="R552" s="14"/>
      <c r="S552" s="14"/>
      <c r="T552" s="14"/>
      <c r="U552" s="14"/>
      <c r="V552" s="14"/>
      <c r="W552" s="14"/>
      <c r="X552" s="625"/>
      <c r="Y552" s="625"/>
      <c r="Z552" s="625"/>
      <c r="AA552" s="623"/>
      <c r="AB552" s="623"/>
      <c r="AC552" s="623"/>
      <c r="AD552" s="623"/>
      <c r="AE552" s="14"/>
      <c r="AF552" s="2567">
        <f>IFERROR(AP559,0)</f>
        <v>180323171.09999999</v>
      </c>
      <c r="AG552" s="2567"/>
      <c r="AH552" s="2567"/>
      <c r="AI552" s="2567"/>
      <c r="AJ552" s="2567"/>
      <c r="AK552" s="596"/>
      <c r="AL552" s="596"/>
      <c r="AM552" s="596"/>
      <c r="AN552" s="598"/>
      <c r="AP552" s="2562">
        <f>Application!AJ1045</f>
        <v>12021544.700000001</v>
      </c>
      <c r="AQ552" s="2562"/>
      <c r="AR552" s="2562"/>
      <c r="AS552" s="551" t="s">
        <v>1864</v>
      </c>
    </row>
    <row r="553" spans="1:49" s="551" customFormat="1" ht="12.75" customHeight="1">
      <c r="A553" s="625"/>
      <c r="B553" s="625" t="s">
        <v>13</v>
      </c>
      <c r="C553" s="625"/>
      <c r="D553" s="625"/>
      <c r="E553" s="625"/>
      <c r="F553" s="625"/>
      <c r="G553" s="625"/>
      <c r="H553" s="625"/>
      <c r="I553" s="625"/>
      <c r="J553" s="625"/>
      <c r="K553" s="625"/>
      <c r="L553" s="625"/>
      <c r="M553" s="625"/>
      <c r="N553" s="625"/>
      <c r="O553" s="625"/>
      <c r="P553" s="625"/>
      <c r="Q553" s="625"/>
      <c r="R553" s="14"/>
      <c r="S553" s="14"/>
      <c r="T553" s="14"/>
      <c r="U553" s="14"/>
      <c r="V553" s="14"/>
      <c r="W553" s="14"/>
      <c r="X553" s="625"/>
      <c r="Y553" s="625"/>
      <c r="Z553" s="625"/>
      <c r="AA553" s="623"/>
      <c r="AB553" s="623"/>
      <c r="AC553" s="623"/>
      <c r="AD553" s="623"/>
      <c r="AE553" s="14"/>
      <c r="AF553" s="2568">
        <f>IFERROR(ROUNDDOWN(IF(C544="YES",((1-(AF551/AF552))*2),(1-(AF551/AF552))),2),0)</f>
        <v>0.6</v>
      </c>
      <c r="AG553" s="2568"/>
      <c r="AH553" s="2568"/>
      <c r="AI553" s="2568"/>
      <c r="AJ553" s="2568"/>
      <c r="AK553" s="596"/>
      <c r="AL553" s="596"/>
      <c r="AM553" s="596"/>
      <c r="AN553" s="598"/>
      <c r="AP553" s="2565">
        <f>Application!AJ1049</f>
        <v>24043089.400000002</v>
      </c>
      <c r="AQ553" s="2565"/>
      <c r="AR553" s="2565"/>
      <c r="AS553" s="551" t="s">
        <v>2171</v>
      </c>
    </row>
    <row r="554" spans="1:49" s="551" customFormat="1" ht="12.75" customHeight="1">
      <c r="A554" s="625"/>
      <c r="B554" s="625"/>
      <c r="C554" s="625"/>
      <c r="D554" s="625"/>
      <c r="E554" s="625"/>
      <c r="F554" s="625"/>
      <c r="G554" s="625"/>
      <c r="H554" s="625"/>
      <c r="I554" s="625"/>
      <c r="J554" s="625"/>
      <c r="K554" s="625"/>
      <c r="L554" s="625"/>
      <c r="M554" s="625"/>
      <c r="N554" s="625"/>
      <c r="O554" s="625"/>
      <c r="P554" s="625"/>
      <c r="Q554" s="625"/>
      <c r="R554" s="14"/>
      <c r="S554" s="14"/>
      <c r="T554" s="14"/>
      <c r="U554" s="14"/>
      <c r="V554" s="14"/>
      <c r="W554" s="14"/>
      <c r="X554" s="625"/>
      <c r="Y554" s="625"/>
      <c r="Z554" s="625"/>
      <c r="AA554" s="623"/>
      <c r="AB554" s="623"/>
      <c r="AC554" s="623"/>
      <c r="AD554" s="623"/>
      <c r="AE554" s="14"/>
      <c r="AF554" s="816"/>
      <c r="AG554" s="816"/>
      <c r="AH554" s="816"/>
      <c r="AI554" s="816"/>
      <c r="AJ554" s="816"/>
      <c r="AK554" s="596"/>
      <c r="AL554" s="596"/>
      <c r="AM554" s="596"/>
      <c r="AN554" s="598"/>
      <c r="AP554" s="2561">
        <f>IF(((AP552+AP553)/AP550)&gt;0.8,0.8,((AP552+AP553)/AP550))</f>
        <v>0.3</v>
      </c>
      <c r="AQ554" s="2561"/>
      <c r="AR554" s="2561"/>
      <c r="AS554" s="551" t="s">
        <v>2172</v>
      </c>
    </row>
    <row r="555" spans="1:49" s="551" customFormat="1" ht="12.75" customHeight="1">
      <c r="A555" s="625"/>
      <c r="B555" s="2498" t="s">
        <v>2032</v>
      </c>
      <c r="C555" s="2499"/>
      <c r="D555" s="2499"/>
      <c r="E555" s="2499"/>
      <c r="F555" s="2499"/>
      <c r="G555" s="2499"/>
      <c r="H555" s="2499"/>
      <c r="I555" s="2499"/>
      <c r="J555" s="2499"/>
      <c r="K555" s="2499"/>
      <c r="L555" s="2499"/>
      <c r="M555" s="2499"/>
      <c r="N555" s="2499"/>
      <c r="O555" s="2499"/>
      <c r="P555" s="2499"/>
      <c r="Q555" s="2499"/>
      <c r="R555" s="2499"/>
      <c r="S555" s="2499"/>
      <c r="T555" s="2499"/>
      <c r="U555" s="2499"/>
      <c r="V555" s="2499"/>
      <c r="W555" s="2499"/>
      <c r="X555" s="2499"/>
      <c r="Y555" s="2499"/>
      <c r="Z555" s="2499"/>
      <c r="AA555" s="2499"/>
      <c r="AB555" s="2499"/>
      <c r="AC555" s="2499"/>
      <c r="AD555" s="2499"/>
      <c r="AE555" s="2499"/>
      <c r="AF555" s="2499"/>
      <c r="AG555" s="2499"/>
      <c r="AH555" s="2499"/>
      <c r="AI555" s="2499"/>
      <c r="AJ555" s="2500"/>
      <c r="AK555" s="596"/>
      <c r="AL555" s="596"/>
      <c r="AM555" s="596"/>
      <c r="AN555" s="598"/>
    </row>
    <row r="556" spans="1:49" s="551" customFormat="1" ht="12.75" customHeight="1">
      <c r="A556" s="625"/>
      <c r="B556" s="2501"/>
      <c r="C556" s="2502"/>
      <c r="D556" s="2502"/>
      <c r="E556" s="2502"/>
      <c r="F556" s="2502"/>
      <c r="G556" s="2502"/>
      <c r="H556" s="2502"/>
      <c r="I556" s="2502"/>
      <c r="J556" s="2502"/>
      <c r="K556" s="2502"/>
      <c r="L556" s="2502"/>
      <c r="M556" s="2502"/>
      <c r="N556" s="2502"/>
      <c r="O556" s="2502"/>
      <c r="P556" s="2502"/>
      <c r="Q556" s="2502"/>
      <c r="R556" s="2502"/>
      <c r="S556" s="2502"/>
      <c r="T556" s="2502"/>
      <c r="U556" s="2502"/>
      <c r="V556" s="2502"/>
      <c r="W556" s="2502"/>
      <c r="X556" s="2502"/>
      <c r="Y556" s="2502"/>
      <c r="Z556" s="2502"/>
      <c r="AA556" s="2502"/>
      <c r="AB556" s="2502"/>
      <c r="AC556" s="2502"/>
      <c r="AD556" s="2502"/>
      <c r="AE556" s="2502"/>
      <c r="AF556" s="2502"/>
      <c r="AG556" s="2502"/>
      <c r="AH556" s="2502"/>
      <c r="AI556" s="2502"/>
      <c r="AJ556" s="2503"/>
      <c r="AK556" s="596"/>
      <c r="AL556" s="596"/>
      <c r="AM556" s="596"/>
      <c r="AN556" s="598"/>
      <c r="AP556" s="2562">
        <f>AP557-AP552-AP553</f>
        <v>144258537</v>
      </c>
      <c r="AQ556" s="2471"/>
      <c r="AR556" s="2471"/>
      <c r="AS556" s="551" t="s">
        <v>2174</v>
      </c>
    </row>
    <row r="557" spans="1:49" s="551" customFormat="1" ht="12.75" customHeight="1">
      <c r="A557" s="625"/>
      <c r="B557" s="2504"/>
      <c r="C557" s="2505"/>
      <c r="D557" s="2505"/>
      <c r="E557" s="2505"/>
      <c r="F557" s="2505"/>
      <c r="G557" s="2505"/>
      <c r="H557" s="2505"/>
      <c r="I557" s="2505"/>
      <c r="J557" s="2505"/>
      <c r="K557" s="2505"/>
      <c r="L557" s="2505"/>
      <c r="M557" s="2505"/>
      <c r="N557" s="2505"/>
      <c r="O557" s="2505"/>
      <c r="P557" s="2505"/>
      <c r="Q557" s="2505"/>
      <c r="R557" s="2505"/>
      <c r="S557" s="2505"/>
      <c r="T557" s="2505"/>
      <c r="U557" s="2505"/>
      <c r="V557" s="2505"/>
      <c r="W557" s="2505"/>
      <c r="X557" s="2505"/>
      <c r="Y557" s="2505"/>
      <c r="Z557" s="2505"/>
      <c r="AA557" s="2505"/>
      <c r="AB557" s="2505"/>
      <c r="AC557" s="2505"/>
      <c r="AD557" s="2505"/>
      <c r="AE557" s="2505"/>
      <c r="AF557" s="2505"/>
      <c r="AG557" s="2505"/>
      <c r="AH557" s="2505"/>
      <c r="AI557" s="2505"/>
      <c r="AJ557" s="2506"/>
      <c r="AK557" s="596"/>
      <c r="AL557" s="596"/>
      <c r="AM557" s="596"/>
      <c r="AN557" s="598"/>
      <c r="AP557" s="2562">
        <f>Application!AJ1053</f>
        <v>180323171.09999999</v>
      </c>
      <c r="AQ557" s="2562"/>
      <c r="AR557" s="2562"/>
      <c r="AS557" s="551" t="s">
        <v>2173</v>
      </c>
    </row>
    <row r="558" spans="1:49" s="551" customFormat="1" ht="12.75" customHeight="1">
      <c r="B558" s="552"/>
      <c r="C558" s="552"/>
      <c r="D558" s="552"/>
      <c r="E558" s="552"/>
      <c r="F558" s="552"/>
      <c r="G558" s="552"/>
      <c r="H558" s="552"/>
      <c r="I558" s="552"/>
      <c r="J558" s="552"/>
      <c r="K558" s="552"/>
      <c r="L558" s="552"/>
      <c r="M558" s="552"/>
      <c r="N558" s="552"/>
      <c r="O558" s="552"/>
      <c r="P558" s="552"/>
      <c r="Q558" s="552"/>
      <c r="R558" s="552"/>
      <c r="S558" s="552"/>
      <c r="T558" s="552"/>
      <c r="U558" s="552"/>
      <c r="V558" s="552"/>
      <c r="W558" s="552"/>
      <c r="X558" s="552"/>
      <c r="Y558" s="552"/>
      <c r="Z558" s="552"/>
      <c r="AA558" s="552"/>
      <c r="AB558" s="552"/>
      <c r="AC558" s="617"/>
      <c r="AD558" s="552"/>
      <c r="AI558" s="544"/>
      <c r="AJ558" s="544"/>
      <c r="AK558" s="596"/>
      <c r="AL558" s="596"/>
      <c r="AM558" s="596"/>
      <c r="AN558" s="598"/>
    </row>
    <row r="559" spans="1:49" s="551" customFormat="1" ht="12.75" customHeight="1">
      <c r="A559" s="629"/>
      <c r="B559" s="629"/>
      <c r="C559" s="629"/>
      <c r="D559" s="629"/>
      <c r="E559" s="629"/>
      <c r="F559" s="629"/>
      <c r="G559" s="629"/>
      <c r="H559" s="629"/>
      <c r="I559" s="629"/>
      <c r="J559" s="629"/>
      <c r="K559" s="629"/>
      <c r="L559" s="629"/>
      <c r="M559" s="629"/>
      <c r="N559" s="629"/>
      <c r="O559" s="629"/>
      <c r="P559" s="629"/>
      <c r="Q559" s="629"/>
      <c r="R559" s="629"/>
      <c r="S559" s="629"/>
      <c r="T559" s="629"/>
      <c r="U559" s="629"/>
      <c r="V559" s="629"/>
      <c r="W559" s="629"/>
      <c r="X559" s="629"/>
      <c r="Y559" s="629"/>
      <c r="Z559" s="629"/>
      <c r="AA559" s="629"/>
      <c r="AB559" s="629"/>
      <c r="AC559" s="629"/>
      <c r="AD559" s="629"/>
      <c r="AE559" s="629"/>
      <c r="AF559" s="629"/>
      <c r="AG559" s="629"/>
      <c r="AH559" s="630"/>
      <c r="AI559" s="566"/>
      <c r="AJ559" s="566" t="s">
        <v>1566</v>
      </c>
      <c r="AK559" s="2507">
        <f>IFERROR(IF(AND(C541="N/A",C544="N/A"),0,IF(AF553=0,0,IF((AF553*100)&gt;12,12,(AF553*100)))),0)</f>
        <v>12</v>
      </c>
      <c r="AL559" s="2507"/>
      <c r="AM559" s="2508"/>
      <c r="AN559" s="598"/>
      <c r="AP559" s="2579">
        <f>AP556+(AP550*AP554)</f>
        <v>180323171.09999999</v>
      </c>
      <c r="AQ559" s="2580"/>
      <c r="AR559" s="2581"/>
    </row>
    <row r="560" spans="1:49" s="551" customFormat="1" ht="12.75" customHeight="1" thickBot="1">
      <c r="A560" s="760"/>
      <c r="B560" s="760"/>
      <c r="C560" s="760"/>
      <c r="D560" s="760"/>
      <c r="E560" s="760"/>
      <c r="F560" s="760"/>
      <c r="G560" s="760"/>
      <c r="H560" s="760"/>
      <c r="I560" s="760"/>
      <c r="J560" s="760"/>
      <c r="K560" s="760"/>
      <c r="L560" s="760"/>
      <c r="M560" s="760"/>
      <c r="N560" s="760"/>
      <c r="O560" s="760"/>
      <c r="P560" s="760"/>
      <c r="Q560" s="760"/>
      <c r="R560" s="760"/>
      <c r="S560" s="760"/>
      <c r="T560" s="760"/>
      <c r="U560" s="760"/>
      <c r="V560" s="760"/>
      <c r="W560" s="760"/>
      <c r="X560" s="760"/>
      <c r="Y560" s="760"/>
      <c r="Z560" s="760"/>
      <c r="AA560" s="760"/>
      <c r="AB560" s="760"/>
      <c r="AC560" s="760"/>
      <c r="AD560" s="760"/>
      <c r="AE560" s="760"/>
      <c r="AF560" s="760"/>
      <c r="AG560" s="760"/>
      <c r="AH560" s="760"/>
      <c r="AI560" s="760"/>
      <c r="AJ560" s="760"/>
      <c r="AK560" s="760"/>
      <c r="AL560" s="760"/>
      <c r="AM560" s="761"/>
      <c r="AN560" s="598"/>
    </row>
    <row r="561" spans="1:42" s="551" customFormat="1" ht="12.75" customHeight="1" thickTop="1">
      <c r="A561" s="667"/>
      <c r="B561" s="668"/>
      <c r="C561" s="667"/>
      <c r="D561" s="668"/>
      <c r="E561" s="668"/>
      <c r="F561" s="668"/>
      <c r="G561" s="668"/>
      <c r="H561" s="668"/>
      <c r="I561" s="668"/>
      <c r="J561" s="668"/>
      <c r="K561" s="668"/>
      <c r="L561" s="668"/>
      <c r="M561" s="668"/>
      <c r="N561" s="668"/>
      <c r="O561" s="668"/>
      <c r="P561" s="668"/>
      <c r="Q561" s="668"/>
      <c r="R561" s="668"/>
      <c r="S561" s="668"/>
      <c r="T561" s="668"/>
      <c r="U561" s="668"/>
      <c r="V561" s="668"/>
      <c r="W561" s="668"/>
      <c r="X561" s="668"/>
      <c r="Y561" s="668"/>
      <c r="Z561" s="668"/>
      <c r="AA561" s="668"/>
      <c r="AB561" s="668"/>
      <c r="AC561" s="669"/>
      <c r="AD561" s="669"/>
      <c r="AE561" s="669"/>
      <c r="AF561" s="668"/>
      <c r="AG561" s="668"/>
      <c r="AH561" s="668"/>
      <c r="AI561" s="668"/>
      <c r="AJ561" s="668"/>
      <c r="AK561" s="668"/>
      <c r="AL561" s="668"/>
      <c r="AM561" s="670"/>
      <c r="AN561" s="598"/>
    </row>
    <row r="562" spans="1:42" s="551" customFormat="1" ht="12.75" customHeight="1">
      <c r="A562" s="539" t="s">
        <v>2022</v>
      </c>
      <c r="C562" s="539"/>
      <c r="D562" s="604"/>
      <c r="E562" s="604"/>
      <c r="F562" s="604"/>
      <c r="G562" s="604"/>
      <c r="H562" s="604"/>
      <c r="I562" s="604"/>
      <c r="J562" s="604"/>
      <c r="K562" s="604"/>
      <c r="L562" s="604"/>
      <c r="M562" s="604"/>
      <c r="N562" s="604"/>
      <c r="O562" s="604"/>
      <c r="P562" s="604"/>
      <c r="Q562" s="604"/>
      <c r="R562" s="604"/>
      <c r="S562" s="604"/>
      <c r="T562" s="604"/>
      <c r="U562" s="604"/>
      <c r="V562" s="604"/>
      <c r="W562" s="604"/>
      <c r="X562" s="604"/>
      <c r="Y562" s="604"/>
      <c r="Z562" s="604"/>
      <c r="AA562" s="604"/>
      <c r="AB562" s="604"/>
      <c r="AC562" s="604"/>
      <c r="AD562" s="604"/>
      <c r="AE562" s="2346" t="s">
        <v>1313</v>
      </c>
      <c r="AF562" s="2346"/>
      <c r="AG562" s="2346"/>
      <c r="AH562" s="2346"/>
      <c r="AI562" s="2346"/>
      <c r="AJ562" s="2346"/>
      <c r="AK562" s="2346"/>
      <c r="AL562" s="592"/>
      <c r="AM562" s="604"/>
      <c r="AN562" s="598"/>
    </row>
    <row r="563" spans="1:42" s="551" customFormat="1" ht="12.75" customHeight="1">
      <c r="C563" s="604"/>
      <c r="D563" s="604"/>
      <c r="E563" s="604"/>
      <c r="F563" s="604"/>
      <c r="G563" s="604"/>
      <c r="H563" s="604"/>
      <c r="I563" s="604"/>
      <c r="J563" s="604"/>
      <c r="K563" s="604"/>
      <c r="L563" s="604"/>
      <c r="M563" s="604"/>
      <c r="N563" s="604"/>
      <c r="O563" s="604"/>
      <c r="P563" s="604"/>
      <c r="Q563" s="604"/>
      <c r="R563" s="604"/>
      <c r="S563" s="604"/>
      <c r="T563" s="604"/>
      <c r="U563" s="604"/>
      <c r="V563" s="604"/>
      <c r="W563" s="604"/>
      <c r="X563" s="604"/>
      <c r="Y563" s="604"/>
      <c r="Z563" s="604"/>
      <c r="AA563" s="604"/>
      <c r="AB563" s="604"/>
      <c r="AC563" s="604"/>
      <c r="AD563" s="604"/>
      <c r="AE563" s="604"/>
      <c r="AF563" s="604"/>
      <c r="AG563" s="604"/>
      <c r="AH563" s="604"/>
      <c r="AI563" s="604"/>
      <c r="AJ563" s="604"/>
      <c r="AK563" s="604"/>
      <c r="AL563" s="604"/>
      <c r="AM563" s="604"/>
      <c r="AN563" s="598"/>
    </row>
    <row r="564" spans="1:42" s="551" customFormat="1" ht="12.75" customHeight="1">
      <c r="A564" s="604"/>
      <c r="B564" s="2436" t="s">
        <v>2023</v>
      </c>
      <c r="C564" s="2436"/>
      <c r="D564" s="2436"/>
      <c r="E564" s="2436"/>
      <c r="F564" s="2436"/>
      <c r="G564" s="2436"/>
      <c r="H564" s="2436"/>
      <c r="I564" s="2436"/>
      <c r="J564" s="2436"/>
      <c r="K564" s="2436"/>
      <c r="L564" s="2436"/>
      <c r="M564" s="2436"/>
      <c r="N564" s="2436"/>
      <c r="O564" s="2436"/>
      <c r="P564" s="2436"/>
      <c r="Q564" s="2436"/>
      <c r="R564" s="2436"/>
      <c r="S564" s="2436"/>
      <c r="T564" s="2436"/>
      <c r="U564" s="2436"/>
      <c r="V564" s="2436"/>
      <c r="W564" s="2436"/>
      <c r="X564" s="2436"/>
      <c r="Y564" s="2436"/>
      <c r="Z564" s="2436"/>
      <c r="AA564" s="2436"/>
      <c r="AB564" s="2436"/>
      <c r="AC564" s="2436"/>
      <c r="AD564" s="2436"/>
      <c r="AE564" s="2436"/>
      <c r="AF564" s="2436"/>
      <c r="AG564" s="2436"/>
      <c r="AH564" s="2436"/>
      <c r="AI564" s="2436"/>
      <c r="AJ564" s="2436"/>
      <c r="AK564" s="643"/>
      <c r="AL564" s="574"/>
      <c r="AM564" s="604"/>
      <c r="AN564" s="598"/>
    </row>
    <row r="565" spans="1:42" s="551" customFormat="1" ht="12.75" customHeight="1">
      <c r="A565" s="604"/>
      <c r="B565" s="2436"/>
      <c r="C565" s="2436"/>
      <c r="D565" s="2436"/>
      <c r="E565" s="2436"/>
      <c r="F565" s="2436"/>
      <c r="G565" s="2436"/>
      <c r="H565" s="2436"/>
      <c r="I565" s="2436"/>
      <c r="J565" s="2436"/>
      <c r="K565" s="2436"/>
      <c r="L565" s="2436"/>
      <c r="M565" s="2436"/>
      <c r="N565" s="2436"/>
      <c r="O565" s="2436"/>
      <c r="P565" s="2436"/>
      <c r="Q565" s="2436"/>
      <c r="R565" s="2436"/>
      <c r="S565" s="2436"/>
      <c r="T565" s="2436"/>
      <c r="U565" s="2436"/>
      <c r="V565" s="2436"/>
      <c r="W565" s="2436"/>
      <c r="X565" s="2436"/>
      <c r="Y565" s="2436"/>
      <c r="Z565" s="2436"/>
      <c r="AA565" s="2436"/>
      <c r="AB565" s="2436"/>
      <c r="AC565" s="2436"/>
      <c r="AD565" s="2436"/>
      <c r="AE565" s="2436"/>
      <c r="AF565" s="2436"/>
      <c r="AG565" s="2436"/>
      <c r="AH565" s="2436"/>
      <c r="AI565" s="2436"/>
      <c r="AJ565" s="2436"/>
      <c r="AK565" s="643"/>
      <c r="AL565" s="574"/>
      <c r="AM565" s="604"/>
      <c r="AN565" s="598"/>
    </row>
    <row r="566" spans="1:42" s="551" customFormat="1" ht="12.75" customHeight="1">
      <c r="A566" s="604"/>
      <c r="B566" s="2436"/>
      <c r="C566" s="2436"/>
      <c r="D566" s="2436"/>
      <c r="E566" s="2436"/>
      <c r="F566" s="2436"/>
      <c r="G566" s="2436"/>
      <c r="H566" s="2436"/>
      <c r="I566" s="2436"/>
      <c r="J566" s="2436"/>
      <c r="K566" s="2436"/>
      <c r="L566" s="2436"/>
      <c r="M566" s="2436"/>
      <c r="N566" s="2436"/>
      <c r="O566" s="2436"/>
      <c r="P566" s="2436"/>
      <c r="Q566" s="2436"/>
      <c r="R566" s="2436"/>
      <c r="S566" s="2436"/>
      <c r="T566" s="2436"/>
      <c r="U566" s="2436"/>
      <c r="V566" s="2436"/>
      <c r="W566" s="2436"/>
      <c r="X566" s="2436"/>
      <c r="Y566" s="2436"/>
      <c r="Z566" s="2436"/>
      <c r="AA566" s="2436"/>
      <c r="AB566" s="2436"/>
      <c r="AC566" s="2436"/>
      <c r="AD566" s="2436"/>
      <c r="AE566" s="2436"/>
      <c r="AF566" s="2436"/>
      <c r="AG566" s="2436"/>
      <c r="AH566" s="2436"/>
      <c r="AI566" s="2436"/>
      <c r="AJ566" s="2436"/>
      <c r="AK566" s="643"/>
      <c r="AL566" s="574"/>
      <c r="AM566" s="604"/>
      <c r="AN566" s="598"/>
    </row>
    <row r="567" spans="1:42" s="551" customFormat="1" ht="12.75" customHeight="1">
      <c r="A567" s="604"/>
      <c r="B567" s="2436"/>
      <c r="C567" s="2436"/>
      <c r="D567" s="2436"/>
      <c r="E567" s="2436"/>
      <c r="F567" s="2436"/>
      <c r="G567" s="2436"/>
      <c r="H567" s="2436"/>
      <c r="I567" s="2436"/>
      <c r="J567" s="2436"/>
      <c r="K567" s="2436"/>
      <c r="L567" s="2436"/>
      <c r="M567" s="2436"/>
      <c r="N567" s="2436"/>
      <c r="O567" s="2436"/>
      <c r="P567" s="2436"/>
      <c r="Q567" s="2436"/>
      <c r="R567" s="2436"/>
      <c r="S567" s="2436"/>
      <c r="T567" s="2436"/>
      <c r="U567" s="2436"/>
      <c r="V567" s="2436"/>
      <c r="W567" s="2436"/>
      <c r="X567" s="2436"/>
      <c r="Y567" s="2436"/>
      <c r="Z567" s="2436"/>
      <c r="AA567" s="2436"/>
      <c r="AB567" s="2436"/>
      <c r="AC567" s="2436"/>
      <c r="AD567" s="2436"/>
      <c r="AE567" s="2436"/>
      <c r="AF567" s="2436"/>
      <c r="AG567" s="2436"/>
      <c r="AH567" s="2436"/>
      <c r="AI567" s="2436"/>
      <c r="AJ567" s="2436"/>
      <c r="AK567" s="643"/>
      <c r="AL567" s="574"/>
      <c r="AM567" s="604"/>
      <c r="AN567" s="598"/>
    </row>
    <row r="568" spans="1:42" s="551" customFormat="1" ht="12.75" customHeight="1">
      <c r="A568" s="604"/>
      <c r="B568" s="2436"/>
      <c r="C568" s="2436"/>
      <c r="D568" s="2436"/>
      <c r="E568" s="2436"/>
      <c r="F568" s="2436"/>
      <c r="G568" s="2436"/>
      <c r="H568" s="2436"/>
      <c r="I568" s="2436"/>
      <c r="J568" s="2436"/>
      <c r="K568" s="2436"/>
      <c r="L568" s="2436"/>
      <c r="M568" s="2436"/>
      <c r="N568" s="2436"/>
      <c r="O568" s="2436"/>
      <c r="P568" s="2436"/>
      <c r="Q568" s="2436"/>
      <c r="R568" s="2436"/>
      <c r="S568" s="2436"/>
      <c r="T568" s="2436"/>
      <c r="U568" s="2436"/>
      <c r="V568" s="2436"/>
      <c r="W568" s="2436"/>
      <c r="X568" s="2436"/>
      <c r="Y568" s="2436"/>
      <c r="Z568" s="2436"/>
      <c r="AA568" s="2436"/>
      <c r="AB568" s="2436"/>
      <c r="AC568" s="2436"/>
      <c r="AD568" s="2436"/>
      <c r="AE568" s="2436"/>
      <c r="AF568" s="2436"/>
      <c r="AG568" s="2436"/>
      <c r="AH568" s="2436"/>
      <c r="AI568" s="2436"/>
      <c r="AJ568" s="2436"/>
      <c r="AK568" s="643"/>
      <c r="AL568" s="574"/>
      <c r="AM568" s="604"/>
      <c r="AN568" s="598"/>
    </row>
    <row r="569" spans="1:42" s="551" customFormat="1" ht="12.75" customHeight="1">
      <c r="A569" s="604"/>
      <c r="B569" s="2436"/>
      <c r="C569" s="2436"/>
      <c r="D569" s="2436"/>
      <c r="E569" s="2436"/>
      <c r="F569" s="2436"/>
      <c r="G569" s="2436"/>
      <c r="H569" s="2436"/>
      <c r="I569" s="2436"/>
      <c r="J569" s="2436"/>
      <c r="K569" s="2436"/>
      <c r="L569" s="2436"/>
      <c r="M569" s="2436"/>
      <c r="N569" s="2436"/>
      <c r="O569" s="2436"/>
      <c r="P569" s="2436"/>
      <c r="Q569" s="2436"/>
      <c r="R569" s="2436"/>
      <c r="S569" s="2436"/>
      <c r="T569" s="2436"/>
      <c r="U569" s="2436"/>
      <c r="V569" s="2436"/>
      <c r="W569" s="2436"/>
      <c r="X569" s="2436"/>
      <c r="Y569" s="2436"/>
      <c r="Z569" s="2436"/>
      <c r="AA569" s="2436"/>
      <c r="AB569" s="2436"/>
      <c r="AC569" s="2436"/>
      <c r="AD569" s="2436"/>
      <c r="AE569" s="2436"/>
      <c r="AF569" s="2436"/>
      <c r="AG569" s="2436"/>
      <c r="AH569" s="2436"/>
      <c r="AI569" s="2436"/>
      <c r="AJ569" s="2436"/>
      <c r="AK569" s="643"/>
      <c r="AL569" s="574"/>
      <c r="AM569" s="604"/>
      <c r="AN569" s="598"/>
    </row>
    <row r="570" spans="1:42" s="551" customFormat="1" ht="12.75" customHeight="1">
      <c r="A570" s="604"/>
      <c r="B570" s="2436"/>
      <c r="C570" s="2436"/>
      <c r="D570" s="2436"/>
      <c r="E570" s="2436"/>
      <c r="F570" s="2436"/>
      <c r="G570" s="2436"/>
      <c r="H570" s="2436"/>
      <c r="I570" s="2436"/>
      <c r="J570" s="2436"/>
      <c r="K570" s="2436"/>
      <c r="L570" s="2436"/>
      <c r="M570" s="2436"/>
      <c r="N570" s="2436"/>
      <c r="O570" s="2436"/>
      <c r="P570" s="2436"/>
      <c r="Q570" s="2436"/>
      <c r="R570" s="2436"/>
      <c r="S570" s="2436"/>
      <c r="T570" s="2436"/>
      <c r="U570" s="2436"/>
      <c r="V570" s="2436"/>
      <c r="W570" s="2436"/>
      <c r="X570" s="2436"/>
      <c r="Y570" s="2436"/>
      <c r="Z570" s="2436"/>
      <c r="AA570" s="2436"/>
      <c r="AB570" s="2436"/>
      <c r="AC570" s="2436"/>
      <c r="AD570" s="2436"/>
      <c r="AE570" s="2436"/>
      <c r="AF570" s="2436"/>
      <c r="AG570" s="2436"/>
      <c r="AH570" s="2436"/>
      <c r="AI570" s="2436"/>
      <c r="AJ570" s="2436"/>
      <c r="AK570" s="643"/>
      <c r="AL570" s="574"/>
      <c r="AM570" s="604"/>
      <c r="AN570" s="598"/>
    </row>
    <row r="571" spans="1:42" ht="12.75" customHeight="1">
      <c r="A571" s="604"/>
      <c r="B571" s="2436"/>
      <c r="C571" s="2436"/>
      <c r="D571" s="2436"/>
      <c r="E571" s="2436"/>
      <c r="F571" s="2436"/>
      <c r="G571" s="2436"/>
      <c r="H571" s="2436"/>
      <c r="I571" s="2436"/>
      <c r="J571" s="2436"/>
      <c r="K571" s="2436"/>
      <c r="L571" s="2436"/>
      <c r="M571" s="2436"/>
      <c r="N571" s="2436"/>
      <c r="O571" s="2436"/>
      <c r="P571" s="2436"/>
      <c r="Q571" s="2436"/>
      <c r="R571" s="2436"/>
      <c r="S571" s="2436"/>
      <c r="T571" s="2436"/>
      <c r="U571" s="2436"/>
      <c r="V571" s="2436"/>
      <c r="W571" s="2436"/>
      <c r="X571" s="2436"/>
      <c r="Y571" s="2436"/>
      <c r="Z571" s="2436"/>
      <c r="AA571" s="2436"/>
      <c r="AB571" s="2436"/>
      <c r="AC571" s="2436"/>
      <c r="AD571" s="2436"/>
      <c r="AE571" s="2436"/>
      <c r="AF571" s="2436"/>
      <c r="AG571" s="2436"/>
      <c r="AH571" s="2436"/>
      <c r="AI571" s="2436"/>
      <c r="AJ571" s="2436"/>
      <c r="AK571" s="643"/>
      <c r="AL571" s="574"/>
      <c r="AM571" s="604"/>
    </row>
    <row r="572" spans="1:42" s="551" customFormat="1" ht="12.75" customHeight="1">
      <c r="B572" s="2436"/>
      <c r="C572" s="2436"/>
      <c r="D572" s="2436"/>
      <c r="E572" s="2436"/>
      <c r="F572" s="2436"/>
      <c r="G572" s="2436"/>
      <c r="H572" s="2436"/>
      <c r="I572" s="2436"/>
      <c r="J572" s="2436"/>
      <c r="K572" s="2436"/>
      <c r="L572" s="2436"/>
      <c r="M572" s="2436"/>
      <c r="N572" s="2436"/>
      <c r="O572" s="2436"/>
      <c r="P572" s="2436"/>
      <c r="Q572" s="2436"/>
      <c r="R572" s="2436"/>
      <c r="S572" s="2436"/>
      <c r="T572" s="2436"/>
      <c r="U572" s="2436"/>
      <c r="V572" s="2436"/>
      <c r="W572" s="2436"/>
      <c r="X572" s="2436"/>
      <c r="Y572" s="2436"/>
      <c r="Z572" s="2436"/>
      <c r="AA572" s="2436"/>
      <c r="AB572" s="2436"/>
      <c r="AC572" s="2436"/>
      <c r="AD572" s="2436"/>
      <c r="AE572" s="2436"/>
      <c r="AF572" s="2436"/>
      <c r="AG572" s="2436"/>
      <c r="AH572" s="2436"/>
      <c r="AI572" s="2436"/>
      <c r="AJ572" s="2436"/>
      <c r="AK572" s="643"/>
      <c r="AL572" s="574"/>
      <c r="AN572" s="598"/>
    </row>
    <row r="573" spans="1:42" s="551" customFormat="1" ht="12.75" customHeight="1">
      <c r="B573" s="643"/>
      <c r="C573" s="643"/>
      <c r="D573" s="643"/>
      <c r="E573" s="643"/>
      <c r="F573" s="643"/>
      <c r="G573" s="643"/>
      <c r="H573" s="643"/>
      <c r="I573" s="643"/>
      <c r="J573" s="643"/>
      <c r="K573" s="643"/>
      <c r="L573" s="643"/>
      <c r="M573" s="643"/>
      <c r="N573" s="643"/>
      <c r="O573" s="643"/>
      <c r="P573" s="643"/>
      <c r="Q573" s="643"/>
      <c r="R573" s="643"/>
      <c r="S573" s="643"/>
      <c r="T573" s="643"/>
      <c r="U573" s="643"/>
      <c r="V573" s="643"/>
      <c r="W573" s="643"/>
      <c r="X573" s="643"/>
      <c r="Y573" s="643"/>
      <c r="Z573" s="643"/>
      <c r="AA573" s="643"/>
      <c r="AB573" s="643"/>
      <c r="AC573" s="643"/>
      <c r="AD573" s="643"/>
      <c r="AE573" s="643"/>
      <c r="AF573" s="643"/>
      <c r="AG573" s="643"/>
      <c r="AH573" s="643"/>
      <c r="AI573" s="643"/>
      <c r="AJ573" s="643"/>
      <c r="AK573" s="643"/>
      <c r="AL573" s="574"/>
      <c r="AN573" s="598"/>
    </row>
    <row r="574" spans="1:42" s="551" customFormat="1" ht="12.75" customHeight="1">
      <c r="B574" s="664" t="s">
        <v>1393</v>
      </c>
      <c r="C574" s="672"/>
      <c r="D574" s="574"/>
      <c r="E574" s="574"/>
      <c r="F574" s="574"/>
      <c r="G574" s="574"/>
      <c r="H574" s="574"/>
      <c r="I574" s="574"/>
      <c r="J574" s="574"/>
      <c r="K574" s="574"/>
      <c r="L574" s="574"/>
      <c r="M574" s="574"/>
      <c r="N574" s="574"/>
      <c r="O574" s="574"/>
      <c r="P574" s="574"/>
      <c r="Q574" s="574"/>
      <c r="R574" s="574"/>
      <c r="S574" s="574"/>
      <c r="T574" s="574"/>
      <c r="U574" s="574"/>
      <c r="V574" s="574"/>
      <c r="W574" s="574"/>
      <c r="X574" s="574"/>
      <c r="Y574" s="574"/>
      <c r="Z574" s="574"/>
      <c r="AA574" s="574"/>
      <c r="AB574" s="574"/>
      <c r="AC574" s="574"/>
      <c r="AD574" s="574"/>
      <c r="AE574" s="574"/>
      <c r="AF574" s="574"/>
      <c r="AG574" s="574"/>
      <c r="AH574" s="574"/>
      <c r="AI574" s="574"/>
      <c r="AN574" s="598"/>
      <c r="AP574" s="551" t="s">
        <v>591</v>
      </c>
    </row>
    <row r="575" spans="1:42" s="551" customFormat="1" ht="12.75" customHeight="1">
      <c r="B575" s="537"/>
      <c r="C575" s="672"/>
      <c r="D575" s="574"/>
      <c r="E575" s="574"/>
      <c r="F575" s="574"/>
      <c r="G575" s="574"/>
      <c r="H575" s="574"/>
      <c r="I575" s="574"/>
      <c r="J575" s="574"/>
      <c r="K575" s="574"/>
      <c r="L575" s="574"/>
      <c r="M575" s="574"/>
      <c r="N575" s="574"/>
      <c r="O575" s="574"/>
      <c r="P575" s="574"/>
      <c r="Q575" s="574"/>
      <c r="R575" s="574"/>
      <c r="S575" s="574"/>
      <c r="T575" s="574"/>
      <c r="U575" s="574"/>
      <c r="V575" s="574"/>
      <c r="W575" s="574"/>
      <c r="X575" s="574"/>
      <c r="Y575" s="574"/>
      <c r="Z575" s="574"/>
      <c r="AA575" s="574"/>
      <c r="AB575" s="574"/>
      <c r="AC575" s="574"/>
      <c r="AD575" s="574"/>
      <c r="AE575" s="574"/>
      <c r="AF575" s="574"/>
      <c r="AG575" s="574"/>
      <c r="AH575" s="574"/>
      <c r="AI575" s="574"/>
      <c r="AN575" s="598"/>
      <c r="AP575" s="551" t="s">
        <v>545</v>
      </c>
    </row>
    <row r="576" spans="1:42" s="551" customFormat="1" ht="12.75" customHeight="1">
      <c r="C576" s="540" t="s">
        <v>1394</v>
      </c>
      <c r="D576" s="673"/>
      <c r="E576" s="574"/>
      <c r="F576" s="574"/>
      <c r="G576" s="574"/>
      <c r="H576" s="574"/>
      <c r="I576" s="574"/>
      <c r="J576" s="574"/>
      <c r="K576" s="574"/>
      <c r="L576" s="574"/>
      <c r="M576" s="574"/>
      <c r="N576" s="574"/>
      <c r="O576" s="574"/>
      <c r="P576" s="574"/>
      <c r="Q576" s="574"/>
      <c r="R576" s="574"/>
      <c r="S576" s="574"/>
      <c r="T576" s="574"/>
      <c r="U576" s="574"/>
      <c r="V576" s="574"/>
      <c r="W576" s="574"/>
      <c r="X576" s="574"/>
      <c r="Y576" s="574"/>
      <c r="Z576" s="574"/>
      <c r="AA576" s="574"/>
      <c r="AB576" s="574"/>
      <c r="AC576" s="574"/>
      <c r="AD576" s="574"/>
      <c r="AE576" s="574"/>
      <c r="AF576" s="574"/>
      <c r="AG576" s="574"/>
      <c r="AH576" s="574"/>
      <c r="AI576" s="574"/>
      <c r="AN576" s="598"/>
    </row>
    <row r="577" spans="1:42" s="551" customFormat="1" ht="12.75" customHeight="1">
      <c r="B577" s="537"/>
      <c r="C577" s="537"/>
      <c r="D577" s="641"/>
      <c r="E577" s="644"/>
      <c r="F577" s="644"/>
      <c r="G577" s="644"/>
      <c r="H577" s="644"/>
      <c r="I577" s="644"/>
      <c r="J577" s="644"/>
      <c r="K577" s="644"/>
      <c r="L577" s="644"/>
      <c r="M577" s="644"/>
      <c r="N577" s="644"/>
      <c r="O577" s="644"/>
      <c r="P577" s="644"/>
      <c r="Q577" s="644"/>
      <c r="R577" s="644"/>
      <c r="S577" s="644"/>
      <c r="T577" s="644"/>
      <c r="U577" s="644"/>
      <c r="V577" s="644"/>
      <c r="W577" s="644"/>
      <c r="X577" s="644"/>
      <c r="Y577" s="644"/>
      <c r="Z577" s="644"/>
      <c r="AA577" s="644"/>
      <c r="AB577" s="644"/>
      <c r="AC577" s="644"/>
      <c r="AD577" s="644"/>
      <c r="AE577" s="644"/>
      <c r="AF577" s="537"/>
      <c r="AG577" s="537"/>
      <c r="AH577" s="537"/>
      <c r="AI577" s="537"/>
      <c r="AJ577" s="537"/>
      <c r="AK577" s="537"/>
      <c r="AL577" s="537"/>
      <c r="AN577" s="598"/>
    </row>
    <row r="578" spans="1:42" s="551" customFormat="1" ht="12.75" customHeight="1">
      <c r="B578" s="537"/>
      <c r="C578" s="537"/>
      <c r="D578" s="664" t="s">
        <v>687</v>
      </c>
      <c r="E578" s="839" t="s">
        <v>1697</v>
      </c>
      <c r="F578" s="643"/>
      <c r="G578" s="643"/>
      <c r="H578" s="643"/>
      <c r="I578" s="643"/>
      <c r="J578" s="643"/>
      <c r="K578" s="643"/>
      <c r="L578" s="643"/>
      <c r="M578" s="643"/>
      <c r="N578" s="643"/>
      <c r="O578" s="643"/>
      <c r="P578" s="643"/>
      <c r="Q578" s="643"/>
      <c r="R578" s="643"/>
      <c r="S578" s="643"/>
      <c r="T578" s="643"/>
      <c r="U578" s="643"/>
      <c r="V578" s="643"/>
      <c r="W578" s="643"/>
      <c r="X578" s="643"/>
      <c r="Y578" s="643"/>
      <c r="Z578" s="643"/>
      <c r="AA578" s="643"/>
      <c r="AB578" s="643"/>
      <c r="AC578" s="537"/>
      <c r="AD578" s="537"/>
      <c r="AE578" s="537"/>
      <c r="AF578" s="2381" t="s">
        <v>1337</v>
      </c>
      <c r="AG578" s="2381"/>
      <c r="AH578" s="2381"/>
      <c r="AI578" s="2381"/>
      <c r="AJ578" s="2381"/>
      <c r="AK578" s="2381"/>
      <c r="AL578" s="2381"/>
      <c r="AN578" s="598"/>
    </row>
    <row r="579" spans="1:42" s="551" customFormat="1" ht="12.75" customHeight="1">
      <c r="B579" s="537"/>
      <c r="C579" s="617"/>
      <c r="D579" s="664"/>
      <c r="E579" s="839" t="s">
        <v>1698</v>
      </c>
      <c r="F579" s="643"/>
      <c r="G579" s="643"/>
      <c r="H579" s="643"/>
      <c r="I579" s="643"/>
      <c r="J579" s="643"/>
      <c r="K579" s="643"/>
      <c r="L579" s="643"/>
      <c r="M579" s="643"/>
      <c r="N579" s="643"/>
      <c r="O579" s="643"/>
      <c r="P579" s="643"/>
      <c r="Q579" s="643"/>
      <c r="R579" s="643"/>
      <c r="S579" s="643"/>
      <c r="T579" s="643"/>
      <c r="U579" s="643"/>
      <c r="V579" s="643"/>
      <c r="W579" s="643"/>
      <c r="X579" s="643"/>
      <c r="Y579" s="643"/>
      <c r="Z579" s="643"/>
      <c r="AA579" s="643"/>
      <c r="AB579" s="643"/>
      <c r="AC579" s="537"/>
      <c r="AD579" s="537"/>
      <c r="AE579" s="617"/>
      <c r="AF579" s="617"/>
      <c r="AG579" s="617"/>
      <c r="AH579" s="617"/>
      <c r="AI579" s="617"/>
      <c r="AJ579" s="617"/>
      <c r="AK579" s="617"/>
      <c r="AL579" s="617"/>
      <c r="AN579" s="598"/>
    </row>
    <row r="580" spans="1:42" s="551" customFormat="1" ht="12.75" customHeight="1">
      <c r="B580" s="537"/>
      <c r="C580" s="617"/>
      <c r="D580" s="664"/>
      <c r="E580" s="839" t="s">
        <v>1699</v>
      </c>
      <c r="F580" s="643"/>
      <c r="G580" s="643"/>
      <c r="H580" s="643"/>
      <c r="I580" s="643"/>
      <c r="J580" s="643"/>
      <c r="K580" s="643"/>
      <c r="L580" s="643"/>
      <c r="M580" s="643"/>
      <c r="N580" s="643"/>
      <c r="O580" s="643"/>
      <c r="P580" s="643"/>
      <c r="Q580" s="643"/>
      <c r="R580" s="643"/>
      <c r="S580" s="643"/>
      <c r="T580" s="643"/>
      <c r="U580" s="643"/>
      <c r="V580" s="643"/>
      <c r="W580" s="643"/>
      <c r="X580" s="643"/>
      <c r="Y580" s="643"/>
      <c r="Z580" s="643"/>
      <c r="AA580" s="643"/>
      <c r="AB580" s="643"/>
      <c r="AC580" s="537"/>
      <c r="AD580" s="537"/>
      <c r="AE580" s="617"/>
      <c r="AF580" s="617"/>
      <c r="AG580" s="617"/>
      <c r="AH580" s="617"/>
      <c r="AI580" s="617"/>
      <c r="AJ580" s="617"/>
      <c r="AK580" s="617"/>
      <c r="AL580" s="617"/>
      <c r="AN580" s="598"/>
    </row>
    <row r="581" spans="1:42" s="551" customFormat="1" ht="12.75" customHeight="1">
      <c r="B581" s="537"/>
      <c r="C581" s="617"/>
      <c r="D581" s="664"/>
      <c r="E581" s="839" t="s">
        <v>1700</v>
      </c>
      <c r="F581" s="643"/>
      <c r="G581" s="643"/>
      <c r="H581" s="643"/>
      <c r="I581" s="643"/>
      <c r="J581" s="643"/>
      <c r="K581" s="643"/>
      <c r="L581" s="643"/>
      <c r="M581" s="643"/>
      <c r="N581" s="643"/>
      <c r="O581" s="643"/>
      <c r="P581" s="643"/>
      <c r="Q581" s="643"/>
      <c r="R581" s="643"/>
      <c r="S581" s="643"/>
      <c r="T581" s="643"/>
      <c r="U581" s="643"/>
      <c r="V581" s="643"/>
      <c r="W581" s="643"/>
      <c r="X581" s="643"/>
      <c r="Y581" s="643"/>
      <c r="Z581" s="643"/>
      <c r="AA581" s="643"/>
      <c r="AB581" s="643"/>
      <c r="AC581" s="537"/>
      <c r="AD581" s="537"/>
      <c r="AE581" s="617"/>
      <c r="AF581" s="617"/>
      <c r="AG581" s="617"/>
      <c r="AH581" s="617"/>
      <c r="AI581" s="617"/>
      <c r="AJ581" s="617"/>
      <c r="AK581" s="617"/>
      <c r="AL581" s="617"/>
      <c r="AN581" s="598"/>
    </row>
    <row r="582" spans="1:42" s="551" customFormat="1" ht="12.75" customHeight="1">
      <c r="B582" s="537"/>
      <c r="C582" s="617"/>
      <c r="D582" s="664"/>
      <c r="E582" s="839" t="s">
        <v>1701</v>
      </c>
      <c r="F582" s="643"/>
      <c r="G582" s="643"/>
      <c r="H582" s="643"/>
      <c r="I582" s="643"/>
      <c r="J582" s="643"/>
      <c r="K582" s="643"/>
      <c r="L582" s="643"/>
      <c r="M582" s="643"/>
      <c r="N582" s="643"/>
      <c r="O582" s="643"/>
      <c r="P582" s="643"/>
      <c r="Q582" s="643"/>
      <c r="R582" s="643"/>
      <c r="S582" s="643"/>
      <c r="T582" s="643"/>
      <c r="U582" s="643"/>
      <c r="V582" s="643"/>
      <c r="W582" s="643"/>
      <c r="X582" s="643"/>
      <c r="Y582" s="643"/>
      <c r="Z582" s="643"/>
      <c r="AA582" s="643"/>
      <c r="AB582" s="643"/>
      <c r="AC582" s="537"/>
      <c r="AD582" s="537"/>
      <c r="AE582" s="617"/>
      <c r="AF582" s="617"/>
      <c r="AG582" s="617"/>
      <c r="AH582" s="617"/>
      <c r="AI582" s="617"/>
      <c r="AJ582" s="617"/>
      <c r="AK582" s="617"/>
      <c r="AL582" s="617"/>
      <c r="AN582" s="598"/>
      <c r="AO582" s="22" t="s">
        <v>2175</v>
      </c>
      <c r="AP582" s="551" t="b">
        <f>IF(Application!AF418&gt;=25,TRUE,FALSE)</f>
        <v>1</v>
      </c>
    </row>
    <row r="583" spans="1:42" s="551" customFormat="1" ht="12.75" customHeight="1">
      <c r="B583" s="537"/>
      <c r="C583" s="617"/>
      <c r="D583" s="664"/>
      <c r="E583" s="839" t="s">
        <v>1702</v>
      </c>
      <c r="F583" s="643"/>
      <c r="G583" s="643"/>
      <c r="H583" s="643"/>
      <c r="I583" s="643"/>
      <c r="J583" s="643"/>
      <c r="K583" s="643"/>
      <c r="L583" s="643"/>
      <c r="M583" s="643"/>
      <c r="N583" s="643"/>
      <c r="O583" s="643"/>
      <c r="P583" s="643"/>
      <c r="Q583" s="643"/>
      <c r="R583" s="643"/>
      <c r="S583" s="643"/>
      <c r="T583" s="643"/>
      <c r="U583" s="643"/>
      <c r="V583" s="643"/>
      <c r="W583" s="643"/>
      <c r="X583" s="643"/>
      <c r="Y583" s="643"/>
      <c r="Z583" s="643"/>
      <c r="AA583" s="643"/>
      <c r="AB583" s="643"/>
      <c r="AC583" s="537"/>
      <c r="AD583" s="537"/>
      <c r="AE583" s="617"/>
      <c r="AF583" s="617"/>
      <c r="AG583" s="617"/>
      <c r="AH583" s="617"/>
      <c r="AI583" s="617"/>
      <c r="AJ583" s="617"/>
      <c r="AK583" s="617"/>
      <c r="AL583" s="617"/>
      <c r="AN583" s="598"/>
      <c r="AO583" s="22" t="s">
        <v>2176</v>
      </c>
      <c r="AP583" s="551" t="b">
        <f>Application!T199="Yes"</f>
        <v>0</v>
      </c>
    </row>
    <row r="584" spans="1:42" s="551" customFormat="1" ht="12.75" customHeight="1">
      <c r="B584" s="537"/>
      <c r="C584" s="617"/>
      <c r="D584" s="664"/>
      <c r="E584" s="839"/>
      <c r="F584" s="643"/>
      <c r="G584" s="643"/>
      <c r="H584" s="643"/>
      <c r="I584" s="643"/>
      <c r="J584" s="643"/>
      <c r="K584" s="643"/>
      <c r="L584" s="643"/>
      <c r="M584" s="643"/>
      <c r="N584" s="643"/>
      <c r="O584" s="643"/>
      <c r="P584" s="643"/>
      <c r="Q584" s="643"/>
      <c r="R584" s="643"/>
      <c r="S584" s="643"/>
      <c r="T584" s="643"/>
      <c r="U584" s="643"/>
      <c r="V584" s="643"/>
      <c r="W584" s="643"/>
      <c r="X584" s="643"/>
      <c r="Y584" s="643"/>
      <c r="Z584" s="643"/>
      <c r="AA584" s="643"/>
      <c r="AB584" s="643"/>
      <c r="AC584" s="537"/>
      <c r="AD584" s="537"/>
      <c r="AE584" s="617"/>
      <c r="AF584" s="537"/>
      <c r="AG584" s="537"/>
      <c r="AH584" s="537"/>
      <c r="AI584" s="537"/>
      <c r="AJ584" s="537"/>
      <c r="AK584" s="537"/>
      <c r="AL584" s="537"/>
      <c r="AN584" s="598"/>
    </row>
    <row r="585" spans="1:42" s="551" customFormat="1" ht="12.75" customHeight="1">
      <c r="A585" s="638"/>
      <c r="B585" s="537"/>
      <c r="C585" s="932"/>
      <c r="D585" s="664" t="s">
        <v>509</v>
      </c>
      <c r="E585" s="839" t="s">
        <v>1703</v>
      </c>
      <c r="F585" s="933"/>
      <c r="G585" s="933"/>
      <c r="H585" s="933"/>
      <c r="I585" s="933"/>
      <c r="J585" s="933"/>
      <c r="K585" s="933"/>
      <c r="L585" s="933"/>
      <c r="M585" s="933"/>
      <c r="N585" s="933"/>
      <c r="O585" s="933"/>
      <c r="P585" s="933"/>
      <c r="Q585" s="933"/>
      <c r="R585" s="933"/>
      <c r="S585" s="933"/>
      <c r="T585" s="933"/>
      <c r="U585" s="933"/>
      <c r="V585" s="933"/>
      <c r="W585" s="933"/>
      <c r="X585" s="933"/>
      <c r="Y585" s="933"/>
      <c r="Z585" s="933"/>
      <c r="AA585" s="933"/>
      <c r="AB585" s="933"/>
      <c r="AC585" s="537"/>
      <c r="AD585" s="537"/>
      <c r="AE585" s="537"/>
      <c r="AF585" s="2381" t="s">
        <v>1395</v>
      </c>
      <c r="AG585" s="2381"/>
      <c r="AH585" s="2381"/>
      <c r="AI585" s="2381"/>
      <c r="AJ585" s="2381"/>
      <c r="AK585" s="2381"/>
      <c r="AL585" s="2381"/>
      <c r="AN585" s="598"/>
    </row>
    <row r="586" spans="1:42" s="551" customFormat="1" ht="12.75" customHeight="1">
      <c r="B586" s="537"/>
      <c r="C586" s="934"/>
      <c r="D586" s="664"/>
      <c r="E586" s="839" t="s">
        <v>1704</v>
      </c>
      <c r="F586" s="933"/>
      <c r="G586" s="933"/>
      <c r="H586" s="933"/>
      <c r="I586" s="933"/>
      <c r="J586" s="933"/>
      <c r="K586" s="933"/>
      <c r="L586" s="933"/>
      <c r="M586" s="933"/>
      <c r="N586" s="933"/>
      <c r="O586" s="933"/>
      <c r="P586" s="933"/>
      <c r="Q586" s="933"/>
      <c r="R586" s="933"/>
      <c r="S586" s="933"/>
      <c r="T586" s="933"/>
      <c r="U586" s="933"/>
      <c r="V586" s="933"/>
      <c r="W586" s="933"/>
      <c r="X586" s="933"/>
      <c r="Y586" s="933"/>
      <c r="Z586" s="933"/>
      <c r="AA586" s="933"/>
      <c r="AB586" s="933"/>
      <c r="AC586" s="537"/>
      <c r="AD586" s="537"/>
      <c r="AE586" s="537"/>
      <c r="AF586" s="537"/>
      <c r="AG586" s="537"/>
      <c r="AH586" s="537"/>
      <c r="AI586" s="537"/>
      <c r="AJ586" s="537"/>
      <c r="AK586" s="537"/>
      <c r="AL586" s="537"/>
      <c r="AN586" s="598"/>
      <c r="AO586" s="551" t="s">
        <v>591</v>
      </c>
      <c r="AP586" s="674">
        <v>0</v>
      </c>
    </row>
    <row r="587" spans="1:42" s="551" customFormat="1" ht="12.75" customHeight="1">
      <c r="B587" s="611"/>
      <c r="C587" s="932"/>
      <c r="D587" s="664"/>
      <c r="E587" s="839" t="s">
        <v>1705</v>
      </c>
      <c r="F587" s="933"/>
      <c r="G587" s="933"/>
      <c r="H587" s="933"/>
      <c r="I587" s="933"/>
      <c r="J587" s="933"/>
      <c r="K587" s="933"/>
      <c r="L587" s="933"/>
      <c r="M587" s="933"/>
      <c r="N587" s="933"/>
      <c r="O587" s="933"/>
      <c r="P587" s="933"/>
      <c r="Q587" s="933"/>
      <c r="R587" s="933"/>
      <c r="S587" s="933"/>
      <c r="T587" s="933"/>
      <c r="U587" s="933"/>
      <c r="V587" s="933"/>
      <c r="W587" s="933"/>
      <c r="X587" s="933"/>
      <c r="Y587" s="933"/>
      <c r="Z587" s="933"/>
      <c r="AA587" s="933"/>
      <c r="AB587" s="933"/>
      <c r="AC587" s="537"/>
      <c r="AD587" s="537"/>
      <c r="AE587" s="537"/>
      <c r="AF587" s="537"/>
      <c r="AG587" s="537"/>
      <c r="AH587" s="537"/>
      <c r="AI587" s="537"/>
      <c r="AJ587" s="537"/>
      <c r="AK587" s="537"/>
      <c r="AL587" s="537"/>
      <c r="AN587" s="598"/>
      <c r="AO587" s="612" t="s">
        <v>687</v>
      </c>
      <c r="AP587" s="551">
        <f>7*AP582</f>
        <v>7</v>
      </c>
    </row>
    <row r="588" spans="1:42" s="551" customFormat="1" ht="12.75" customHeight="1">
      <c r="B588" s="611"/>
      <c r="C588" s="932"/>
      <c r="D588" s="664"/>
      <c r="E588" s="839" t="s">
        <v>1707</v>
      </c>
      <c r="F588" s="933"/>
      <c r="G588" s="933"/>
      <c r="H588" s="933"/>
      <c r="I588" s="933"/>
      <c r="J588" s="933"/>
      <c r="K588" s="933"/>
      <c r="L588" s="933"/>
      <c r="M588" s="933"/>
      <c r="N588" s="933"/>
      <c r="O588" s="933"/>
      <c r="P588" s="933"/>
      <c r="Q588" s="933"/>
      <c r="R588" s="933"/>
      <c r="S588" s="933"/>
      <c r="T588" s="933"/>
      <c r="U588" s="933"/>
      <c r="V588" s="933"/>
      <c r="W588" s="933"/>
      <c r="X588" s="933"/>
      <c r="Y588" s="933"/>
      <c r="Z588" s="933"/>
      <c r="AA588" s="933"/>
      <c r="AB588" s="933"/>
      <c r="AC588" s="537"/>
      <c r="AD588" s="537"/>
      <c r="AE588" s="537"/>
      <c r="AF588" s="537"/>
      <c r="AG588" s="537"/>
      <c r="AH588" s="537"/>
      <c r="AI588" s="537"/>
      <c r="AJ588" s="537"/>
      <c r="AK588" s="537"/>
      <c r="AL588" s="537"/>
      <c r="AN588" s="598"/>
      <c r="AO588" s="612" t="s">
        <v>509</v>
      </c>
      <c r="AP588" s="551">
        <v>6</v>
      </c>
    </row>
    <row r="589" spans="1:42" s="551" customFormat="1" ht="12.75" customHeight="1">
      <c r="B589" s="611"/>
      <c r="C589" s="932"/>
      <c r="D589" s="664"/>
      <c r="E589" s="839" t="s">
        <v>1706</v>
      </c>
      <c r="F589" s="933"/>
      <c r="G589" s="933"/>
      <c r="H589" s="933"/>
      <c r="I589" s="933"/>
      <c r="J589" s="933"/>
      <c r="K589" s="933"/>
      <c r="L589" s="933"/>
      <c r="M589" s="933"/>
      <c r="N589" s="933"/>
      <c r="O589" s="933"/>
      <c r="P589" s="933"/>
      <c r="Q589" s="933"/>
      <c r="R589" s="933"/>
      <c r="S589" s="933"/>
      <c r="T589" s="933"/>
      <c r="U589" s="933"/>
      <c r="V589" s="933"/>
      <c r="W589" s="933"/>
      <c r="X589" s="933"/>
      <c r="Y589" s="933"/>
      <c r="Z589" s="933"/>
      <c r="AA589" s="933"/>
      <c r="AB589" s="933"/>
      <c r="AC589" s="537"/>
      <c r="AD589" s="537"/>
      <c r="AE589" s="537"/>
      <c r="AF589" s="537"/>
      <c r="AG589" s="537"/>
      <c r="AH589" s="537"/>
      <c r="AI589" s="537"/>
      <c r="AJ589" s="537"/>
      <c r="AK589" s="537"/>
      <c r="AL589" s="537"/>
      <c r="AN589" s="598"/>
      <c r="AO589" s="612" t="s">
        <v>277</v>
      </c>
      <c r="AP589" s="551">
        <v>5</v>
      </c>
    </row>
    <row r="590" spans="1:42" s="551" customFormat="1" ht="12.75" customHeight="1">
      <c r="B590" s="611"/>
      <c r="C590" s="932"/>
      <c r="D590" s="664"/>
      <c r="E590" s="935"/>
      <c r="F590" s="936"/>
      <c r="G590" s="936"/>
      <c r="H590" s="936"/>
      <c r="I590" s="617"/>
      <c r="J590" s="617"/>
      <c r="K590" s="617"/>
      <c r="L590" s="617"/>
      <c r="M590" s="617"/>
      <c r="N590" s="617"/>
      <c r="O590" s="617"/>
      <c r="P590" s="617"/>
      <c r="Q590" s="617"/>
      <c r="R590" s="617"/>
      <c r="S590" s="617"/>
      <c r="T590" s="617"/>
      <c r="U590" s="617"/>
      <c r="V590" s="617"/>
      <c r="W590" s="617"/>
      <c r="X590" s="617"/>
      <c r="Y590" s="617"/>
      <c r="Z590" s="617"/>
      <c r="AA590" s="617"/>
      <c r="AB590" s="617"/>
      <c r="AC590" s="537"/>
      <c r="AD590" s="537"/>
      <c r="AE590" s="617"/>
      <c r="AF590" s="537"/>
      <c r="AG590" s="537"/>
      <c r="AH590" s="537"/>
      <c r="AI590" s="537"/>
      <c r="AJ590" s="537"/>
      <c r="AK590" s="537"/>
      <c r="AL590" s="537"/>
      <c r="AN590" s="598"/>
      <c r="AO590" s="612" t="s">
        <v>1396</v>
      </c>
      <c r="AP590" s="551">
        <v>4</v>
      </c>
    </row>
    <row r="591" spans="1:42" s="551" customFormat="1" ht="12.75" customHeight="1">
      <c r="B591" s="537"/>
      <c r="C591" s="932"/>
      <c r="D591" s="664" t="s">
        <v>277</v>
      </c>
      <c r="E591" s="839" t="s">
        <v>1708</v>
      </c>
      <c r="F591" s="933"/>
      <c r="G591" s="933"/>
      <c r="H591" s="933"/>
      <c r="I591" s="933"/>
      <c r="J591" s="933"/>
      <c r="K591" s="933"/>
      <c r="L591" s="933"/>
      <c r="M591" s="933"/>
      <c r="N591" s="933"/>
      <c r="O591" s="933"/>
      <c r="P591" s="933"/>
      <c r="Q591" s="933"/>
      <c r="R591" s="933"/>
      <c r="S591" s="933"/>
      <c r="T591" s="933"/>
      <c r="U591" s="933"/>
      <c r="V591" s="933"/>
      <c r="W591" s="933"/>
      <c r="X591" s="933"/>
      <c r="Y591" s="933"/>
      <c r="Z591" s="933"/>
      <c r="AA591" s="933"/>
      <c r="AB591" s="933"/>
      <c r="AC591" s="537"/>
      <c r="AD591" s="537"/>
      <c r="AE591" s="537"/>
      <c r="AF591" s="2381" t="s">
        <v>1377</v>
      </c>
      <c r="AG591" s="2381"/>
      <c r="AH591" s="2381"/>
      <c r="AI591" s="2381"/>
      <c r="AJ591" s="2381"/>
      <c r="AK591" s="2381"/>
      <c r="AL591" s="2381"/>
      <c r="AN591" s="598"/>
      <c r="AO591" s="612" t="s">
        <v>1397</v>
      </c>
      <c r="AP591" s="551">
        <v>3</v>
      </c>
    </row>
    <row r="592" spans="1:42" s="551" customFormat="1" ht="12.75" customHeight="1">
      <c r="B592" s="537"/>
      <c r="C592" s="934"/>
      <c r="D592" s="664"/>
      <c r="E592" s="839" t="s">
        <v>1704</v>
      </c>
      <c r="F592" s="933"/>
      <c r="G592" s="933"/>
      <c r="H592" s="933"/>
      <c r="I592" s="933"/>
      <c r="J592" s="933"/>
      <c r="K592" s="933"/>
      <c r="L592" s="933"/>
      <c r="M592" s="933"/>
      <c r="N592" s="933"/>
      <c r="O592" s="933"/>
      <c r="P592" s="933"/>
      <c r="Q592" s="933"/>
      <c r="R592" s="933"/>
      <c r="S592" s="933"/>
      <c r="T592" s="933"/>
      <c r="U592" s="933"/>
      <c r="V592" s="933"/>
      <c r="W592" s="933"/>
      <c r="X592" s="933"/>
      <c r="Y592" s="933"/>
      <c r="Z592" s="933"/>
      <c r="AA592" s="933"/>
      <c r="AB592" s="933"/>
      <c r="AC592" s="537"/>
      <c r="AD592" s="537"/>
      <c r="AE592" s="537"/>
      <c r="AF592" s="537"/>
      <c r="AG592" s="537"/>
      <c r="AH592" s="537"/>
      <c r="AI592" s="537"/>
      <c r="AJ592" s="537"/>
      <c r="AK592" s="537"/>
      <c r="AL592" s="537"/>
      <c r="AN592" s="598"/>
    </row>
    <row r="593" spans="1:53" s="551" customFormat="1" ht="12.75" customHeight="1">
      <c r="B593" s="537"/>
      <c r="C593" s="934"/>
      <c r="D593" s="664"/>
      <c r="E593" s="839" t="s">
        <v>1705</v>
      </c>
      <c r="F593" s="933"/>
      <c r="G593" s="933"/>
      <c r="H593" s="933"/>
      <c r="I593" s="933"/>
      <c r="J593" s="933"/>
      <c r="K593" s="933"/>
      <c r="L593" s="933"/>
      <c r="M593" s="933"/>
      <c r="N593" s="933"/>
      <c r="O593" s="933"/>
      <c r="P593" s="933"/>
      <c r="Q593" s="933"/>
      <c r="R593" s="933"/>
      <c r="S593" s="933"/>
      <c r="T593" s="933"/>
      <c r="U593" s="933"/>
      <c r="V593" s="933"/>
      <c r="W593" s="933"/>
      <c r="X593" s="933"/>
      <c r="Y593" s="933"/>
      <c r="Z593" s="933"/>
      <c r="AA593" s="933"/>
      <c r="AB593" s="933"/>
      <c r="AC593" s="537"/>
      <c r="AD593" s="537"/>
      <c r="AE593" s="537"/>
      <c r="AF593" s="537"/>
      <c r="AG593" s="537"/>
      <c r="AH593" s="537"/>
      <c r="AI593" s="537"/>
      <c r="AJ593" s="537"/>
      <c r="AK593" s="537"/>
      <c r="AL593" s="537"/>
      <c r="AN593" s="598"/>
      <c r="AO593" s="22" t="s">
        <v>2178</v>
      </c>
    </row>
    <row r="594" spans="1:53" s="551" customFormat="1" ht="12.75" customHeight="1">
      <c r="B594" s="537"/>
      <c r="C594" s="934"/>
      <c r="D594" s="664"/>
      <c r="E594" s="839" t="s">
        <v>1707</v>
      </c>
      <c r="F594" s="933"/>
      <c r="G594" s="933"/>
      <c r="H594" s="933"/>
      <c r="I594" s="933"/>
      <c r="J594" s="933"/>
      <c r="K594" s="933"/>
      <c r="L594" s="933"/>
      <c r="M594" s="933"/>
      <c r="N594" s="933"/>
      <c r="O594" s="933"/>
      <c r="P594" s="933"/>
      <c r="Q594" s="933"/>
      <c r="R594" s="933"/>
      <c r="S594" s="933"/>
      <c r="T594" s="933"/>
      <c r="U594" s="933"/>
      <c r="V594" s="933"/>
      <c r="W594" s="933"/>
      <c r="X594" s="933"/>
      <c r="Y594" s="933"/>
      <c r="Z594" s="933"/>
      <c r="AA594" s="933"/>
      <c r="AB594" s="933"/>
      <c r="AC594" s="537"/>
      <c r="AD594" s="537"/>
      <c r="AE594" s="537"/>
      <c r="AF594" s="537"/>
      <c r="AG594" s="537"/>
      <c r="AH594" s="537"/>
      <c r="AI594" s="537"/>
      <c r="AJ594" s="537"/>
      <c r="AK594" s="537"/>
      <c r="AL594" s="537"/>
      <c r="AN594" s="598"/>
      <c r="AO594" s="22" t="s">
        <v>2179</v>
      </c>
    </row>
    <row r="595" spans="1:53" s="551" customFormat="1" ht="12.75" customHeight="1">
      <c r="B595" s="537"/>
      <c r="C595" s="934"/>
      <c r="D595" s="664"/>
      <c r="E595" s="839" t="s">
        <v>1706</v>
      </c>
      <c r="F595" s="933"/>
      <c r="G595" s="933"/>
      <c r="H595" s="933"/>
      <c r="I595" s="933"/>
      <c r="J595" s="933"/>
      <c r="K595" s="933"/>
      <c r="L595" s="933"/>
      <c r="M595" s="933"/>
      <c r="N595" s="933"/>
      <c r="O595" s="933"/>
      <c r="P595" s="933"/>
      <c r="Q595" s="933"/>
      <c r="R595" s="933"/>
      <c r="S595" s="933"/>
      <c r="T595" s="933"/>
      <c r="U595" s="933"/>
      <c r="V595" s="933"/>
      <c r="W595" s="933"/>
      <c r="X595" s="933"/>
      <c r="Y595" s="933"/>
      <c r="Z595" s="933"/>
      <c r="AA595" s="933"/>
      <c r="AB595" s="933"/>
      <c r="AC595" s="537"/>
      <c r="AD595" s="537"/>
      <c r="AE595" s="537"/>
      <c r="AF595" s="537"/>
      <c r="AG595" s="537"/>
      <c r="AH595" s="537"/>
      <c r="AI595" s="537"/>
      <c r="AJ595" s="537"/>
      <c r="AK595" s="537"/>
      <c r="AL595" s="537"/>
      <c r="AN595" s="598"/>
      <c r="AO595" s="22" t="s">
        <v>2180</v>
      </c>
    </row>
    <row r="596" spans="1:53" s="551" customFormat="1" ht="12.75" customHeight="1">
      <c r="A596" s="14"/>
      <c r="B596" s="14"/>
      <c r="C596" s="14"/>
      <c r="D596" s="664"/>
      <c r="E596" s="675"/>
      <c r="F596" s="14"/>
      <c r="G596" s="14"/>
      <c r="H596" s="14"/>
      <c r="I596" s="14"/>
      <c r="J596" s="14"/>
      <c r="K596" s="14"/>
      <c r="L596" s="14"/>
      <c r="M596" s="14"/>
      <c r="N596" s="14"/>
      <c r="O596" s="14"/>
      <c r="P596" s="14"/>
      <c r="Q596" s="14"/>
      <c r="R596" s="14"/>
      <c r="S596" s="14"/>
      <c r="T596" s="14"/>
      <c r="U596" s="14"/>
      <c r="V596" s="14"/>
      <c r="W596" s="14"/>
      <c r="X596" s="14"/>
      <c r="Y596" s="14"/>
      <c r="Z596" s="14"/>
      <c r="AA596" s="14"/>
      <c r="AB596" s="14"/>
      <c r="AC596" s="537"/>
      <c r="AD596" s="537"/>
      <c r="AE596" s="14"/>
      <c r="AF596" s="537"/>
      <c r="AG596" s="537"/>
      <c r="AH596" s="537"/>
      <c r="AI596" s="537"/>
      <c r="AJ596" s="537"/>
      <c r="AK596" s="537"/>
      <c r="AL596" s="537"/>
      <c r="AM596" s="14"/>
      <c r="AN596" s="598"/>
    </row>
    <row r="597" spans="1:53" s="551" customFormat="1" ht="12.75" customHeight="1">
      <c r="B597" s="537"/>
      <c r="C597" s="932"/>
      <c r="D597" s="664" t="s">
        <v>1396</v>
      </c>
      <c r="E597" s="839" t="s">
        <v>1709</v>
      </c>
      <c r="F597" s="933"/>
      <c r="G597" s="933"/>
      <c r="H597" s="933"/>
      <c r="I597" s="933"/>
      <c r="J597" s="933"/>
      <c r="K597" s="933"/>
      <c r="L597" s="933"/>
      <c r="M597" s="933"/>
      <c r="N597" s="933"/>
      <c r="O597" s="933"/>
      <c r="P597" s="933"/>
      <c r="Q597" s="933"/>
      <c r="R597" s="933"/>
      <c r="S597" s="933"/>
      <c r="T597" s="933"/>
      <c r="U597" s="933"/>
      <c r="V597" s="933"/>
      <c r="W597" s="933"/>
      <c r="X597" s="933"/>
      <c r="Y597" s="933"/>
      <c r="Z597" s="933"/>
      <c r="AA597" s="933"/>
      <c r="AB597" s="933"/>
      <c r="AC597" s="537"/>
      <c r="AD597" s="537"/>
      <c r="AE597" s="537"/>
      <c r="AF597" s="2381" t="s">
        <v>1398</v>
      </c>
      <c r="AG597" s="2381"/>
      <c r="AH597" s="2381"/>
      <c r="AI597" s="2381"/>
      <c r="AJ597" s="2381"/>
      <c r="AK597" s="2381"/>
      <c r="AL597" s="2381"/>
      <c r="AN597" s="598"/>
      <c r="AO597" s="551" t="str">
        <f>X634</f>
        <v>N/A</v>
      </c>
    </row>
    <row r="598" spans="1:53" s="551" customFormat="1" ht="12.75" customHeight="1">
      <c r="B598" s="537"/>
      <c r="C598" s="934"/>
      <c r="D598" s="664"/>
      <c r="E598" s="839" t="s">
        <v>1710</v>
      </c>
      <c r="F598" s="933"/>
      <c r="G598" s="933"/>
      <c r="H598" s="933"/>
      <c r="I598" s="933"/>
      <c r="J598" s="933"/>
      <c r="K598" s="933"/>
      <c r="L598" s="933"/>
      <c r="M598" s="933"/>
      <c r="N598" s="933"/>
      <c r="O598" s="933"/>
      <c r="P598" s="933"/>
      <c r="Q598" s="933"/>
      <c r="R598" s="933"/>
      <c r="S598" s="933"/>
      <c r="T598" s="933"/>
      <c r="U598" s="933"/>
      <c r="V598" s="933"/>
      <c r="W598" s="933"/>
      <c r="X598" s="933"/>
      <c r="Y598" s="933"/>
      <c r="Z598" s="933"/>
      <c r="AA598" s="933"/>
      <c r="AB598" s="933"/>
      <c r="AC598" s="14"/>
      <c r="AD598" s="14"/>
      <c r="AE598" s="537"/>
      <c r="AF598" s="537"/>
      <c r="AG598" s="537"/>
      <c r="AH598" s="537"/>
      <c r="AI598" s="537"/>
      <c r="AJ598" s="537"/>
      <c r="AK598" s="537"/>
      <c r="AL598" s="537"/>
      <c r="AN598" s="598"/>
      <c r="AU598" s="595"/>
      <c r="AV598" s="595"/>
      <c r="AW598" s="595"/>
      <c r="AX598" s="595"/>
      <c r="AY598" s="595"/>
      <c r="AZ598" s="595"/>
      <c r="BA598" s="595"/>
    </row>
    <row r="599" spans="1:53" s="551" customFormat="1" ht="12.75" customHeight="1">
      <c r="B599" s="611"/>
      <c r="C599" s="932"/>
      <c r="D599" s="664"/>
      <c r="E599" s="839" t="s">
        <v>1711</v>
      </c>
      <c r="F599" s="933"/>
      <c r="G599" s="933"/>
      <c r="H599" s="933"/>
      <c r="I599" s="933"/>
      <c r="J599" s="933"/>
      <c r="K599" s="933"/>
      <c r="L599" s="933"/>
      <c r="M599" s="933"/>
      <c r="N599" s="933"/>
      <c r="O599" s="933"/>
      <c r="P599" s="933"/>
      <c r="Q599" s="933"/>
      <c r="R599" s="933"/>
      <c r="S599" s="933"/>
      <c r="T599" s="933"/>
      <c r="U599" s="933"/>
      <c r="V599" s="933"/>
      <c r="W599" s="933"/>
      <c r="X599" s="933"/>
      <c r="Y599" s="933"/>
      <c r="Z599" s="933"/>
      <c r="AA599" s="933"/>
      <c r="AB599" s="933"/>
      <c r="AC599" s="537"/>
      <c r="AD599" s="537"/>
      <c r="AE599" s="537"/>
      <c r="AF599" s="537"/>
      <c r="AG599" s="537"/>
      <c r="AH599" s="537"/>
      <c r="AI599" s="537"/>
      <c r="AJ599" s="537"/>
      <c r="AK599" s="537"/>
      <c r="AL599" s="537"/>
      <c r="AN599" s="598"/>
      <c r="AO599" s="22" t="s">
        <v>2181</v>
      </c>
    </row>
    <row r="600" spans="1:53" s="551" customFormat="1" ht="12.75" customHeight="1">
      <c r="B600" s="611"/>
      <c r="C600" s="932"/>
      <c r="D600" s="664"/>
      <c r="E600" s="839"/>
      <c r="F600" s="933"/>
      <c r="G600" s="933"/>
      <c r="H600" s="933"/>
      <c r="I600" s="933"/>
      <c r="J600" s="933"/>
      <c r="K600" s="933"/>
      <c r="L600" s="933"/>
      <c r="M600" s="933"/>
      <c r="N600" s="933"/>
      <c r="O600" s="933"/>
      <c r="P600" s="933"/>
      <c r="Q600" s="933"/>
      <c r="R600" s="933"/>
      <c r="S600" s="933"/>
      <c r="T600" s="933"/>
      <c r="U600" s="933"/>
      <c r="V600" s="933"/>
      <c r="W600" s="933"/>
      <c r="X600" s="933"/>
      <c r="Y600" s="933"/>
      <c r="Z600" s="933"/>
      <c r="AA600" s="933"/>
      <c r="AB600" s="933"/>
      <c r="AC600" s="537"/>
      <c r="AD600" s="537"/>
      <c r="AE600" s="537"/>
      <c r="AF600" s="537"/>
      <c r="AG600" s="537"/>
      <c r="AH600" s="537"/>
      <c r="AI600" s="537"/>
      <c r="AJ600" s="537"/>
      <c r="AK600" s="537"/>
      <c r="AL600" s="537"/>
      <c r="AN600" s="598"/>
      <c r="AO600" s="22" t="s">
        <v>2182</v>
      </c>
    </row>
    <row r="601" spans="1:53" s="551" customFormat="1" ht="12.75" customHeight="1">
      <c r="B601" s="611"/>
      <c r="C601" s="932"/>
      <c r="D601" s="664"/>
      <c r="E601" s="537" t="s">
        <v>1865</v>
      </c>
      <c r="O601" s="2467" t="s">
        <v>1183</v>
      </c>
      <c r="P601" s="2467"/>
      <c r="Q601" s="2467"/>
      <c r="R601" s="2467"/>
      <c r="S601" s="2467"/>
      <c r="T601" s="2467"/>
      <c r="U601" s="2467"/>
      <c r="V601" s="2467"/>
      <c r="W601" s="2467"/>
      <c r="X601" s="2467"/>
      <c r="Y601" s="2467"/>
      <c r="Z601" s="2467"/>
      <c r="AA601" s="2467"/>
      <c r="AB601" s="2467"/>
      <c r="AH601" s="537"/>
      <c r="AI601" s="537"/>
      <c r="AJ601" s="537"/>
      <c r="AK601" s="537"/>
      <c r="AL601" s="537"/>
      <c r="AN601" s="598"/>
    </row>
    <row r="602" spans="1:53" s="551" customFormat="1" ht="12.75" customHeight="1">
      <c r="B602" s="611"/>
      <c r="C602" s="932"/>
      <c r="D602" s="664"/>
      <c r="E602" s="839"/>
      <c r="F602" s="933"/>
      <c r="G602" s="933"/>
      <c r="H602" s="933"/>
      <c r="I602" s="933"/>
      <c r="J602" s="933"/>
      <c r="K602" s="933"/>
      <c r="L602" s="933"/>
      <c r="M602" s="933"/>
      <c r="N602" s="933"/>
      <c r="O602" s="933"/>
      <c r="P602" s="933"/>
      <c r="Q602" s="933"/>
      <c r="R602" s="933"/>
      <c r="S602" s="933"/>
      <c r="T602" s="933"/>
      <c r="U602" s="933"/>
      <c r="V602" s="933"/>
      <c r="W602" s="933"/>
      <c r="X602" s="933"/>
      <c r="Y602" s="933"/>
      <c r="Z602" s="933"/>
      <c r="AA602" s="933"/>
      <c r="AB602" s="933"/>
      <c r="AC602" s="537"/>
      <c r="AD602" s="537"/>
      <c r="AE602" s="537"/>
      <c r="AF602" s="537"/>
      <c r="AG602" s="537"/>
      <c r="AH602" s="537"/>
      <c r="AI602" s="537"/>
      <c r="AJ602" s="537"/>
      <c r="AK602" s="537"/>
      <c r="AL602" s="537"/>
      <c r="AN602" s="598"/>
    </row>
    <row r="603" spans="1:53" s="551" customFormat="1" ht="12.75" customHeight="1">
      <c r="B603" s="537"/>
      <c r="C603" s="932"/>
      <c r="D603" s="664" t="s">
        <v>1397</v>
      </c>
      <c r="E603" s="839" t="s">
        <v>1713</v>
      </c>
      <c r="F603" s="933"/>
      <c r="G603" s="933"/>
      <c r="H603" s="933"/>
      <c r="I603" s="933"/>
      <c r="J603" s="933"/>
      <c r="K603" s="933"/>
      <c r="L603" s="933"/>
      <c r="M603" s="933"/>
      <c r="N603" s="933"/>
      <c r="O603" s="933"/>
      <c r="P603" s="933"/>
      <c r="Q603" s="933"/>
      <c r="R603" s="933"/>
      <c r="S603" s="933"/>
      <c r="T603" s="933"/>
      <c r="U603" s="933"/>
      <c r="V603" s="933"/>
      <c r="W603" s="933"/>
      <c r="X603" s="933"/>
      <c r="Y603" s="933"/>
      <c r="Z603" s="933"/>
      <c r="AA603" s="933"/>
      <c r="AB603" s="933"/>
      <c r="AC603" s="537"/>
      <c r="AD603" s="537"/>
      <c r="AE603" s="537"/>
      <c r="AF603" s="2381" t="s">
        <v>1351</v>
      </c>
      <c r="AG603" s="2381"/>
      <c r="AH603" s="2381"/>
      <c r="AI603" s="2381"/>
      <c r="AJ603" s="2381"/>
      <c r="AK603" s="2381"/>
      <c r="AL603" s="2381"/>
      <c r="AN603" s="598"/>
    </row>
    <row r="604" spans="1:53" s="551" customFormat="1" ht="12.75" customHeight="1">
      <c r="B604" s="537"/>
      <c r="C604" s="932"/>
      <c r="D604" s="664"/>
      <c r="E604" s="839" t="s">
        <v>1712</v>
      </c>
      <c r="F604" s="933"/>
      <c r="G604" s="933"/>
      <c r="H604" s="933"/>
      <c r="I604" s="933"/>
      <c r="J604" s="933"/>
      <c r="K604" s="933"/>
      <c r="L604" s="933"/>
      <c r="M604" s="933"/>
      <c r="N604" s="933"/>
      <c r="O604" s="933"/>
      <c r="P604" s="933"/>
      <c r="Q604" s="933"/>
      <c r="R604" s="933"/>
      <c r="S604" s="933"/>
      <c r="T604" s="933"/>
      <c r="U604" s="933"/>
      <c r="V604" s="933"/>
      <c r="W604" s="933"/>
      <c r="X604" s="933"/>
      <c r="Y604" s="933"/>
      <c r="Z604" s="933"/>
      <c r="AA604" s="933"/>
      <c r="AB604" s="933"/>
      <c r="AC604" s="537"/>
      <c r="AD604" s="537"/>
      <c r="AE604" s="595"/>
      <c r="AF604" s="537"/>
      <c r="AG604" s="537"/>
      <c r="AH604" s="537"/>
      <c r="AI604" s="537"/>
      <c r="AJ604" s="537"/>
      <c r="AK604" s="537"/>
      <c r="AL604" s="537"/>
      <c r="AN604" s="598"/>
    </row>
    <row r="605" spans="1:53" s="551" customFormat="1" ht="12.75" customHeight="1">
      <c r="B605" s="537"/>
      <c r="C605" s="934"/>
      <c r="D605" s="537"/>
      <c r="E605" s="617"/>
      <c r="F605" s="937"/>
      <c r="G605" s="937"/>
      <c r="H605" s="937"/>
      <c r="I605" s="937"/>
      <c r="J605" s="937"/>
      <c r="K605" s="937"/>
      <c r="L605" s="937"/>
      <c r="M605" s="937"/>
      <c r="N605" s="937"/>
      <c r="O605" s="937"/>
      <c r="P605" s="937"/>
      <c r="Q605" s="937"/>
      <c r="R605" s="937"/>
      <c r="S605" s="937"/>
      <c r="T605" s="937"/>
      <c r="U605" s="937"/>
      <c r="V605" s="937"/>
      <c r="W605" s="937"/>
      <c r="X605" s="937"/>
      <c r="Y605" s="937"/>
      <c r="Z605" s="937"/>
      <c r="AA605" s="937"/>
      <c r="AB605" s="937"/>
      <c r="AC605" s="537"/>
      <c r="AD605" s="537"/>
      <c r="AE605" s="537"/>
      <c r="AF605" s="537"/>
      <c r="AG605" s="537"/>
      <c r="AH605" s="537"/>
      <c r="AI605" s="537"/>
      <c r="AJ605" s="537"/>
      <c r="AK605" s="537"/>
      <c r="AL605" s="537"/>
      <c r="AN605" s="598"/>
      <c r="AO605" s="551" t="s">
        <v>591</v>
      </c>
      <c r="AP605" s="674">
        <v>0</v>
      </c>
      <c r="AT605" s="551" t="s">
        <v>591</v>
      </c>
      <c r="AU605" s="674">
        <v>0</v>
      </c>
    </row>
    <row r="606" spans="1:53" s="551" customFormat="1" ht="12.75" customHeight="1">
      <c r="B606" s="537"/>
      <c r="C606" s="934"/>
      <c r="D606" s="537" t="s">
        <v>1399</v>
      </c>
      <c r="E606" s="937"/>
      <c r="F606" s="937"/>
      <c r="G606" s="937"/>
      <c r="H606" s="2465" t="s">
        <v>687</v>
      </c>
      <c r="I606" s="2465"/>
      <c r="J606" s="937"/>
      <c r="K606" s="937"/>
      <c r="L606" s="937"/>
      <c r="N606" s="22"/>
      <c r="O606" s="22"/>
      <c r="P606" s="22"/>
      <c r="Q606" s="1153" t="s">
        <v>2177</v>
      </c>
      <c r="R606" s="2468"/>
      <c r="S606" s="2468"/>
      <c r="T606" s="2468"/>
      <c r="U606" s="2468"/>
      <c r="V606" s="2468"/>
      <c r="W606" s="2468"/>
      <c r="X606" s="537"/>
      <c r="Y606" s="537"/>
      <c r="Z606" s="537"/>
      <c r="AA606" s="537"/>
      <c r="AB606" s="537"/>
      <c r="AC606" s="537"/>
      <c r="AD606" s="537"/>
      <c r="AE606" s="537"/>
      <c r="AF606" s="537"/>
      <c r="AG606" s="537"/>
      <c r="AH606" s="537"/>
      <c r="AI606" s="537"/>
      <c r="AJ606" s="537"/>
      <c r="AK606" s="537"/>
      <c r="AL606" s="537"/>
      <c r="AN606" s="598"/>
      <c r="AO606" s="612" t="s">
        <v>687</v>
      </c>
      <c r="AP606" s="551">
        <v>3</v>
      </c>
      <c r="AT606" s="612" t="s">
        <v>687</v>
      </c>
      <c r="AU606" s="551">
        <v>3</v>
      </c>
    </row>
    <row r="607" spans="1:53" s="551" customFormat="1" ht="12.75" customHeight="1">
      <c r="B607" s="537"/>
      <c r="C607" s="934"/>
      <c r="D607" s="537"/>
      <c r="E607" s="937"/>
      <c r="F607" s="937"/>
      <c r="G607" s="937"/>
      <c r="H607" s="937"/>
      <c r="I607" s="937"/>
      <c r="J607" s="937"/>
      <c r="K607" s="937"/>
      <c r="L607" s="937"/>
      <c r="M607" s="937"/>
      <c r="N607" s="537"/>
      <c r="O607" s="537"/>
      <c r="P607" s="537"/>
      <c r="Q607" s="537"/>
      <c r="R607" s="537"/>
      <c r="S607" s="537"/>
      <c r="T607" s="537"/>
      <c r="U607" s="537"/>
      <c r="V607" s="537"/>
      <c r="W607" s="537"/>
      <c r="X607" s="537"/>
      <c r="Y607" s="2469" t="str">
        <f>IF(AND(H606="(i)",NOT(AP582)),AO599,IF(AND(H606="(iv)",OR(R606=AO595,R606=AO594),NOT(AP583)),AO600,""))</f>
        <v/>
      </c>
      <c r="Z607" s="2469"/>
      <c r="AA607" s="2469"/>
      <c r="AB607" s="2469"/>
      <c r="AC607" s="2469"/>
      <c r="AD607" s="2469"/>
      <c r="AE607" s="2469"/>
      <c r="AF607" s="2469"/>
      <c r="AG607" s="2469"/>
      <c r="AH607" s="2469"/>
      <c r="AI607" s="2469"/>
      <c r="AJ607" s="2469"/>
      <c r="AK607" s="2469"/>
      <c r="AL607" s="2469"/>
      <c r="AM607" s="2470"/>
      <c r="AN607" s="598"/>
      <c r="AO607" s="612" t="s">
        <v>509</v>
      </c>
      <c r="AP607" s="551">
        <v>2</v>
      </c>
      <c r="AT607" s="612" t="s">
        <v>509</v>
      </c>
      <c r="AU607" s="551">
        <v>2</v>
      </c>
    </row>
    <row r="608" spans="1:53" s="551" customFormat="1" ht="12.75" customHeight="1">
      <c r="B608" s="537"/>
      <c r="C608" s="934"/>
      <c r="D608" s="537"/>
      <c r="E608" s="937"/>
      <c r="F608" s="937"/>
      <c r="G608" s="937"/>
      <c r="H608" s="937"/>
      <c r="I608" s="937"/>
      <c r="J608" s="937"/>
      <c r="K608" s="937"/>
      <c r="L608" s="937"/>
      <c r="M608" s="937"/>
      <c r="N608" s="537"/>
      <c r="O608" s="537"/>
      <c r="P608" s="537"/>
      <c r="Q608" s="537"/>
      <c r="X608" s="537"/>
      <c r="Y608" s="2469"/>
      <c r="Z608" s="2469"/>
      <c r="AA608" s="2469"/>
      <c r="AB608" s="2469"/>
      <c r="AC608" s="2469"/>
      <c r="AD608" s="2469"/>
      <c r="AE608" s="2469"/>
      <c r="AF608" s="2469"/>
      <c r="AG608" s="2469"/>
      <c r="AH608" s="2469"/>
      <c r="AI608" s="2469"/>
      <c r="AJ608" s="2469"/>
      <c r="AK608" s="2469"/>
      <c r="AL608" s="2469"/>
      <c r="AM608" s="2470"/>
      <c r="AN608" s="598"/>
      <c r="AO608" s="612"/>
      <c r="AT608" s="612"/>
    </row>
    <row r="609" spans="1:42" s="551" customFormat="1" ht="12.75" customHeight="1">
      <c r="B609" s="537"/>
      <c r="C609" s="934"/>
      <c r="D609" s="537" t="s">
        <v>1714</v>
      </c>
      <c r="E609" s="937"/>
      <c r="F609" s="937"/>
      <c r="G609" s="937"/>
      <c r="H609" s="937"/>
      <c r="I609" s="937"/>
      <c r="J609" s="937"/>
      <c r="K609" s="937"/>
      <c r="L609" s="937"/>
      <c r="M609" s="937"/>
      <c r="N609" s="537"/>
      <c r="O609" s="537"/>
      <c r="P609" s="537"/>
      <c r="Q609" s="537"/>
      <c r="R609" s="537"/>
      <c r="S609" s="537"/>
      <c r="T609" s="537"/>
      <c r="U609" s="537"/>
      <c r="V609" s="537"/>
      <c r="W609" s="537"/>
      <c r="X609" s="537"/>
      <c r="Y609" s="537"/>
      <c r="Z609" s="537"/>
      <c r="AA609" s="537"/>
      <c r="AB609" s="537"/>
      <c r="AC609" s="537"/>
      <c r="AD609" s="537"/>
      <c r="AE609" s="537"/>
      <c r="AF609" s="537"/>
      <c r="AG609" s="537"/>
      <c r="AH609" s="537"/>
      <c r="AI609" s="537"/>
      <c r="AJ609" s="537"/>
      <c r="AK609" s="537"/>
      <c r="AL609" s="537"/>
      <c r="AN609" s="598"/>
    </row>
    <row r="610" spans="1:42" s="551" customFormat="1" ht="12.75" customHeight="1">
      <c r="B610" s="537"/>
      <c r="C610" s="934"/>
      <c r="D610" s="537" t="s">
        <v>1715</v>
      </c>
      <c r="E610" s="937"/>
      <c r="F610" s="937"/>
      <c r="G610" s="937"/>
      <c r="H610" s="937"/>
      <c r="I610" s="937"/>
      <c r="J610" s="937"/>
      <c r="K610" s="937"/>
      <c r="L610" s="937"/>
      <c r="M610" s="937"/>
      <c r="N610" s="537"/>
      <c r="O610" s="537"/>
      <c r="P610" s="537"/>
      <c r="Q610" s="537"/>
      <c r="R610" s="537"/>
      <c r="S610" s="537"/>
      <c r="T610" s="537"/>
      <c r="U610" s="537"/>
      <c r="V610" s="537"/>
      <c r="W610" s="537"/>
      <c r="X610" s="537"/>
      <c r="Y610" s="537"/>
      <c r="Z610" s="537"/>
      <c r="AA610" s="537"/>
      <c r="AB610" s="537"/>
      <c r="AC610" s="537"/>
      <c r="AD610" s="537"/>
      <c r="AE610" s="537"/>
      <c r="AF610" s="537"/>
      <c r="AG610" s="537"/>
      <c r="AH610" s="537"/>
      <c r="AI610" s="537"/>
      <c r="AJ610" s="537"/>
      <c r="AK610" s="537"/>
      <c r="AL610" s="537"/>
      <c r="AN610" s="598"/>
    </row>
    <row r="611" spans="1:42" s="551" customFormat="1" ht="12.75" customHeight="1">
      <c r="B611" s="537"/>
      <c r="C611" s="934"/>
      <c r="D611" s="537" t="s">
        <v>1716</v>
      </c>
      <c r="E611" s="937"/>
      <c r="F611" s="937"/>
      <c r="G611" s="937"/>
      <c r="H611" s="937"/>
      <c r="I611" s="937"/>
      <c r="J611" s="937"/>
      <c r="K611" s="937"/>
      <c r="L611" s="937"/>
      <c r="M611" s="937"/>
      <c r="N611" s="537"/>
      <c r="O611" s="537"/>
      <c r="P611" s="537"/>
      <c r="Q611" s="537"/>
      <c r="R611" s="537"/>
      <c r="S611" s="537"/>
      <c r="T611" s="537"/>
      <c r="U611" s="537"/>
      <c r="V611" s="537"/>
      <c r="W611" s="537"/>
      <c r="X611" s="537"/>
      <c r="Y611" s="537"/>
      <c r="Z611" s="537"/>
      <c r="AA611" s="537"/>
      <c r="AB611" s="537"/>
      <c r="AC611" s="537"/>
      <c r="AD611" s="537"/>
      <c r="AE611" s="537"/>
      <c r="AF611" s="537"/>
      <c r="AG611" s="537"/>
      <c r="AH611" s="537"/>
      <c r="AI611" s="537"/>
      <c r="AJ611" s="537"/>
      <c r="AK611" s="537"/>
      <c r="AL611" s="537"/>
      <c r="AN611" s="598"/>
    </row>
    <row r="612" spans="1:42" s="551" customFormat="1" ht="12.75" customHeight="1">
      <c r="B612" s="537"/>
      <c r="C612" s="934"/>
      <c r="D612" s="606" t="s">
        <v>1717</v>
      </c>
      <c r="E612" s="937"/>
      <c r="F612" s="937"/>
      <c r="G612" s="937"/>
      <c r="H612" s="937"/>
      <c r="I612" s="937"/>
      <c r="J612" s="937"/>
      <c r="K612" s="937"/>
      <c r="L612" s="937"/>
      <c r="M612" s="937"/>
      <c r="N612" s="537"/>
      <c r="O612" s="537"/>
      <c r="P612" s="537"/>
      <c r="Q612" s="537"/>
      <c r="R612" s="537"/>
      <c r="S612" s="537"/>
      <c r="T612" s="537"/>
      <c r="U612" s="537"/>
      <c r="V612" s="537"/>
      <c r="W612" s="537"/>
      <c r="X612" s="537"/>
      <c r="Y612" s="537"/>
      <c r="Z612" s="537"/>
      <c r="AA612" s="537"/>
      <c r="AB612" s="537"/>
      <c r="AC612" s="537"/>
      <c r="AD612" s="537"/>
      <c r="AE612" s="537"/>
      <c r="AF612" s="537"/>
      <c r="AG612" s="537"/>
      <c r="AH612" s="537"/>
      <c r="AI612" s="537"/>
      <c r="AJ612" s="537"/>
      <c r="AK612" s="537"/>
      <c r="AL612" s="537"/>
      <c r="AN612" s="598"/>
    </row>
    <row r="613" spans="1:42" s="551" customFormat="1" ht="12.75" customHeight="1">
      <c r="B613" s="537"/>
      <c r="C613" s="934"/>
      <c r="D613" s="537"/>
      <c r="E613" s="537"/>
      <c r="F613" s="537"/>
      <c r="G613" s="537"/>
      <c r="H613" s="537"/>
      <c r="I613" s="537"/>
      <c r="J613" s="537"/>
      <c r="K613" s="537"/>
      <c r="L613" s="537"/>
      <c r="M613" s="537"/>
      <c r="N613" s="537"/>
      <c r="O613" s="537"/>
      <c r="P613" s="537"/>
      <c r="Q613" s="537"/>
      <c r="R613" s="537"/>
      <c r="S613" s="537"/>
      <c r="T613" s="537"/>
      <c r="U613" s="537"/>
      <c r="V613" s="537"/>
      <c r="W613" s="537"/>
      <c r="X613" s="537"/>
      <c r="Y613" s="537"/>
      <c r="Z613" s="537"/>
      <c r="AA613" s="537"/>
      <c r="AB613" s="537"/>
      <c r="AC613" s="537"/>
      <c r="AD613" s="537"/>
      <c r="AE613" s="537"/>
      <c r="AF613" s="537"/>
      <c r="AG613" s="537"/>
      <c r="AH613" s="537"/>
      <c r="AI613" s="537"/>
      <c r="AJ613" s="537"/>
      <c r="AK613" s="537"/>
      <c r="AL613" s="537"/>
      <c r="AN613" s="598"/>
      <c r="AO613" s="551" t="s">
        <v>591</v>
      </c>
      <c r="AP613" s="674">
        <v>0</v>
      </c>
    </row>
    <row r="614" spans="1:42" s="551" customFormat="1" ht="12.75" customHeight="1">
      <c r="B614" s="537"/>
      <c r="C614" s="934"/>
      <c r="D614" s="537"/>
      <c r="E614" s="537" t="s">
        <v>1399</v>
      </c>
      <c r="F614" s="937"/>
      <c r="G614" s="937"/>
      <c r="I614" s="2466" t="s">
        <v>591</v>
      </c>
      <c r="J614" s="2466"/>
      <c r="K614" s="2466"/>
      <c r="L614" s="2466"/>
      <c r="M614" s="2466"/>
      <c r="N614" s="2466"/>
      <c r="O614" s="2466"/>
      <c r="P614" s="2466"/>
      <c r="Q614" s="2466"/>
      <c r="R614" s="2466"/>
      <c r="S614" s="2466"/>
      <c r="T614" s="2466"/>
      <c r="U614" s="2466"/>
      <c r="V614" s="2466"/>
      <c r="W614" s="2466"/>
      <c r="X614" s="2466"/>
      <c r="Y614" s="2466"/>
      <c r="Z614" s="2466"/>
      <c r="AA614" s="2466"/>
      <c r="AB614" s="2466"/>
      <c r="AC614" s="2466"/>
      <c r="AD614" s="2466"/>
      <c r="AE614" s="2466"/>
      <c r="AF614" s="537"/>
      <c r="AG614" s="537"/>
      <c r="AH614" s="537"/>
      <c r="AI614" s="537"/>
      <c r="AJ614" s="537"/>
      <c r="AK614" s="537"/>
      <c r="AL614" s="537"/>
      <c r="AN614" s="598"/>
      <c r="AO614" s="551" t="s">
        <v>1400</v>
      </c>
      <c r="AP614" s="551">
        <v>3</v>
      </c>
    </row>
    <row r="615" spans="1:42" s="551" customFormat="1" ht="12.75" customHeight="1">
      <c r="B615" s="537"/>
      <c r="C615" s="537"/>
      <c r="D615" s="537"/>
      <c r="E615" s="537"/>
      <c r="F615" s="643"/>
      <c r="G615" s="643"/>
      <c r="H615" s="643"/>
      <c r="I615" s="643"/>
      <c r="J615" s="643"/>
      <c r="K615" s="643"/>
      <c r="L615" s="643"/>
      <c r="M615" s="643"/>
      <c r="N615" s="643"/>
      <c r="O615" s="643"/>
      <c r="P615" s="643"/>
      <c r="Q615" s="643"/>
      <c r="R615" s="643"/>
      <c r="S615" s="643"/>
      <c r="T615" s="643"/>
      <c r="U615" s="643"/>
      <c r="V615" s="643"/>
      <c r="W615" s="643"/>
      <c r="X615" s="643"/>
      <c r="Y615" s="643"/>
      <c r="Z615" s="643"/>
      <c r="AA615" s="643"/>
      <c r="AB615" s="643"/>
      <c r="AC615" s="643"/>
      <c r="AD615" s="643"/>
      <c r="AE615" s="643"/>
      <c r="AF615" s="643"/>
      <c r="AG615" s="643"/>
      <c r="AH615" s="643"/>
      <c r="AI615" s="643"/>
      <c r="AJ615" s="643"/>
      <c r="AK615" s="643"/>
      <c r="AL615" s="643"/>
      <c r="AN615" s="598"/>
      <c r="AO615" s="551" t="s">
        <v>1401</v>
      </c>
      <c r="AP615" s="551">
        <v>2</v>
      </c>
    </row>
    <row r="616" spans="1:42" s="551" customFormat="1" ht="12.75" customHeight="1">
      <c r="B616" s="2409" t="s">
        <v>591</v>
      </c>
      <c r="C616" s="2409"/>
      <c r="D616" s="643"/>
      <c r="E616" s="2436" t="s">
        <v>1402</v>
      </c>
      <c r="F616" s="2436"/>
      <c r="G616" s="2436"/>
      <c r="H616" s="2436"/>
      <c r="I616" s="2436"/>
      <c r="J616" s="2436"/>
      <c r="K616" s="2436"/>
      <c r="L616" s="2436"/>
      <c r="M616" s="2436"/>
      <c r="N616" s="2436"/>
      <c r="O616" s="2436"/>
      <c r="P616" s="2436"/>
      <c r="Q616" s="2436"/>
      <c r="R616" s="2436"/>
      <c r="S616" s="2436"/>
      <c r="T616" s="2436"/>
      <c r="U616" s="2436"/>
      <c r="V616" s="2436"/>
      <c r="W616" s="2436"/>
      <c r="X616" s="2436"/>
      <c r="Y616" s="2436"/>
      <c r="Z616" s="2436"/>
      <c r="AA616" s="2436"/>
      <c r="AB616" s="2436"/>
      <c r="AC616" s="2436"/>
      <c r="AD616" s="2436"/>
      <c r="AE616" s="2436"/>
      <c r="AF616" s="2436"/>
      <c r="AG616" s="2436"/>
      <c r="AH616" s="643"/>
      <c r="AI616" s="643"/>
      <c r="AJ616" s="643"/>
      <c r="AK616" s="643"/>
      <c r="AL616" s="643"/>
      <c r="AN616" s="598"/>
    </row>
    <row r="617" spans="1:42" s="551" customFormat="1" ht="12.75" customHeight="1">
      <c r="B617" s="537"/>
      <c r="C617" s="934"/>
      <c r="D617" s="643"/>
      <c r="E617" s="2436"/>
      <c r="F617" s="2436"/>
      <c r="G617" s="2436"/>
      <c r="H617" s="2436"/>
      <c r="I617" s="2436"/>
      <c r="J617" s="2436"/>
      <c r="K617" s="2436"/>
      <c r="L617" s="2436"/>
      <c r="M617" s="2436"/>
      <c r="N617" s="2436"/>
      <c r="O617" s="2436"/>
      <c r="P617" s="2436"/>
      <c r="Q617" s="2436"/>
      <c r="R617" s="2436"/>
      <c r="S617" s="2436"/>
      <c r="T617" s="2436"/>
      <c r="U617" s="2436"/>
      <c r="V617" s="2436"/>
      <c r="W617" s="2436"/>
      <c r="X617" s="2436"/>
      <c r="Y617" s="2436"/>
      <c r="Z617" s="2436"/>
      <c r="AA617" s="2436"/>
      <c r="AB617" s="2436"/>
      <c r="AC617" s="2436"/>
      <c r="AD617" s="2436"/>
      <c r="AE617" s="2436"/>
      <c r="AF617" s="2436"/>
      <c r="AG617" s="2436"/>
      <c r="AH617" s="643"/>
      <c r="AI617" s="643"/>
      <c r="AJ617" s="643"/>
      <c r="AK617" s="643"/>
      <c r="AL617" s="643"/>
      <c r="AN617" s="598"/>
    </row>
    <row r="618" spans="1:42" s="551" customFormat="1" ht="12.75" customHeight="1">
      <c r="B618" s="537"/>
      <c r="C618" s="934"/>
      <c r="D618" s="643"/>
      <c r="E618" s="2436"/>
      <c r="F618" s="2436"/>
      <c r="G618" s="2436"/>
      <c r="H618" s="2436"/>
      <c r="I618" s="2436"/>
      <c r="J618" s="2436"/>
      <c r="K618" s="2436"/>
      <c r="L618" s="2436"/>
      <c r="M618" s="2436"/>
      <c r="N618" s="2436"/>
      <c r="O618" s="2436"/>
      <c r="P618" s="2436"/>
      <c r="Q618" s="2436"/>
      <c r="R618" s="2436"/>
      <c r="S618" s="2436"/>
      <c r="T618" s="2436"/>
      <c r="U618" s="2436"/>
      <c r="V618" s="2436"/>
      <c r="W618" s="2436"/>
      <c r="X618" s="2436"/>
      <c r="Y618" s="2436"/>
      <c r="Z618" s="2436"/>
      <c r="AA618" s="2436"/>
      <c r="AB618" s="2436"/>
      <c r="AC618" s="2436"/>
      <c r="AD618" s="2436"/>
      <c r="AE618" s="2436"/>
      <c r="AF618" s="2436"/>
      <c r="AG618" s="2436"/>
      <c r="AH618" s="643"/>
      <c r="AI618" s="643"/>
      <c r="AJ618" s="643"/>
      <c r="AK618" s="643"/>
      <c r="AL618" s="643"/>
      <c r="AN618" s="598"/>
    </row>
    <row r="619" spans="1:42" s="551" customFormat="1" ht="12.75" customHeight="1">
      <c r="B619" s="537"/>
      <c r="C619" s="934"/>
      <c r="D619" s="643"/>
      <c r="E619" s="2436"/>
      <c r="F619" s="2436"/>
      <c r="G619" s="2436"/>
      <c r="H619" s="2436"/>
      <c r="I619" s="2436"/>
      <c r="J619" s="2436"/>
      <c r="K619" s="2436"/>
      <c r="L619" s="2436"/>
      <c r="M619" s="2436"/>
      <c r="N619" s="2436"/>
      <c r="O619" s="2436"/>
      <c r="P619" s="2436"/>
      <c r="Q619" s="2436"/>
      <c r="R619" s="2436"/>
      <c r="S619" s="2436"/>
      <c r="T619" s="2436"/>
      <c r="U619" s="2436"/>
      <c r="V619" s="2436"/>
      <c r="W619" s="2436"/>
      <c r="X619" s="2436"/>
      <c r="Y619" s="2436"/>
      <c r="Z619" s="2436"/>
      <c r="AA619" s="2436"/>
      <c r="AB619" s="2436"/>
      <c r="AC619" s="2436"/>
      <c r="AD619" s="2436"/>
      <c r="AE619" s="2436"/>
      <c r="AF619" s="2436"/>
      <c r="AG619" s="2436"/>
      <c r="AH619" s="643"/>
      <c r="AI619" s="643"/>
      <c r="AJ619" s="643"/>
      <c r="AK619" s="643"/>
      <c r="AL619" s="643"/>
      <c r="AN619" s="598"/>
    </row>
    <row r="620" spans="1:42" s="551" customFormat="1" ht="12.75" customHeight="1">
      <c r="B620" s="537"/>
      <c r="C620" s="934"/>
      <c r="D620" s="938"/>
      <c r="E620" s="958"/>
      <c r="F620" s="958"/>
      <c r="G620" s="958"/>
      <c r="H620" s="958"/>
      <c r="I620" s="958"/>
      <c r="J620" s="958"/>
      <c r="K620" s="958"/>
      <c r="L620" s="958"/>
      <c r="M620" s="958"/>
      <c r="N620" s="958"/>
      <c r="O620" s="958"/>
      <c r="P620" s="958"/>
      <c r="Q620" s="958"/>
      <c r="R620" s="958"/>
      <c r="S620" s="958"/>
      <c r="T620" s="958"/>
      <c r="U620" s="958"/>
      <c r="V620" s="958"/>
      <c r="W620" s="958"/>
      <c r="X620" s="958"/>
      <c r="Y620" s="958"/>
      <c r="Z620" s="958"/>
      <c r="AA620" s="958"/>
      <c r="AB620" s="958"/>
      <c r="AC620" s="958"/>
      <c r="AD620" s="958"/>
      <c r="AE620" s="958"/>
      <c r="AF620" s="958"/>
      <c r="AG620" s="958"/>
      <c r="AH620" s="938"/>
      <c r="AI620" s="938"/>
      <c r="AJ620" s="938"/>
      <c r="AK620" s="938"/>
      <c r="AL620" s="643"/>
      <c r="AN620" s="598"/>
    </row>
    <row r="621" spans="1:42" s="551" customFormat="1" ht="12.75" customHeight="1">
      <c r="A621" s="607"/>
      <c r="B621" s="602"/>
      <c r="C621" s="939"/>
      <c r="D621" s="602"/>
      <c r="E621" s="940"/>
      <c r="F621" s="940"/>
      <c r="G621" s="940"/>
      <c r="H621" s="940"/>
      <c r="I621" s="940"/>
      <c r="J621" s="940"/>
      <c r="K621" s="940"/>
      <c r="L621" s="940"/>
      <c r="M621" s="940"/>
      <c r="N621" s="940"/>
      <c r="O621" s="940"/>
      <c r="P621" s="940"/>
      <c r="Q621" s="940"/>
      <c r="R621" s="940"/>
      <c r="S621" s="940"/>
      <c r="T621" s="940"/>
      <c r="U621" s="940"/>
      <c r="V621" s="940"/>
      <c r="W621" s="940"/>
      <c r="X621" s="940"/>
      <c r="Y621" s="940"/>
      <c r="Z621" s="940"/>
      <c r="AA621" s="940"/>
      <c r="AB621" s="602"/>
      <c r="AC621" s="602"/>
      <c r="AD621" s="602"/>
      <c r="AE621" s="602"/>
      <c r="AF621" s="602"/>
      <c r="AG621" s="602"/>
      <c r="AH621" s="602"/>
      <c r="AI621" s="566" t="s">
        <v>1403</v>
      </c>
      <c r="AJ621" s="2416">
        <f>VLOOKUP($H$606,$AO$586:$AP$591,2,FALSE)+IF(R606=AO594,0,VLOOKUP($I$614,$AO$613:$AP$615,2,FALSE))</f>
        <v>7</v>
      </c>
      <c r="AK621" s="2418"/>
      <c r="AL621" s="596"/>
      <c r="AM621" s="676"/>
      <c r="AN621" s="598"/>
    </row>
    <row r="622" spans="1:42" s="551" customFormat="1" ht="12.75" customHeight="1">
      <c r="B622" s="537"/>
      <c r="C622" s="934"/>
      <c r="D622" s="537"/>
      <c r="E622" s="937"/>
      <c r="F622" s="937"/>
      <c r="G622" s="937"/>
      <c r="H622" s="937"/>
      <c r="I622" s="937"/>
      <c r="J622" s="937"/>
      <c r="K622" s="937"/>
      <c r="L622" s="937"/>
      <c r="M622" s="937"/>
      <c r="N622" s="937"/>
      <c r="O622" s="937"/>
      <c r="P622" s="937"/>
      <c r="Q622" s="937"/>
      <c r="R622" s="937"/>
      <c r="S622" s="937"/>
      <c r="T622" s="937"/>
      <c r="U622" s="937"/>
      <c r="V622" s="937"/>
      <c r="W622" s="937"/>
      <c r="X622" s="937"/>
      <c r="Y622" s="937"/>
      <c r="Z622" s="937"/>
      <c r="AA622" s="937"/>
      <c r="AB622" s="937"/>
      <c r="AC622" s="537"/>
      <c r="AD622" s="537"/>
      <c r="AE622" s="937"/>
      <c r="AF622" s="937"/>
      <c r="AG622" s="937"/>
      <c r="AH622" s="937"/>
      <c r="AI622" s="937"/>
      <c r="AJ622" s="937"/>
      <c r="AK622" s="937"/>
      <c r="AL622" s="937"/>
      <c r="AM622" s="676"/>
      <c r="AN622" s="598"/>
    </row>
    <row r="623" spans="1:42" s="551" customFormat="1" ht="12.75" customHeight="1">
      <c r="B623" s="537"/>
      <c r="C623" s="540" t="s">
        <v>1404</v>
      </c>
      <c r="D623" s="540"/>
      <c r="E623" s="937"/>
      <c r="F623" s="937"/>
      <c r="G623" s="937"/>
      <c r="H623" s="937"/>
      <c r="I623" s="937"/>
      <c r="J623" s="937"/>
      <c r="K623" s="937"/>
      <c r="L623" s="937"/>
      <c r="M623" s="937"/>
      <c r="N623" s="937"/>
      <c r="O623" s="937"/>
      <c r="P623" s="937"/>
      <c r="Q623" s="937"/>
      <c r="R623" s="937"/>
      <c r="S623" s="937"/>
      <c r="T623" s="937"/>
      <c r="U623" s="937"/>
      <c r="V623" s="937"/>
      <c r="W623" s="937"/>
      <c r="X623" s="937"/>
      <c r="Y623" s="937"/>
      <c r="Z623" s="937"/>
      <c r="AA623" s="937"/>
      <c r="AB623" s="937"/>
      <c r="AC623" s="537"/>
      <c r="AD623" s="537"/>
      <c r="AE623" s="537"/>
      <c r="AF623" s="537"/>
      <c r="AG623" s="537"/>
      <c r="AH623" s="537"/>
      <c r="AI623" s="537"/>
      <c r="AJ623" s="537"/>
      <c r="AK623" s="537"/>
      <c r="AL623" s="537"/>
      <c r="AN623" s="598"/>
    </row>
    <row r="624" spans="1:42" s="551" customFormat="1" ht="12.75" customHeight="1">
      <c r="B624" s="611"/>
      <c r="C624" s="537"/>
      <c r="D624" s="936"/>
      <c r="E624" s="937"/>
      <c r="F624" s="937"/>
      <c r="G624" s="937"/>
      <c r="H624" s="937"/>
      <c r="I624" s="937"/>
      <c r="J624" s="937"/>
      <c r="K624" s="937"/>
      <c r="L624" s="937"/>
      <c r="M624" s="937"/>
      <c r="N624" s="937"/>
      <c r="O624" s="937"/>
      <c r="P624" s="937"/>
      <c r="Q624" s="937"/>
      <c r="R624" s="937"/>
      <c r="S624" s="937"/>
      <c r="T624" s="937"/>
      <c r="U624" s="937"/>
      <c r="V624" s="937"/>
      <c r="W624" s="937"/>
      <c r="X624" s="937"/>
      <c r="Y624" s="937"/>
      <c r="Z624" s="937"/>
      <c r="AA624" s="937"/>
      <c r="AB624" s="937"/>
      <c r="AC624" s="537"/>
      <c r="AD624" s="537"/>
      <c r="AE624" s="537"/>
      <c r="AF624" s="537"/>
      <c r="AG624" s="537"/>
      <c r="AH624" s="537"/>
      <c r="AI624" s="537"/>
      <c r="AJ624" s="537"/>
      <c r="AK624" s="537"/>
      <c r="AL624" s="537"/>
      <c r="AN624" s="598"/>
    </row>
    <row r="625" spans="1:42" s="597" customFormat="1" ht="12.75" customHeight="1">
      <c r="A625" s="551"/>
      <c r="B625" s="537"/>
      <c r="C625" s="537"/>
      <c r="D625" s="664" t="s">
        <v>687</v>
      </c>
      <c r="E625" s="2464" t="s">
        <v>1693</v>
      </c>
      <c r="F625" s="2464"/>
      <c r="G625" s="2464"/>
      <c r="H625" s="2464"/>
      <c r="I625" s="2464"/>
      <c r="J625" s="2464"/>
      <c r="K625" s="2464"/>
      <c r="L625" s="2464"/>
      <c r="M625" s="2464"/>
      <c r="N625" s="2464"/>
      <c r="O625" s="2464"/>
      <c r="P625" s="2464"/>
      <c r="Q625" s="2464"/>
      <c r="R625" s="2464"/>
      <c r="S625" s="2464"/>
      <c r="T625" s="2464"/>
      <c r="U625" s="2464"/>
      <c r="V625" s="2464"/>
      <c r="W625" s="2464"/>
      <c r="X625" s="2464"/>
      <c r="Y625" s="2464"/>
      <c r="Z625" s="2464"/>
      <c r="AA625" s="2464"/>
      <c r="AB625" s="2464"/>
      <c r="AC625" s="2464"/>
      <c r="AD625" s="2464"/>
      <c r="AE625" s="540"/>
      <c r="AF625" s="2381" t="s">
        <v>1351</v>
      </c>
      <c r="AG625" s="2381"/>
      <c r="AH625" s="2381"/>
      <c r="AI625" s="2381"/>
      <c r="AJ625" s="2381"/>
      <c r="AK625" s="2381"/>
      <c r="AL625" s="2381"/>
      <c r="AM625" s="551"/>
      <c r="AN625" s="679"/>
    </row>
    <row r="626" spans="1:42" s="551" customFormat="1" ht="12.75" customHeight="1">
      <c r="A626" s="680"/>
      <c r="B626" s="537"/>
      <c r="C626" s="934"/>
      <c r="D626" s="664"/>
      <c r="E626" s="2464"/>
      <c r="F626" s="2464"/>
      <c r="G626" s="2464"/>
      <c r="H626" s="2464"/>
      <c r="I626" s="2464"/>
      <c r="J626" s="2464"/>
      <c r="K626" s="2464"/>
      <c r="L626" s="2464"/>
      <c r="M626" s="2464"/>
      <c r="N626" s="2464"/>
      <c r="O626" s="2464"/>
      <c r="P626" s="2464"/>
      <c r="Q626" s="2464"/>
      <c r="R626" s="2464"/>
      <c r="S626" s="2464"/>
      <c r="T626" s="2464"/>
      <c r="U626" s="2464"/>
      <c r="V626" s="2464"/>
      <c r="W626" s="2464"/>
      <c r="X626" s="2464"/>
      <c r="Y626" s="2464"/>
      <c r="Z626" s="2464"/>
      <c r="AA626" s="2464"/>
      <c r="AB626" s="2464"/>
      <c r="AC626" s="2464"/>
      <c r="AD626" s="2464"/>
      <c r="AE626" s="537"/>
      <c r="AF626" s="537"/>
      <c r="AG626" s="537"/>
      <c r="AH626" s="537"/>
      <c r="AI626" s="537"/>
      <c r="AJ626" s="537"/>
      <c r="AK626" s="537"/>
      <c r="AL626" s="537"/>
      <c r="AN626" s="598"/>
    </row>
    <row r="627" spans="1:42" s="551" customFormat="1" ht="12.75" customHeight="1">
      <c r="B627" s="537"/>
      <c r="C627" s="932"/>
      <c r="D627" s="664"/>
      <c r="E627" s="2464"/>
      <c r="F627" s="2464"/>
      <c r="G627" s="2464"/>
      <c r="H627" s="2464"/>
      <c r="I627" s="2464"/>
      <c r="J627" s="2464"/>
      <c r="K627" s="2464"/>
      <c r="L627" s="2464"/>
      <c r="M627" s="2464"/>
      <c r="N627" s="2464"/>
      <c r="O627" s="2464"/>
      <c r="P627" s="2464"/>
      <c r="Q627" s="2464"/>
      <c r="R627" s="2464"/>
      <c r="S627" s="2464"/>
      <c r="T627" s="2464"/>
      <c r="U627" s="2464"/>
      <c r="V627" s="2464"/>
      <c r="W627" s="2464"/>
      <c r="X627" s="2464"/>
      <c r="Y627" s="2464"/>
      <c r="Z627" s="2464"/>
      <c r="AA627" s="2464"/>
      <c r="AB627" s="2464"/>
      <c r="AC627" s="2464"/>
      <c r="AD627" s="2464"/>
      <c r="AE627" s="537"/>
      <c r="AF627" s="537"/>
      <c r="AG627" s="537"/>
      <c r="AH627" s="537"/>
      <c r="AI627" s="537"/>
      <c r="AJ627" s="537"/>
      <c r="AK627" s="537"/>
      <c r="AL627" s="537"/>
      <c r="AN627" s="598"/>
    </row>
    <row r="628" spans="1:42" s="551" customFormat="1" ht="12.75" customHeight="1">
      <c r="B628" s="537"/>
      <c r="C628" s="932"/>
      <c r="D628" s="664"/>
      <c r="E628" s="2464"/>
      <c r="F628" s="2464"/>
      <c r="G628" s="2464"/>
      <c r="H628" s="2464"/>
      <c r="I628" s="2464"/>
      <c r="J628" s="2464"/>
      <c r="K628" s="2464"/>
      <c r="L628" s="2464"/>
      <c r="M628" s="2464"/>
      <c r="N628" s="2464"/>
      <c r="O628" s="2464"/>
      <c r="P628" s="2464"/>
      <c r="Q628" s="2464"/>
      <c r="R628" s="2464"/>
      <c r="S628" s="2464"/>
      <c r="T628" s="2464"/>
      <c r="U628" s="2464"/>
      <c r="V628" s="2464"/>
      <c r="W628" s="2464"/>
      <c r="X628" s="2464"/>
      <c r="Y628" s="2464"/>
      <c r="Z628" s="2464"/>
      <c r="AA628" s="2464"/>
      <c r="AB628" s="2464"/>
      <c r="AC628" s="2464"/>
      <c r="AD628" s="2464"/>
      <c r="AE628" s="537"/>
      <c r="AF628" s="537"/>
      <c r="AG628" s="537"/>
      <c r="AH628" s="537"/>
      <c r="AI628" s="537"/>
      <c r="AJ628" s="537"/>
      <c r="AK628" s="537"/>
      <c r="AL628" s="537"/>
      <c r="AN628" s="598"/>
    </row>
    <row r="629" spans="1:42" s="551" customFormat="1" ht="12.75" customHeight="1">
      <c r="B629" s="537"/>
      <c r="C629" s="932"/>
      <c r="D629" s="664"/>
      <c r="E629" s="2464"/>
      <c r="F629" s="2464"/>
      <c r="G629" s="2464"/>
      <c r="H629" s="2464"/>
      <c r="I629" s="2464"/>
      <c r="J629" s="2464"/>
      <c r="K629" s="2464"/>
      <c r="L629" s="2464"/>
      <c r="M629" s="2464"/>
      <c r="N629" s="2464"/>
      <c r="O629" s="2464"/>
      <c r="P629" s="2464"/>
      <c r="Q629" s="2464"/>
      <c r="R629" s="2464"/>
      <c r="S629" s="2464"/>
      <c r="T629" s="2464"/>
      <c r="U629" s="2464"/>
      <c r="V629" s="2464"/>
      <c r="W629" s="2464"/>
      <c r="X629" s="2464"/>
      <c r="Y629" s="2464"/>
      <c r="Z629" s="2464"/>
      <c r="AA629" s="2464"/>
      <c r="AB629" s="2464"/>
      <c r="AC629" s="2464"/>
      <c r="AD629" s="2464"/>
      <c r="AE629" s="537"/>
      <c r="AF629" s="537"/>
      <c r="AG629" s="537"/>
      <c r="AH629" s="537"/>
      <c r="AI629" s="537"/>
      <c r="AJ629" s="537"/>
      <c r="AK629" s="537"/>
      <c r="AL629" s="537"/>
      <c r="AN629" s="598"/>
    </row>
    <row r="630" spans="1:42" s="551" customFormat="1" ht="12.75" customHeight="1">
      <c r="B630" s="537"/>
      <c r="C630" s="932"/>
      <c r="D630" s="664"/>
      <c r="E630" s="2464"/>
      <c r="F630" s="2464"/>
      <c r="G630" s="2464"/>
      <c r="H630" s="2464"/>
      <c r="I630" s="2464"/>
      <c r="J630" s="2464"/>
      <c r="K630" s="2464"/>
      <c r="L630" s="2464"/>
      <c r="M630" s="2464"/>
      <c r="N630" s="2464"/>
      <c r="O630" s="2464"/>
      <c r="P630" s="2464"/>
      <c r="Q630" s="2464"/>
      <c r="R630" s="2464"/>
      <c r="S630" s="2464"/>
      <c r="T630" s="2464"/>
      <c r="U630" s="2464"/>
      <c r="V630" s="2464"/>
      <c r="W630" s="2464"/>
      <c r="X630" s="2464"/>
      <c r="Y630" s="2464"/>
      <c r="Z630" s="2464"/>
      <c r="AA630" s="2464"/>
      <c r="AB630" s="2464"/>
      <c r="AC630" s="2464"/>
      <c r="AD630" s="2464"/>
      <c r="AE630" s="537"/>
      <c r="AF630" s="537"/>
      <c r="AG630" s="537"/>
      <c r="AH630" s="537"/>
      <c r="AI630" s="537"/>
      <c r="AJ630" s="537"/>
      <c r="AK630" s="537"/>
      <c r="AL630" s="537"/>
      <c r="AN630" s="598"/>
    </row>
    <row r="631" spans="1:42" s="551" customFormat="1" ht="12.75" customHeight="1">
      <c r="A631" s="638"/>
      <c r="B631" s="617"/>
      <c r="C631" s="941"/>
      <c r="D631" s="664"/>
      <c r="E631" s="2464"/>
      <c r="F631" s="2464"/>
      <c r="G631" s="2464"/>
      <c r="H631" s="2464"/>
      <c r="I631" s="2464"/>
      <c r="J631" s="2464"/>
      <c r="K631" s="2464"/>
      <c r="L631" s="2464"/>
      <c r="M631" s="2464"/>
      <c r="N631" s="2464"/>
      <c r="O631" s="2464"/>
      <c r="P631" s="2464"/>
      <c r="Q631" s="2464"/>
      <c r="R631" s="2464"/>
      <c r="S631" s="2464"/>
      <c r="T631" s="2464"/>
      <c r="U631" s="2464"/>
      <c r="V631" s="2464"/>
      <c r="W631" s="2464"/>
      <c r="X631" s="2464"/>
      <c r="Y631" s="2464"/>
      <c r="Z631" s="2464"/>
      <c r="AA631" s="2464"/>
      <c r="AB631" s="2464"/>
      <c r="AC631" s="2464"/>
      <c r="AD631" s="2464"/>
      <c r="AE631" s="617"/>
      <c r="AF631" s="617"/>
      <c r="AG631" s="617"/>
      <c r="AH631" s="617"/>
      <c r="AI631" s="617"/>
      <c r="AJ631" s="617"/>
      <c r="AK631" s="537"/>
      <c r="AL631" s="537"/>
      <c r="AN631" s="598"/>
    </row>
    <row r="632" spans="1:42" s="551" customFormat="1" ht="12.75" customHeight="1">
      <c r="B632" s="617"/>
      <c r="C632" s="941"/>
      <c r="D632" s="664"/>
      <c r="E632" s="2464"/>
      <c r="F632" s="2464"/>
      <c r="G632" s="2464"/>
      <c r="H632" s="2464"/>
      <c r="I632" s="2464"/>
      <c r="J632" s="2464"/>
      <c r="K632" s="2464"/>
      <c r="L632" s="2464"/>
      <c r="M632" s="2464"/>
      <c r="N632" s="2464"/>
      <c r="O632" s="2464"/>
      <c r="P632" s="2464"/>
      <c r="Q632" s="2464"/>
      <c r="R632" s="2464"/>
      <c r="S632" s="2464"/>
      <c r="T632" s="2464"/>
      <c r="U632" s="2464"/>
      <c r="V632" s="2464"/>
      <c r="W632" s="2464"/>
      <c r="X632" s="2464"/>
      <c r="Y632" s="2464"/>
      <c r="Z632" s="2464"/>
      <c r="AA632" s="2464"/>
      <c r="AB632" s="2464"/>
      <c r="AC632" s="2464"/>
      <c r="AD632" s="2464"/>
      <c r="AE632" s="617"/>
      <c r="AF632" s="617"/>
      <c r="AG632" s="617"/>
      <c r="AH632" s="617"/>
      <c r="AI632" s="617"/>
      <c r="AJ632" s="617"/>
      <c r="AK632" s="537"/>
      <c r="AL632" s="537"/>
      <c r="AN632" s="598"/>
    </row>
    <row r="633" spans="1:42" s="551" customFormat="1" ht="12" customHeight="1">
      <c r="B633" s="617"/>
      <c r="C633" s="941"/>
      <c r="D633" s="664"/>
      <c r="E633" s="957"/>
      <c r="F633" s="957"/>
      <c r="G633" s="957"/>
      <c r="H633" s="957"/>
      <c r="I633" s="957"/>
      <c r="J633" s="957"/>
      <c r="K633" s="957"/>
      <c r="L633" s="957"/>
      <c r="M633" s="957"/>
      <c r="N633" s="957"/>
      <c r="O633" s="957"/>
      <c r="P633" s="957"/>
      <c r="Q633" s="957"/>
      <c r="R633" s="957"/>
      <c r="S633" s="957"/>
      <c r="T633" s="957"/>
      <c r="U633" s="957"/>
      <c r="V633" s="957"/>
      <c r="W633" s="957"/>
      <c r="X633" s="957"/>
      <c r="Y633" s="957"/>
      <c r="Z633" s="957"/>
      <c r="AA633" s="957"/>
      <c r="AB633" s="957"/>
      <c r="AC633" s="957"/>
      <c r="AD633" s="957"/>
      <c r="AE633" s="617"/>
      <c r="AF633" s="617"/>
      <c r="AG633" s="617"/>
      <c r="AH633" s="617"/>
      <c r="AI633" s="617"/>
      <c r="AJ633" s="617"/>
      <c r="AK633" s="537"/>
      <c r="AL633" s="537"/>
      <c r="AN633" s="598"/>
      <c r="AO633" s="551" t="s">
        <v>591</v>
      </c>
      <c r="AP633" s="674">
        <v>0</v>
      </c>
    </row>
    <row r="634" spans="1:42" s="551" customFormat="1" ht="12.75" customHeight="1">
      <c r="B634" s="617"/>
      <c r="C634" s="932"/>
      <c r="D634" s="664"/>
      <c r="E634" s="617" t="s">
        <v>1405</v>
      </c>
      <c r="F634" s="942"/>
      <c r="G634" s="942"/>
      <c r="H634" s="942"/>
      <c r="I634" s="942"/>
      <c r="J634" s="942"/>
      <c r="K634" s="942"/>
      <c r="L634" s="942"/>
      <c r="M634" s="942"/>
      <c r="N634" s="942"/>
      <c r="O634" s="942"/>
      <c r="P634" s="942"/>
      <c r="Q634" s="942"/>
      <c r="R634" s="942"/>
      <c r="U634" s="942"/>
      <c r="V634" s="942"/>
      <c r="W634" s="942"/>
      <c r="X634" s="2409" t="s">
        <v>591</v>
      </c>
      <c r="Y634" s="2409"/>
      <c r="Z634" s="942"/>
      <c r="AA634" s="942"/>
      <c r="AB634" s="942"/>
      <c r="AC634" s="942"/>
      <c r="AD634" s="942"/>
      <c r="AE634" s="537"/>
      <c r="AF634" s="617"/>
      <c r="AG634" s="617"/>
      <c r="AH634" s="617"/>
      <c r="AI634" s="617"/>
      <c r="AJ634" s="617"/>
      <c r="AK634" s="537"/>
      <c r="AL634" s="537"/>
      <c r="AN634" s="598"/>
      <c r="AO634" s="612" t="s">
        <v>687</v>
      </c>
      <c r="AP634" s="551">
        <v>5</v>
      </c>
    </row>
    <row r="635" spans="1:42" s="551" customFormat="1" ht="12.75" customHeight="1">
      <c r="B635" s="617"/>
      <c r="C635" s="941"/>
      <c r="D635" s="537"/>
      <c r="E635" s="537"/>
      <c r="F635" s="537"/>
      <c r="G635" s="537"/>
      <c r="H635" s="537"/>
      <c r="I635" s="537"/>
      <c r="J635" s="537"/>
      <c r="K635" s="537"/>
      <c r="L635" s="537"/>
      <c r="M635" s="537"/>
      <c r="N635" s="537"/>
      <c r="O635" s="537"/>
      <c r="P635" s="537"/>
      <c r="Q635" s="537"/>
      <c r="R635" s="537"/>
      <c r="S635" s="537"/>
      <c r="T635" s="537"/>
      <c r="U635" s="537"/>
      <c r="V635" s="537"/>
      <c r="W635" s="617"/>
      <c r="X635" s="617"/>
      <c r="Y635" s="617"/>
      <c r="Z635" s="617"/>
      <c r="AA635" s="617"/>
      <c r="AB635" s="617"/>
      <c r="AC635" s="537"/>
      <c r="AD635" s="537"/>
      <c r="AE635" s="537"/>
      <c r="AF635" s="537"/>
      <c r="AG635" s="537"/>
      <c r="AH635" s="537"/>
      <c r="AI635" s="537"/>
      <c r="AJ635" s="537"/>
      <c r="AK635" s="537"/>
      <c r="AL635" s="537"/>
      <c r="AN635" s="598"/>
      <c r="AO635" s="612" t="s">
        <v>509</v>
      </c>
      <c r="AP635" s="681">
        <v>4</v>
      </c>
    </row>
    <row r="636" spans="1:42" s="551" customFormat="1" ht="12.75" customHeight="1">
      <c r="B636" s="537"/>
      <c r="C636" s="932"/>
      <c r="D636" s="664" t="s">
        <v>509</v>
      </c>
      <c r="E636" s="556" t="s">
        <v>1406</v>
      </c>
      <c r="F636" s="943"/>
      <c r="G636" s="943"/>
      <c r="H636" s="943"/>
      <c r="I636" s="943"/>
      <c r="J636" s="943"/>
      <c r="K636" s="943"/>
      <c r="L636" s="943"/>
      <c r="M636" s="943"/>
      <c r="N636" s="943"/>
      <c r="O636" s="943"/>
      <c r="P636" s="943"/>
      <c r="Q636" s="943"/>
      <c r="R636" s="943"/>
      <c r="S636" s="943"/>
      <c r="T636" s="943"/>
      <c r="U636" s="537"/>
      <c r="V636" s="537"/>
      <c r="W636" s="943"/>
      <c r="X636" s="943"/>
      <c r="Y636" s="943"/>
      <c r="Z636" s="943"/>
      <c r="AA636" s="943"/>
      <c r="AB636" s="943"/>
      <c r="AC636" s="537"/>
      <c r="AD636" s="537"/>
      <c r="AE636" s="537"/>
      <c r="AF636" s="2381" t="s">
        <v>1407</v>
      </c>
      <c r="AG636" s="2381"/>
      <c r="AH636" s="2381"/>
      <c r="AI636" s="2381"/>
      <c r="AJ636" s="2381"/>
      <c r="AK636" s="2381"/>
      <c r="AL636" s="2381"/>
      <c r="AN636" s="598"/>
      <c r="AO636" s="612" t="s">
        <v>277</v>
      </c>
      <c r="AP636" s="551">
        <v>3</v>
      </c>
    </row>
    <row r="637" spans="1:42" s="551" customFormat="1" ht="12.75" customHeight="1">
      <c r="B637" s="537"/>
      <c r="C637" s="932"/>
      <c r="D637" s="537"/>
      <c r="E637" s="537"/>
      <c r="F637" s="943"/>
      <c r="G637" s="943"/>
      <c r="H637" s="943"/>
      <c r="I637" s="943"/>
      <c r="J637" s="943"/>
      <c r="K637" s="943"/>
      <c r="L637" s="943"/>
      <c r="M637" s="943"/>
      <c r="N637" s="943"/>
      <c r="O637" s="943"/>
      <c r="P637" s="943"/>
      <c r="Q637" s="943"/>
      <c r="R637" s="943"/>
      <c r="S637" s="943"/>
      <c r="T637" s="943"/>
      <c r="U637" s="537"/>
      <c r="V637" s="537"/>
      <c r="W637" s="537"/>
      <c r="X637" s="943"/>
      <c r="Y637" s="943"/>
      <c r="Z637" s="943"/>
      <c r="AA637" s="943"/>
      <c r="AB637" s="943"/>
      <c r="AC637" s="537"/>
      <c r="AD637" s="537"/>
      <c r="AE637" s="537"/>
      <c r="AF637" s="537"/>
      <c r="AG637" s="537"/>
      <c r="AH637" s="537"/>
      <c r="AI637" s="537"/>
      <c r="AJ637" s="537"/>
      <c r="AK637" s="537"/>
      <c r="AL637" s="537"/>
      <c r="AN637" s="598"/>
      <c r="AO637" s="612" t="s">
        <v>1396</v>
      </c>
      <c r="AP637" s="681">
        <v>4</v>
      </c>
    </row>
    <row r="638" spans="1:42" s="551" customFormat="1" ht="12.75" customHeight="1">
      <c r="B638" s="537"/>
      <c r="C638" s="932"/>
      <c r="D638" s="537" t="s">
        <v>1399</v>
      </c>
      <c r="E638" s="937"/>
      <c r="F638" s="937"/>
      <c r="G638" s="937"/>
      <c r="H638" s="2465" t="s">
        <v>687</v>
      </c>
      <c r="I638" s="2465"/>
      <c r="J638" s="943"/>
      <c r="K638" s="943"/>
      <c r="L638" s="943"/>
      <c r="M638" s="943"/>
      <c r="N638" s="943"/>
      <c r="O638" s="943"/>
      <c r="P638" s="943"/>
      <c r="Q638" s="943"/>
      <c r="R638" s="943"/>
      <c r="S638" s="943"/>
      <c r="T638" s="943"/>
      <c r="U638" s="937"/>
      <c r="V638" s="937"/>
      <c r="W638" s="937"/>
      <c r="X638" s="537"/>
      <c r="Y638" s="537"/>
      <c r="Z638" s="537"/>
      <c r="AA638" s="537"/>
      <c r="AB638" s="537"/>
      <c r="AC638" s="537"/>
      <c r="AD638" s="537"/>
      <c r="AE638" s="537"/>
      <c r="AF638" s="537"/>
      <c r="AG638" s="537"/>
      <c r="AH638" s="537"/>
      <c r="AI638" s="537"/>
      <c r="AJ638" s="537"/>
      <c r="AK638" s="537"/>
      <c r="AL638" s="537"/>
      <c r="AN638" s="598"/>
      <c r="AO638" s="612" t="s">
        <v>1397</v>
      </c>
      <c r="AP638" s="551">
        <v>3</v>
      </c>
    </row>
    <row r="639" spans="1:42" s="551" customFormat="1" ht="12.75" customHeight="1">
      <c r="B639" s="537"/>
      <c r="C639" s="932"/>
      <c r="D639" s="537"/>
      <c r="E639" s="937"/>
      <c r="F639" s="943"/>
      <c r="G639" s="943"/>
      <c r="H639" s="943"/>
      <c r="I639" s="944"/>
      <c r="J639" s="943"/>
      <c r="K639" s="943"/>
      <c r="L639" s="943"/>
      <c r="M639" s="943"/>
      <c r="N639" s="943"/>
      <c r="O639" s="943"/>
      <c r="P639" s="943"/>
      <c r="Q639" s="943"/>
      <c r="R639" s="537"/>
      <c r="S639" s="537"/>
      <c r="T639" s="943"/>
      <c r="U639" s="937"/>
      <c r="V639" s="937"/>
      <c r="W639" s="937"/>
      <c r="X639" s="937"/>
      <c r="Y639" s="937"/>
      <c r="Z639" s="937"/>
      <c r="AA639" s="937"/>
      <c r="AB639" s="937"/>
      <c r="AC639" s="537"/>
      <c r="AD639" s="537"/>
      <c r="AE639" s="537"/>
      <c r="AF639" s="537"/>
      <c r="AG639" s="537"/>
      <c r="AH639" s="537"/>
      <c r="AI639" s="943"/>
      <c r="AJ639" s="943"/>
      <c r="AK639" s="943"/>
      <c r="AL639" s="943"/>
      <c r="AM639" s="682"/>
      <c r="AN639" s="598"/>
      <c r="AO639" s="612" t="s">
        <v>1408</v>
      </c>
      <c r="AP639" s="551">
        <v>2</v>
      </c>
    </row>
    <row r="640" spans="1:42" s="551" customFormat="1" ht="12.75" customHeight="1">
      <c r="A640" s="607"/>
      <c r="B640" s="602"/>
      <c r="C640" s="945"/>
      <c r="D640" s="602"/>
      <c r="E640" s="940"/>
      <c r="F640" s="940"/>
      <c r="G640" s="946"/>
      <c r="H640" s="946"/>
      <c r="I640" s="946"/>
      <c r="J640" s="946"/>
      <c r="K640" s="946"/>
      <c r="L640" s="946"/>
      <c r="M640" s="946"/>
      <c r="N640" s="946"/>
      <c r="O640" s="946"/>
      <c r="P640" s="946"/>
      <c r="Q640" s="946"/>
      <c r="R640" s="946"/>
      <c r="S640" s="946"/>
      <c r="T640" s="940"/>
      <c r="U640" s="940"/>
      <c r="V640" s="940"/>
      <c r="W640" s="940"/>
      <c r="X640" s="940"/>
      <c r="Y640" s="940"/>
      <c r="Z640" s="940"/>
      <c r="AA640" s="940"/>
      <c r="AB640" s="602"/>
      <c r="AC640" s="602"/>
      <c r="AD640" s="602"/>
      <c r="AE640" s="602"/>
      <c r="AF640" s="602"/>
      <c r="AG640" s="602"/>
      <c r="AH640" s="602"/>
      <c r="AI640" s="566" t="s">
        <v>1409</v>
      </c>
      <c r="AJ640" s="2416">
        <f>VLOOKUP($H$638,$AO$605:$AP$607,2,FALSE)</f>
        <v>3</v>
      </c>
      <c r="AK640" s="2418"/>
      <c r="AL640" s="596"/>
      <c r="AN640" s="598"/>
      <c r="AO640" s="612" t="s">
        <v>1410</v>
      </c>
      <c r="AP640" s="551">
        <v>1</v>
      </c>
    </row>
    <row r="641" spans="1:42" s="551" customFormat="1" ht="12.75" customHeight="1">
      <c r="B641" s="537"/>
      <c r="C641" s="932"/>
      <c r="D641" s="537"/>
      <c r="E641" s="937"/>
      <c r="F641" s="937"/>
      <c r="G641" s="937"/>
      <c r="H641" s="537"/>
      <c r="I641" s="537"/>
      <c r="J641" s="943"/>
      <c r="K641" s="943"/>
      <c r="L641" s="943"/>
      <c r="M641" s="943"/>
      <c r="N641" s="943"/>
      <c r="O641" s="943"/>
      <c r="P641" s="943"/>
      <c r="Q641" s="943"/>
      <c r="R641" s="943"/>
      <c r="S641" s="943"/>
      <c r="T641" s="943"/>
      <c r="U641" s="937"/>
      <c r="V641" s="937"/>
      <c r="W641" s="937"/>
      <c r="X641" s="937"/>
      <c r="Y641" s="937"/>
      <c r="Z641" s="937"/>
      <c r="AA641" s="937"/>
      <c r="AB641" s="937"/>
      <c r="AC641" s="537"/>
      <c r="AD641" s="537"/>
      <c r="AE641" s="537"/>
      <c r="AF641" s="537"/>
      <c r="AG641" s="537"/>
      <c r="AH641" s="537"/>
      <c r="AI641" s="537"/>
      <c r="AJ641" s="544"/>
      <c r="AK641" s="537"/>
      <c r="AL641" s="537"/>
      <c r="AN641" s="598"/>
    </row>
    <row r="642" spans="1:42" s="551" customFormat="1" ht="12.75" customHeight="1">
      <c r="B642" s="537"/>
      <c r="C642" s="540" t="s">
        <v>1411</v>
      </c>
      <c r="D642" s="537"/>
      <c r="E642" s="937"/>
      <c r="F642" s="943"/>
      <c r="G642" s="943"/>
      <c r="H642" s="943"/>
      <c r="I642" s="943"/>
      <c r="J642" s="943"/>
      <c r="K642" s="943"/>
      <c r="L642" s="943"/>
      <c r="M642" s="943"/>
      <c r="N642" s="943"/>
      <c r="O642" s="943"/>
      <c r="P642" s="943"/>
      <c r="Q642" s="943"/>
      <c r="R642" s="943"/>
      <c r="S642" s="943"/>
      <c r="T642" s="943"/>
      <c r="U642" s="537"/>
      <c r="V642" s="537"/>
      <c r="W642" s="943"/>
      <c r="X642" s="943"/>
      <c r="Y642" s="943"/>
      <c r="Z642" s="943"/>
      <c r="AA642" s="943"/>
      <c r="AB642" s="943"/>
      <c r="AC642" s="595"/>
      <c r="AD642" s="595"/>
      <c r="AE642" s="595"/>
      <c r="AF642" s="595"/>
      <c r="AG642" s="595"/>
      <c r="AH642" s="595"/>
      <c r="AI642" s="595"/>
      <c r="AJ642" s="537"/>
      <c r="AK642" s="537"/>
      <c r="AL642" s="537"/>
      <c r="AN642" s="598"/>
    </row>
    <row r="643" spans="1:42" s="551" customFormat="1" ht="12.75" customHeight="1">
      <c r="A643" s="638"/>
      <c r="B643" s="537"/>
      <c r="C643" s="934"/>
      <c r="D643" s="537"/>
      <c r="E643" s="943"/>
      <c r="F643" s="943"/>
      <c r="G643" s="943"/>
      <c r="H643" s="943"/>
      <c r="I643" s="943"/>
      <c r="J643" s="943"/>
      <c r="K643" s="943"/>
      <c r="L643" s="943"/>
      <c r="M643" s="943"/>
      <c r="N643" s="943"/>
      <c r="O643" s="943"/>
      <c r="P643" s="943"/>
      <c r="Q643" s="943"/>
      <c r="R643" s="943"/>
      <c r="S643" s="943"/>
      <c r="T643" s="943"/>
      <c r="U643" s="943"/>
      <c r="V643" s="943"/>
      <c r="W643" s="943"/>
      <c r="X643" s="943"/>
      <c r="Y643" s="943"/>
      <c r="Z643" s="943"/>
      <c r="AA643" s="943"/>
      <c r="AB643" s="943"/>
      <c r="AC643" s="537"/>
      <c r="AD643" s="537"/>
      <c r="AE643" s="537"/>
      <c r="AF643" s="537"/>
      <c r="AG643" s="537"/>
      <c r="AH643" s="537"/>
      <c r="AI643" s="537"/>
      <c r="AJ643" s="537"/>
      <c r="AK643" s="537"/>
      <c r="AL643" s="537"/>
      <c r="AN643" s="598"/>
    </row>
    <row r="644" spans="1:42" s="551" customFormat="1" ht="12.75" customHeight="1">
      <c r="B644" s="537"/>
      <c r="C644" s="537"/>
      <c r="D644" s="664" t="s">
        <v>687</v>
      </c>
      <c r="E644" s="2436" t="s">
        <v>2098</v>
      </c>
      <c r="F644" s="2436"/>
      <c r="G644" s="2436"/>
      <c r="H644" s="2436"/>
      <c r="I644" s="2436"/>
      <c r="J644" s="2436"/>
      <c r="K644" s="2436"/>
      <c r="L644" s="2436"/>
      <c r="M644" s="2436"/>
      <c r="N644" s="2436"/>
      <c r="O644" s="2436"/>
      <c r="P644" s="2436"/>
      <c r="Q644" s="2436"/>
      <c r="R644" s="2436"/>
      <c r="S644" s="2436"/>
      <c r="T644" s="2436"/>
      <c r="U644" s="2436"/>
      <c r="V644" s="2436"/>
      <c r="W644" s="2436"/>
      <c r="X644" s="2436"/>
      <c r="Y644" s="2436"/>
      <c r="Z644" s="2436"/>
      <c r="AA644" s="2436"/>
      <c r="AB644" s="2436"/>
      <c r="AC644" s="2436"/>
      <c r="AD644" s="2436"/>
      <c r="AE644" s="537"/>
      <c r="AF644" s="2381" t="s">
        <v>1351</v>
      </c>
      <c r="AG644" s="2381"/>
      <c r="AH644" s="2381"/>
      <c r="AI644" s="2381"/>
      <c r="AJ644" s="2381"/>
      <c r="AK644" s="2381"/>
      <c r="AL644" s="2381"/>
      <c r="AN644" s="598"/>
    </row>
    <row r="645" spans="1:42" s="551" customFormat="1" ht="12.75" customHeight="1">
      <c r="B645" s="537"/>
      <c r="C645" s="537"/>
      <c r="D645" s="664"/>
      <c r="E645" s="2436"/>
      <c r="F645" s="2436"/>
      <c r="G645" s="2436"/>
      <c r="H645" s="2436"/>
      <c r="I645" s="2436"/>
      <c r="J645" s="2436"/>
      <c r="K645" s="2436"/>
      <c r="L645" s="2436"/>
      <c r="M645" s="2436"/>
      <c r="N645" s="2436"/>
      <c r="O645" s="2436"/>
      <c r="P645" s="2436"/>
      <c r="Q645" s="2436"/>
      <c r="R645" s="2436"/>
      <c r="S645" s="2436"/>
      <c r="T645" s="2436"/>
      <c r="U645" s="2436"/>
      <c r="V645" s="2436"/>
      <c r="W645" s="2436"/>
      <c r="X645" s="2436"/>
      <c r="Y645" s="2436"/>
      <c r="Z645" s="2436"/>
      <c r="AA645" s="2436"/>
      <c r="AB645" s="2436"/>
      <c r="AC645" s="2436"/>
      <c r="AD645" s="2436"/>
      <c r="AE645" s="595"/>
      <c r="AF645" s="595"/>
      <c r="AG645" s="595"/>
      <c r="AH645" s="595"/>
      <c r="AI645" s="595"/>
      <c r="AJ645" s="595"/>
      <c r="AK645" s="595"/>
      <c r="AL645" s="595"/>
      <c r="AN645" s="598"/>
    </row>
    <row r="646" spans="1:42" s="551" customFormat="1" ht="12.75" customHeight="1">
      <c r="B646" s="617"/>
      <c r="C646" s="941"/>
      <c r="D646" s="664"/>
      <c r="E646" s="617"/>
      <c r="F646" s="617"/>
      <c r="G646" s="617"/>
      <c r="H646" s="617"/>
      <c r="I646" s="617"/>
      <c r="J646" s="617"/>
      <c r="K646" s="617"/>
      <c r="L646" s="617"/>
      <c r="M646" s="617"/>
      <c r="N646" s="617"/>
      <c r="O646" s="617"/>
      <c r="P646" s="617"/>
      <c r="Q646" s="617"/>
      <c r="R646" s="617"/>
      <c r="S646" s="617"/>
      <c r="T646" s="617"/>
      <c r="U646" s="617"/>
      <c r="V646" s="617"/>
      <c r="W646" s="617"/>
      <c r="X646" s="617"/>
      <c r="Y646" s="617"/>
      <c r="Z646" s="617"/>
      <c r="AA646" s="617"/>
      <c r="AB646" s="617"/>
      <c r="AC646" s="537"/>
      <c r="AD646" s="537"/>
      <c r="AE646" s="617"/>
      <c r="AF646" s="537"/>
      <c r="AG646" s="537"/>
      <c r="AH646" s="537"/>
      <c r="AI646" s="537"/>
      <c r="AJ646" s="537"/>
      <c r="AK646" s="537"/>
      <c r="AL646" s="537"/>
      <c r="AN646" s="598"/>
    </row>
    <row r="647" spans="1:42" s="551" customFormat="1" ht="12.75" customHeight="1">
      <c r="B647" s="537"/>
      <c r="C647" s="932"/>
      <c r="D647" s="664" t="s">
        <v>509</v>
      </c>
      <c r="E647" s="617" t="s">
        <v>1412</v>
      </c>
      <c r="F647" s="617"/>
      <c r="G647" s="617"/>
      <c r="H647" s="617"/>
      <c r="I647" s="617"/>
      <c r="J647" s="617"/>
      <c r="K647" s="617"/>
      <c r="L647" s="617"/>
      <c r="M647" s="617"/>
      <c r="N647" s="617"/>
      <c r="O647" s="617"/>
      <c r="P647" s="617"/>
      <c r="Q647" s="617"/>
      <c r="R647" s="617"/>
      <c r="S647" s="617"/>
      <c r="T647" s="617"/>
      <c r="U647" s="617"/>
      <c r="V647" s="617"/>
      <c r="W647" s="617"/>
      <c r="X647" s="617"/>
      <c r="Y647" s="617"/>
      <c r="Z647" s="617"/>
      <c r="AA647" s="617"/>
      <c r="AB647" s="617"/>
      <c r="AC647" s="537"/>
      <c r="AD647" s="537"/>
      <c r="AE647" s="537"/>
      <c r="AF647" s="2381" t="s">
        <v>1407</v>
      </c>
      <c r="AG647" s="2381"/>
      <c r="AH647" s="2381"/>
      <c r="AI647" s="2381"/>
      <c r="AJ647" s="2381"/>
      <c r="AK647" s="2381"/>
      <c r="AL647" s="2381"/>
      <c r="AN647" s="598"/>
    </row>
    <row r="648" spans="1:42" s="551" customFormat="1" ht="12.75" customHeight="1">
      <c r="B648" s="537"/>
      <c r="C648" s="932"/>
      <c r="D648" s="664"/>
      <c r="E648" s="617" t="s">
        <v>1413</v>
      </c>
      <c r="F648" s="617"/>
      <c r="G648" s="617"/>
      <c r="H648" s="617"/>
      <c r="I648" s="617"/>
      <c r="J648" s="617"/>
      <c r="K648" s="617"/>
      <c r="L648" s="617"/>
      <c r="M648" s="617"/>
      <c r="N648" s="617"/>
      <c r="O648" s="617"/>
      <c r="P648" s="617"/>
      <c r="Q648" s="617"/>
      <c r="R648" s="617"/>
      <c r="S648" s="617"/>
      <c r="T648" s="617"/>
      <c r="U648" s="617"/>
      <c r="V648" s="617"/>
      <c r="W648" s="617"/>
      <c r="X648" s="617"/>
      <c r="Y648" s="617"/>
      <c r="Z648" s="617"/>
      <c r="AA648" s="617"/>
      <c r="AB648" s="617"/>
      <c r="AC648" s="537"/>
      <c r="AD648" s="537"/>
      <c r="AE648" s="595"/>
      <c r="AF648" s="595"/>
      <c r="AG648" s="595"/>
      <c r="AH648" s="595"/>
      <c r="AI648" s="595"/>
      <c r="AJ648" s="595"/>
      <c r="AK648" s="595"/>
      <c r="AL648" s="595"/>
      <c r="AN648" s="598"/>
    </row>
    <row r="649" spans="1:42" s="551" customFormat="1" ht="12.75" customHeight="1">
      <c r="B649" s="537"/>
      <c r="C649" s="932"/>
      <c r="D649" s="537"/>
      <c r="E649" s="617"/>
      <c r="F649" s="617"/>
      <c r="G649" s="617"/>
      <c r="H649" s="617"/>
      <c r="I649" s="617"/>
      <c r="J649" s="617"/>
      <c r="K649" s="617"/>
      <c r="L649" s="617"/>
      <c r="M649" s="617"/>
      <c r="N649" s="617"/>
      <c r="O649" s="617"/>
      <c r="P649" s="617"/>
      <c r="Q649" s="617"/>
      <c r="R649" s="617"/>
      <c r="S649" s="617"/>
      <c r="T649" s="617"/>
      <c r="U649" s="617"/>
      <c r="V649" s="617"/>
      <c r="W649" s="617"/>
      <c r="X649" s="617"/>
      <c r="Y649" s="617"/>
      <c r="Z649" s="617"/>
      <c r="AA649" s="617"/>
      <c r="AB649" s="617"/>
      <c r="AC649" s="537"/>
      <c r="AD649" s="537"/>
      <c r="AE649" s="537"/>
      <c r="AF649" s="537"/>
      <c r="AG649" s="537"/>
      <c r="AH649" s="537"/>
      <c r="AI649" s="537"/>
      <c r="AJ649" s="537"/>
      <c r="AK649" s="537"/>
      <c r="AL649" s="537"/>
      <c r="AN649" s="598"/>
      <c r="AP649" s="681"/>
    </row>
    <row r="650" spans="1:42" s="551" customFormat="1" ht="12.75" customHeight="1">
      <c r="B650" s="537"/>
      <c r="C650" s="932"/>
      <c r="D650" s="537" t="s">
        <v>1399</v>
      </c>
      <c r="E650" s="937"/>
      <c r="F650" s="937"/>
      <c r="G650" s="937"/>
      <c r="H650" s="2465" t="s">
        <v>687</v>
      </c>
      <c r="I650" s="2465"/>
      <c r="J650" s="617"/>
      <c r="K650" s="617"/>
      <c r="L650" s="617"/>
      <c r="M650" s="617"/>
      <c r="N650" s="617"/>
      <c r="O650" s="617"/>
      <c r="P650" s="617"/>
      <c r="Q650" s="617"/>
      <c r="R650" s="617"/>
      <c r="S650" s="617"/>
      <c r="T650" s="617"/>
      <c r="U650" s="617"/>
      <c r="V650" s="617"/>
      <c r="W650" s="537"/>
      <c r="X650" s="537"/>
      <c r="Y650" s="537"/>
      <c r="Z650" s="537"/>
      <c r="AA650" s="537"/>
      <c r="AB650" s="537"/>
      <c r="AC650" s="537"/>
      <c r="AD650" s="537"/>
      <c r="AE650" s="537"/>
      <c r="AF650" s="537"/>
      <c r="AG650" s="537"/>
      <c r="AH650" s="537"/>
      <c r="AI650" s="537"/>
      <c r="AJ650" s="537"/>
      <c r="AK650" s="537"/>
      <c r="AL650" s="537"/>
      <c r="AN650" s="598"/>
    </row>
    <row r="651" spans="1:42" s="551" customFormat="1" ht="12.75" customHeight="1">
      <c r="B651" s="537"/>
      <c r="C651" s="932"/>
      <c r="D651" s="537"/>
      <c r="E651" s="937"/>
      <c r="F651" s="937"/>
      <c r="G651" s="617"/>
      <c r="H651" s="617"/>
      <c r="I651" s="617"/>
      <c r="J651" s="617"/>
      <c r="K651" s="617"/>
      <c r="L651" s="617"/>
      <c r="M651" s="617"/>
      <c r="N651" s="617"/>
      <c r="O651" s="617"/>
      <c r="P651" s="617"/>
      <c r="Q651" s="617"/>
      <c r="R651" s="617"/>
      <c r="S651" s="617"/>
      <c r="T651" s="617"/>
      <c r="U651" s="617"/>
      <c r="V651" s="617"/>
      <c r="W651" s="617"/>
      <c r="X651" s="617"/>
      <c r="Y651" s="617"/>
      <c r="Z651" s="937"/>
      <c r="AA651" s="937"/>
      <c r="AB651" s="937"/>
      <c r="AC651" s="537"/>
      <c r="AD651" s="537"/>
      <c r="AE651" s="537"/>
      <c r="AF651" s="537"/>
      <c r="AG651" s="537"/>
      <c r="AH651" s="537"/>
      <c r="AI651" s="537"/>
      <c r="AJ651" s="617"/>
      <c r="AK651" s="617"/>
      <c r="AL651" s="617"/>
      <c r="AM651" s="552"/>
      <c r="AN651" s="598"/>
    </row>
    <row r="652" spans="1:42" s="551" customFormat="1" ht="12.75" customHeight="1">
      <c r="A652" s="607"/>
      <c r="B652" s="602"/>
      <c r="C652" s="945"/>
      <c r="D652" s="602"/>
      <c r="E652" s="940"/>
      <c r="F652" s="940"/>
      <c r="G652" s="666"/>
      <c r="H652" s="666"/>
      <c r="I652" s="666"/>
      <c r="J652" s="666"/>
      <c r="K652" s="666"/>
      <c r="L652" s="666"/>
      <c r="M652" s="666"/>
      <c r="N652" s="666"/>
      <c r="O652" s="666"/>
      <c r="P652" s="666"/>
      <c r="Q652" s="666"/>
      <c r="R652" s="666"/>
      <c r="S652" s="666"/>
      <c r="T652" s="666"/>
      <c r="U652" s="666"/>
      <c r="V652" s="666"/>
      <c r="W652" s="666"/>
      <c r="X652" s="666"/>
      <c r="Y652" s="940"/>
      <c r="Z652" s="940"/>
      <c r="AA652" s="940"/>
      <c r="AB652" s="602"/>
      <c r="AC652" s="602"/>
      <c r="AD652" s="602"/>
      <c r="AE652" s="602"/>
      <c r="AF652" s="602"/>
      <c r="AG652" s="602"/>
      <c r="AH652" s="602"/>
      <c r="AI652" s="566" t="s">
        <v>1414</v>
      </c>
      <c r="AJ652" s="2416">
        <f>VLOOKUP(H650,AT605:AU607,2,FALSE)</f>
        <v>3</v>
      </c>
      <c r="AK652" s="2418"/>
      <c r="AL652" s="596"/>
      <c r="AN652" s="598"/>
    </row>
    <row r="653" spans="1:42" s="551" customFormat="1" ht="12.75" customHeight="1">
      <c r="B653" s="537"/>
      <c r="C653" s="932"/>
      <c r="D653" s="537"/>
      <c r="E653" s="537"/>
      <c r="F653" s="537"/>
      <c r="G653" s="537"/>
      <c r="H653" s="537"/>
      <c r="I653" s="537"/>
      <c r="J653" s="537"/>
      <c r="K653" s="537"/>
      <c r="L653" s="537"/>
      <c r="M653" s="537"/>
      <c r="N653" s="537"/>
      <c r="O653" s="537"/>
      <c r="P653" s="537"/>
      <c r="Q653" s="537"/>
      <c r="R653" s="537"/>
      <c r="S653" s="537"/>
      <c r="T653" s="537"/>
      <c r="U653" s="537"/>
      <c r="V653" s="537"/>
      <c r="W653" s="537"/>
      <c r="X653" s="537"/>
      <c r="Y653" s="537"/>
      <c r="Z653" s="537"/>
      <c r="AA653" s="537"/>
      <c r="AB653" s="537"/>
      <c r="AC653" s="537"/>
      <c r="AD653" s="537"/>
      <c r="AE653" s="537"/>
      <c r="AF653" s="537"/>
      <c r="AG653" s="537"/>
      <c r="AH653" s="537"/>
      <c r="AI653" s="537"/>
      <c r="AJ653" s="537"/>
      <c r="AK653" s="537"/>
      <c r="AL653" s="537"/>
      <c r="AN653" s="598"/>
    </row>
    <row r="654" spans="1:42" s="551" customFormat="1" ht="12.75" customHeight="1">
      <c r="B654" s="537"/>
      <c r="C654" s="540" t="s">
        <v>1415</v>
      </c>
      <c r="D654" s="537"/>
      <c r="E654" s="537"/>
      <c r="F654" s="537"/>
      <c r="G654" s="537"/>
      <c r="H654" s="537"/>
      <c r="I654" s="537"/>
      <c r="J654" s="537"/>
      <c r="K654" s="537"/>
      <c r="L654" s="537"/>
      <c r="M654" s="537"/>
      <c r="N654" s="537"/>
      <c r="O654" s="537"/>
      <c r="P654" s="537"/>
      <c r="Q654" s="537"/>
      <c r="R654" s="537"/>
      <c r="S654" s="537"/>
      <c r="T654" s="537"/>
      <c r="U654" s="537"/>
      <c r="V654" s="537"/>
      <c r="W654" s="537"/>
      <c r="X654" s="537"/>
      <c r="Y654" s="537"/>
      <c r="Z654" s="537"/>
      <c r="AA654" s="537"/>
      <c r="AB654" s="537"/>
      <c r="AC654" s="537"/>
      <c r="AD654" s="537"/>
      <c r="AE654" s="537"/>
      <c r="AF654" s="537"/>
      <c r="AG654" s="537"/>
      <c r="AH654" s="537"/>
      <c r="AI654" s="537"/>
      <c r="AJ654" s="537"/>
      <c r="AK654" s="537"/>
      <c r="AL654" s="537"/>
      <c r="AN654" s="598"/>
    </row>
    <row r="655" spans="1:42" s="551" customFormat="1" ht="12.75" customHeight="1">
      <c r="B655" s="537"/>
      <c r="C655" s="540"/>
      <c r="D655" s="683" t="s">
        <v>1416</v>
      </c>
      <c r="E655" s="537"/>
      <c r="F655" s="537"/>
      <c r="G655" s="537"/>
      <c r="H655" s="537"/>
      <c r="I655" s="537"/>
      <c r="J655" s="537"/>
      <c r="K655" s="537"/>
      <c r="L655" s="537"/>
      <c r="M655" s="537"/>
      <c r="N655" s="537"/>
      <c r="O655" s="537"/>
      <c r="P655" s="537"/>
      <c r="Q655" s="537"/>
      <c r="R655" s="537"/>
      <c r="S655" s="537"/>
      <c r="T655" s="537"/>
      <c r="U655" s="537"/>
      <c r="V655" s="537"/>
      <c r="W655" s="537"/>
      <c r="X655" s="537"/>
      <c r="Y655" s="537"/>
      <c r="Z655" s="537"/>
      <c r="AA655" s="537"/>
      <c r="AB655" s="537"/>
      <c r="AC655" s="537"/>
      <c r="AD655" s="537"/>
      <c r="AE655" s="537"/>
      <c r="AF655" s="537"/>
      <c r="AG655" s="537"/>
      <c r="AH655" s="537"/>
      <c r="AI655" s="537"/>
      <c r="AJ655" s="537"/>
      <c r="AK655" s="537"/>
      <c r="AL655" s="537"/>
      <c r="AN655" s="598"/>
    </row>
    <row r="656" spans="1:42" s="551" customFormat="1" ht="12.75" customHeight="1">
      <c r="B656" s="537"/>
      <c r="C656" s="540"/>
      <c r="D656" s="537"/>
      <c r="E656" s="537"/>
      <c r="F656" s="537"/>
      <c r="G656" s="537"/>
      <c r="H656" s="537"/>
      <c r="I656" s="537"/>
      <c r="J656" s="537"/>
      <c r="K656" s="537"/>
      <c r="L656" s="537"/>
      <c r="M656" s="537"/>
      <c r="N656" s="537"/>
      <c r="O656" s="537"/>
      <c r="P656" s="537"/>
      <c r="Q656" s="537"/>
      <c r="R656" s="537"/>
      <c r="S656" s="537"/>
      <c r="T656" s="537"/>
      <c r="U656" s="537"/>
      <c r="V656" s="537"/>
      <c r="W656" s="537"/>
      <c r="X656" s="537"/>
      <c r="Y656" s="537"/>
      <c r="Z656" s="537"/>
      <c r="AA656" s="537"/>
      <c r="AB656" s="537"/>
      <c r="AC656" s="537"/>
      <c r="AD656" s="537"/>
      <c r="AE656" s="537"/>
      <c r="AF656" s="537"/>
      <c r="AG656" s="537"/>
      <c r="AH656" s="537"/>
      <c r="AI656" s="537"/>
      <c r="AJ656" s="537"/>
      <c r="AK656" s="537"/>
      <c r="AL656" s="537"/>
      <c r="AN656" s="598"/>
    </row>
    <row r="657" spans="1:42" s="551" customFormat="1" ht="12.75" customHeight="1">
      <c r="B657" s="537"/>
      <c r="C657" s="540"/>
      <c r="D657" s="664" t="s">
        <v>687</v>
      </c>
      <c r="E657" s="2436" t="s">
        <v>1417</v>
      </c>
      <c r="F657" s="2436"/>
      <c r="G657" s="2436"/>
      <c r="H657" s="2436"/>
      <c r="I657" s="2436"/>
      <c r="J657" s="2436"/>
      <c r="K657" s="2436"/>
      <c r="L657" s="2436"/>
      <c r="M657" s="2436"/>
      <c r="N657" s="2436"/>
      <c r="O657" s="2436"/>
      <c r="P657" s="2436"/>
      <c r="Q657" s="2436"/>
      <c r="R657" s="2436"/>
      <c r="S657" s="2436"/>
      <c r="T657" s="2436"/>
      <c r="U657" s="2436"/>
      <c r="V657" s="2436"/>
      <c r="W657" s="2436"/>
      <c r="X657" s="2436"/>
      <c r="Y657" s="2436"/>
      <c r="Z657" s="2436"/>
      <c r="AA657" s="2436"/>
      <c r="AB657" s="2436"/>
      <c r="AC657" s="2436"/>
      <c r="AD657" s="537"/>
      <c r="AE657" s="537"/>
      <c r="AF657" s="2381" t="s">
        <v>1377</v>
      </c>
      <c r="AG657" s="2381"/>
      <c r="AH657" s="2381"/>
      <c r="AI657" s="2381"/>
      <c r="AJ657" s="2381"/>
      <c r="AK657" s="2381"/>
      <c r="AL657" s="2381"/>
      <c r="AN657" s="598"/>
    </row>
    <row r="658" spans="1:42" s="551" customFormat="1" ht="12.75" customHeight="1">
      <c r="B658" s="537"/>
      <c r="C658" s="540"/>
      <c r="D658" s="537"/>
      <c r="E658" s="2436"/>
      <c r="F658" s="2436"/>
      <c r="G658" s="2436"/>
      <c r="H658" s="2436"/>
      <c r="I658" s="2436"/>
      <c r="J658" s="2436"/>
      <c r="K658" s="2436"/>
      <c r="L658" s="2436"/>
      <c r="M658" s="2436"/>
      <c r="N658" s="2436"/>
      <c r="O658" s="2436"/>
      <c r="P658" s="2436"/>
      <c r="Q658" s="2436"/>
      <c r="R658" s="2436"/>
      <c r="S658" s="2436"/>
      <c r="T658" s="2436"/>
      <c r="U658" s="2436"/>
      <c r="V658" s="2436"/>
      <c r="W658" s="2436"/>
      <c r="X658" s="2436"/>
      <c r="Y658" s="2436"/>
      <c r="Z658" s="2436"/>
      <c r="AA658" s="2436"/>
      <c r="AB658" s="2436"/>
      <c r="AC658" s="2436"/>
      <c r="AD658" s="537"/>
      <c r="AE658" s="537"/>
      <c r="AF658" s="537"/>
      <c r="AG658" s="537"/>
      <c r="AH658" s="537"/>
      <c r="AI658" s="537"/>
      <c r="AJ658" s="537"/>
      <c r="AK658" s="537"/>
      <c r="AL658" s="537"/>
      <c r="AN658" s="598"/>
    </row>
    <row r="659" spans="1:42" s="551" customFormat="1" ht="12.75" customHeight="1">
      <c r="B659" s="537"/>
      <c r="C659" s="540"/>
      <c r="D659" s="664"/>
      <c r="E659" s="2436"/>
      <c r="F659" s="2436"/>
      <c r="G659" s="2436"/>
      <c r="H659" s="2436"/>
      <c r="I659" s="2436"/>
      <c r="J659" s="2436"/>
      <c r="K659" s="2436"/>
      <c r="L659" s="2436"/>
      <c r="M659" s="2436"/>
      <c r="N659" s="2436"/>
      <c r="O659" s="2436"/>
      <c r="P659" s="2436"/>
      <c r="Q659" s="2436"/>
      <c r="R659" s="2436"/>
      <c r="S659" s="2436"/>
      <c r="T659" s="2436"/>
      <c r="U659" s="2436"/>
      <c r="V659" s="2436"/>
      <c r="W659" s="2436"/>
      <c r="X659" s="2436"/>
      <c r="Y659" s="2436"/>
      <c r="Z659" s="2436"/>
      <c r="AA659" s="2436"/>
      <c r="AB659" s="2436"/>
      <c r="AC659" s="2436"/>
      <c r="AD659" s="537"/>
      <c r="AE659" s="537"/>
      <c r="AF659" s="537"/>
      <c r="AG659" s="537"/>
      <c r="AH659" s="537"/>
      <c r="AI659" s="537"/>
      <c r="AJ659" s="537"/>
      <c r="AK659" s="537"/>
      <c r="AL659" s="537"/>
      <c r="AN659" s="598"/>
    </row>
    <row r="660" spans="1:42" s="551" customFormat="1" ht="15" customHeight="1">
      <c r="B660" s="537"/>
      <c r="C660" s="540"/>
      <c r="D660" s="537"/>
      <c r="E660" s="947"/>
      <c r="F660" s="947"/>
      <c r="G660" s="947"/>
      <c r="H660" s="947"/>
      <c r="I660" s="947"/>
      <c r="J660" s="947"/>
      <c r="K660" s="947"/>
      <c r="L660" s="947"/>
      <c r="M660" s="947"/>
      <c r="N660" s="947"/>
      <c r="O660" s="947"/>
      <c r="P660" s="947"/>
      <c r="Q660" s="947"/>
      <c r="R660" s="947"/>
      <c r="S660" s="947"/>
      <c r="T660" s="947"/>
      <c r="U660" s="947"/>
      <c r="V660" s="947"/>
      <c r="W660" s="947"/>
      <c r="X660" s="947"/>
      <c r="Y660" s="947"/>
      <c r="Z660" s="947"/>
      <c r="AA660" s="947"/>
      <c r="AB660" s="947"/>
      <c r="AC660" s="537"/>
      <c r="AD660" s="537"/>
      <c r="AE660" s="537"/>
      <c r="AF660" s="537"/>
      <c r="AG660" s="537"/>
      <c r="AH660" s="537"/>
      <c r="AI660" s="537"/>
      <c r="AJ660" s="537"/>
      <c r="AK660" s="537"/>
      <c r="AL660" s="537"/>
      <c r="AN660" s="598"/>
    </row>
    <row r="661" spans="1:42" s="551" customFormat="1" ht="12.75" customHeight="1">
      <c r="B661" s="537"/>
      <c r="C661" s="540"/>
      <c r="D661" s="664" t="s">
        <v>509</v>
      </c>
      <c r="E661" s="2436" t="s">
        <v>1418</v>
      </c>
      <c r="F661" s="2436"/>
      <c r="G661" s="2436"/>
      <c r="H661" s="2436"/>
      <c r="I661" s="2436"/>
      <c r="J661" s="2436"/>
      <c r="K661" s="2436"/>
      <c r="L661" s="2436"/>
      <c r="M661" s="2436"/>
      <c r="N661" s="2436"/>
      <c r="O661" s="2436"/>
      <c r="P661" s="2436"/>
      <c r="Q661" s="2436"/>
      <c r="R661" s="2436"/>
      <c r="S661" s="2436"/>
      <c r="T661" s="2436"/>
      <c r="U661" s="2436"/>
      <c r="V661" s="2436"/>
      <c r="W661" s="2436"/>
      <c r="X661" s="2436"/>
      <c r="Y661" s="2436"/>
      <c r="Z661" s="2436"/>
      <c r="AA661" s="2436"/>
      <c r="AB661" s="2436"/>
      <c r="AC661" s="2436"/>
      <c r="AD661" s="537"/>
      <c r="AE661" s="537"/>
      <c r="AF661" s="2381" t="s">
        <v>1398</v>
      </c>
      <c r="AG661" s="2381"/>
      <c r="AH661" s="2381"/>
      <c r="AI661" s="2381"/>
      <c r="AJ661" s="2381"/>
      <c r="AK661" s="2381"/>
      <c r="AL661" s="2381"/>
      <c r="AN661" s="598"/>
    </row>
    <row r="662" spans="1:42" s="551" customFormat="1" ht="12.75" customHeight="1">
      <c r="B662" s="537"/>
      <c r="C662" s="540"/>
      <c r="D662" s="537"/>
      <c r="E662" s="2436"/>
      <c r="F662" s="2436"/>
      <c r="G662" s="2436"/>
      <c r="H662" s="2436"/>
      <c r="I662" s="2436"/>
      <c r="J662" s="2436"/>
      <c r="K662" s="2436"/>
      <c r="L662" s="2436"/>
      <c r="M662" s="2436"/>
      <c r="N662" s="2436"/>
      <c r="O662" s="2436"/>
      <c r="P662" s="2436"/>
      <c r="Q662" s="2436"/>
      <c r="R662" s="2436"/>
      <c r="S662" s="2436"/>
      <c r="T662" s="2436"/>
      <c r="U662" s="2436"/>
      <c r="V662" s="2436"/>
      <c r="W662" s="2436"/>
      <c r="X662" s="2436"/>
      <c r="Y662" s="2436"/>
      <c r="Z662" s="2436"/>
      <c r="AA662" s="2436"/>
      <c r="AB662" s="2436"/>
      <c r="AC662" s="2436"/>
      <c r="AD662" s="537"/>
      <c r="AE662" s="537"/>
      <c r="AF662" s="537"/>
      <c r="AG662" s="537"/>
      <c r="AH662" s="537"/>
      <c r="AI662" s="537"/>
      <c r="AJ662" s="537"/>
      <c r="AK662" s="537"/>
      <c r="AL662" s="537"/>
      <c r="AN662" s="598"/>
    </row>
    <row r="663" spans="1:42" s="551" customFormat="1" ht="15" customHeight="1">
      <c r="B663" s="537"/>
      <c r="C663" s="540"/>
      <c r="D663" s="664"/>
      <c r="E663" s="2436"/>
      <c r="F663" s="2436"/>
      <c r="G663" s="2436"/>
      <c r="H663" s="2436"/>
      <c r="I663" s="2436"/>
      <c r="J663" s="2436"/>
      <c r="K663" s="2436"/>
      <c r="L663" s="2436"/>
      <c r="M663" s="2436"/>
      <c r="N663" s="2436"/>
      <c r="O663" s="2436"/>
      <c r="P663" s="2436"/>
      <c r="Q663" s="2436"/>
      <c r="R663" s="2436"/>
      <c r="S663" s="2436"/>
      <c r="T663" s="2436"/>
      <c r="U663" s="2436"/>
      <c r="V663" s="2436"/>
      <c r="W663" s="2436"/>
      <c r="X663" s="2436"/>
      <c r="Y663" s="2436"/>
      <c r="Z663" s="2436"/>
      <c r="AA663" s="2436"/>
      <c r="AB663" s="2436"/>
      <c r="AC663" s="2436"/>
      <c r="AD663" s="537"/>
      <c r="AE663" s="537"/>
      <c r="AF663" s="537"/>
      <c r="AG663" s="537"/>
      <c r="AH663" s="537"/>
      <c r="AI663" s="537"/>
      <c r="AJ663" s="537"/>
      <c r="AK663" s="537"/>
      <c r="AL663" s="537"/>
      <c r="AN663" s="598"/>
    </row>
    <row r="664" spans="1:42" s="551" customFormat="1" ht="12.75" customHeight="1">
      <c r="B664" s="537"/>
      <c r="C664" s="540"/>
      <c r="D664" s="537"/>
      <c r="E664" s="947"/>
      <c r="F664" s="947"/>
      <c r="G664" s="947"/>
      <c r="H664" s="947"/>
      <c r="I664" s="947"/>
      <c r="J664" s="947"/>
      <c r="K664" s="947"/>
      <c r="L664" s="947"/>
      <c r="M664" s="947"/>
      <c r="N664" s="947"/>
      <c r="O664" s="947"/>
      <c r="P664" s="947"/>
      <c r="Q664" s="947"/>
      <c r="R664" s="947"/>
      <c r="S664" s="947"/>
      <c r="T664" s="947"/>
      <c r="U664" s="947"/>
      <c r="V664" s="947"/>
      <c r="W664" s="947"/>
      <c r="X664" s="947"/>
      <c r="Y664" s="947"/>
      <c r="Z664" s="947"/>
      <c r="AA664" s="947"/>
      <c r="AB664" s="947"/>
      <c r="AC664" s="537"/>
      <c r="AD664" s="537"/>
      <c r="AE664" s="537"/>
      <c r="AF664" s="537"/>
      <c r="AG664" s="537"/>
      <c r="AH664" s="537"/>
      <c r="AI664" s="537"/>
      <c r="AJ664" s="537"/>
      <c r="AK664" s="537"/>
      <c r="AL664" s="537"/>
      <c r="AN664" s="598"/>
    </row>
    <row r="665" spans="1:42" s="551" customFormat="1" ht="12.75" customHeight="1">
      <c r="B665" s="537"/>
      <c r="C665" s="540"/>
      <c r="D665" s="664" t="s">
        <v>277</v>
      </c>
      <c r="E665" s="2436" t="s">
        <v>1419</v>
      </c>
      <c r="F665" s="2436"/>
      <c r="G665" s="2436"/>
      <c r="H665" s="2436"/>
      <c r="I665" s="2436"/>
      <c r="J665" s="2436"/>
      <c r="K665" s="2436"/>
      <c r="L665" s="2436"/>
      <c r="M665" s="2436"/>
      <c r="N665" s="2436"/>
      <c r="O665" s="2436"/>
      <c r="P665" s="2436"/>
      <c r="Q665" s="2436"/>
      <c r="R665" s="2436"/>
      <c r="S665" s="2436"/>
      <c r="T665" s="2436"/>
      <c r="U665" s="2436"/>
      <c r="V665" s="2436"/>
      <c r="W665" s="2436"/>
      <c r="X665" s="2436"/>
      <c r="Y665" s="2436"/>
      <c r="Z665" s="2436"/>
      <c r="AA665" s="2436"/>
      <c r="AB665" s="2436"/>
      <c r="AC665" s="2436"/>
      <c r="AD665" s="537"/>
      <c r="AE665" s="537"/>
      <c r="AF665" s="2381" t="s">
        <v>1351</v>
      </c>
      <c r="AG665" s="2381"/>
      <c r="AH665" s="2381"/>
      <c r="AI665" s="2381"/>
      <c r="AJ665" s="2381"/>
      <c r="AK665" s="2381"/>
      <c r="AL665" s="2381"/>
      <c r="AN665" s="598"/>
    </row>
    <row r="666" spans="1:42" s="551" customFormat="1" ht="12.75" customHeight="1">
      <c r="B666" s="537"/>
      <c r="C666" s="932"/>
      <c r="D666" s="537"/>
      <c r="E666" s="2436"/>
      <c r="F666" s="2436"/>
      <c r="G666" s="2436"/>
      <c r="H666" s="2436"/>
      <c r="I666" s="2436"/>
      <c r="J666" s="2436"/>
      <c r="K666" s="2436"/>
      <c r="L666" s="2436"/>
      <c r="M666" s="2436"/>
      <c r="N666" s="2436"/>
      <c r="O666" s="2436"/>
      <c r="P666" s="2436"/>
      <c r="Q666" s="2436"/>
      <c r="R666" s="2436"/>
      <c r="S666" s="2436"/>
      <c r="T666" s="2436"/>
      <c r="U666" s="2436"/>
      <c r="V666" s="2436"/>
      <c r="W666" s="2436"/>
      <c r="X666" s="2436"/>
      <c r="Y666" s="2436"/>
      <c r="Z666" s="2436"/>
      <c r="AA666" s="2436"/>
      <c r="AB666" s="2436"/>
      <c r="AC666" s="2436"/>
      <c r="AD666" s="537"/>
      <c r="AE666" s="2381"/>
      <c r="AF666" s="2381"/>
      <c r="AG666" s="2381"/>
      <c r="AH666" s="2381"/>
      <c r="AI666" s="2381"/>
      <c r="AJ666" s="2381"/>
      <c r="AK666" s="2381"/>
      <c r="AL666" s="595"/>
      <c r="AN666" s="598"/>
      <c r="AO666" s="551" t="s">
        <v>591</v>
      </c>
      <c r="AP666" s="674">
        <v>0</v>
      </c>
    </row>
    <row r="667" spans="1:42" s="551" customFormat="1" ht="12.75" customHeight="1">
      <c r="A667" s="680"/>
      <c r="B667" s="537"/>
      <c r="C667" s="537"/>
      <c r="D667" s="664"/>
      <c r="E667" s="2436"/>
      <c r="F667" s="2436"/>
      <c r="G667" s="2436"/>
      <c r="H667" s="2436"/>
      <c r="I667" s="2436"/>
      <c r="J667" s="2436"/>
      <c r="K667" s="2436"/>
      <c r="L667" s="2436"/>
      <c r="M667" s="2436"/>
      <c r="N667" s="2436"/>
      <c r="O667" s="2436"/>
      <c r="P667" s="2436"/>
      <c r="Q667" s="2436"/>
      <c r="R667" s="2436"/>
      <c r="S667" s="2436"/>
      <c r="T667" s="2436"/>
      <c r="U667" s="2436"/>
      <c r="V667" s="2436"/>
      <c r="W667" s="2436"/>
      <c r="X667" s="2436"/>
      <c r="Y667" s="2436"/>
      <c r="Z667" s="2436"/>
      <c r="AA667" s="2436"/>
      <c r="AB667" s="2436"/>
      <c r="AC667" s="2436"/>
      <c r="AD667" s="537"/>
      <c r="AE667" s="537"/>
      <c r="AF667" s="537"/>
      <c r="AG667" s="537"/>
      <c r="AH667" s="537"/>
      <c r="AI667" s="537"/>
      <c r="AJ667" s="537"/>
      <c r="AK667" s="537"/>
      <c r="AL667" s="537"/>
      <c r="AN667" s="598"/>
      <c r="AO667" s="612" t="s">
        <v>687</v>
      </c>
      <c r="AP667" s="551">
        <v>3</v>
      </c>
    </row>
    <row r="668" spans="1:42" s="551" customFormat="1" ht="12.75" customHeight="1">
      <c r="B668" s="537"/>
      <c r="C668" s="932"/>
      <c r="D668" s="664"/>
      <c r="E668" s="576"/>
      <c r="F668" s="576"/>
      <c r="G668" s="576"/>
      <c r="H668" s="576"/>
      <c r="I668" s="576"/>
      <c r="J668" s="576"/>
      <c r="K668" s="576"/>
      <c r="L668" s="576"/>
      <c r="M668" s="576"/>
      <c r="N668" s="576"/>
      <c r="O668" s="576"/>
      <c r="P668" s="576"/>
      <c r="Q668" s="576"/>
      <c r="R668" s="576"/>
      <c r="S668" s="576"/>
      <c r="T668" s="576"/>
      <c r="U668" s="576"/>
      <c r="V668" s="576"/>
      <c r="W668" s="576"/>
      <c r="X668" s="576"/>
      <c r="Y668" s="576"/>
      <c r="Z668" s="576"/>
      <c r="AA668" s="576"/>
      <c r="AB668" s="576"/>
      <c r="AC668" s="537"/>
      <c r="AD668" s="537"/>
      <c r="AE668" s="537"/>
      <c r="AF668" s="537"/>
      <c r="AG668" s="537"/>
      <c r="AH668" s="537"/>
      <c r="AI668" s="537"/>
      <c r="AJ668" s="537"/>
      <c r="AK668" s="537"/>
      <c r="AL668" s="537"/>
      <c r="AN668" s="598"/>
      <c r="AO668" s="612" t="s">
        <v>509</v>
      </c>
      <c r="AP668" s="551">
        <v>2</v>
      </c>
    </row>
    <row r="669" spans="1:42" s="551" customFormat="1" ht="12.75" customHeight="1">
      <c r="A669" s="671"/>
      <c r="B669" s="537"/>
      <c r="C669" s="948"/>
      <c r="D669" s="664" t="s">
        <v>1396</v>
      </c>
      <c r="E669" s="2436" t="s">
        <v>1420</v>
      </c>
      <c r="F669" s="2436"/>
      <c r="G669" s="2436"/>
      <c r="H669" s="2436"/>
      <c r="I669" s="2436"/>
      <c r="J669" s="2436"/>
      <c r="K669" s="2436"/>
      <c r="L669" s="2436"/>
      <c r="M669" s="2436"/>
      <c r="N669" s="2436"/>
      <c r="O669" s="2436"/>
      <c r="P669" s="2436"/>
      <c r="Q669" s="2436"/>
      <c r="R669" s="2436"/>
      <c r="S669" s="2436"/>
      <c r="T669" s="2436"/>
      <c r="U669" s="2436"/>
      <c r="V669" s="2436"/>
      <c r="W669" s="2436"/>
      <c r="X669" s="2436"/>
      <c r="Y669" s="2436"/>
      <c r="Z669" s="2436"/>
      <c r="AA669" s="2436"/>
      <c r="AB669" s="2436"/>
      <c r="AC669" s="2436"/>
      <c r="AD669" s="537"/>
      <c r="AE669" s="537"/>
      <c r="AF669" s="2381" t="s">
        <v>1398</v>
      </c>
      <c r="AG669" s="2381"/>
      <c r="AH669" s="2381"/>
      <c r="AI669" s="2381"/>
      <c r="AJ669" s="2381"/>
      <c r="AK669" s="2381"/>
      <c r="AL669" s="2381"/>
      <c r="AN669" s="598"/>
    </row>
    <row r="670" spans="1:42" s="551" customFormat="1" ht="12.75" customHeight="1">
      <c r="A670" s="671"/>
      <c r="B670" s="537"/>
      <c r="C670" s="948"/>
      <c r="D670" s="664"/>
      <c r="E670" s="2436"/>
      <c r="F670" s="2436"/>
      <c r="G670" s="2436"/>
      <c r="H670" s="2436"/>
      <c r="I670" s="2436"/>
      <c r="J670" s="2436"/>
      <c r="K670" s="2436"/>
      <c r="L670" s="2436"/>
      <c r="M670" s="2436"/>
      <c r="N670" s="2436"/>
      <c r="O670" s="2436"/>
      <c r="P670" s="2436"/>
      <c r="Q670" s="2436"/>
      <c r="R670" s="2436"/>
      <c r="S670" s="2436"/>
      <c r="T670" s="2436"/>
      <c r="U670" s="2436"/>
      <c r="V670" s="2436"/>
      <c r="W670" s="2436"/>
      <c r="X670" s="2436"/>
      <c r="Y670" s="2436"/>
      <c r="Z670" s="2436"/>
      <c r="AA670" s="2436"/>
      <c r="AB670" s="2436"/>
      <c r="AC670" s="2436"/>
      <c r="AD670" s="537"/>
      <c r="AE670" s="595"/>
      <c r="AF670" s="595"/>
      <c r="AG670" s="595"/>
      <c r="AH670" s="595"/>
      <c r="AI670" s="595"/>
      <c r="AJ670" s="595"/>
      <c r="AK670" s="595"/>
      <c r="AL670" s="595"/>
      <c r="AM670" s="597"/>
      <c r="AN670" s="598"/>
    </row>
    <row r="671" spans="1:42" s="551" customFormat="1" ht="12.75" customHeight="1">
      <c r="A671" s="671"/>
      <c r="B671" s="537"/>
      <c r="C671" s="948"/>
      <c r="D671" s="664"/>
      <c r="E671" s="2436"/>
      <c r="F671" s="2436"/>
      <c r="G671" s="2436"/>
      <c r="H671" s="2436"/>
      <c r="I671" s="2436"/>
      <c r="J671" s="2436"/>
      <c r="K671" s="2436"/>
      <c r="L671" s="2436"/>
      <c r="M671" s="2436"/>
      <c r="N671" s="2436"/>
      <c r="O671" s="2436"/>
      <c r="P671" s="2436"/>
      <c r="Q671" s="2436"/>
      <c r="R671" s="2436"/>
      <c r="S671" s="2436"/>
      <c r="T671" s="2436"/>
      <c r="U671" s="2436"/>
      <c r="V671" s="2436"/>
      <c r="W671" s="2436"/>
      <c r="X671" s="2436"/>
      <c r="Y671" s="2436"/>
      <c r="Z671" s="2436"/>
      <c r="AA671" s="2436"/>
      <c r="AB671" s="2436"/>
      <c r="AC671" s="2436"/>
      <c r="AD671" s="537"/>
      <c r="AE671" s="595"/>
      <c r="AF671" s="595"/>
      <c r="AG671" s="595"/>
      <c r="AH671" s="595"/>
      <c r="AI671" s="595"/>
      <c r="AJ671" s="595"/>
      <c r="AK671" s="595"/>
      <c r="AL671" s="595"/>
      <c r="AM671" s="597"/>
      <c r="AN671" s="598"/>
    </row>
    <row r="672" spans="1:42" s="551" customFormat="1" ht="12.75" customHeight="1">
      <c r="B672" s="537"/>
      <c r="C672" s="932"/>
      <c r="D672" s="664"/>
      <c r="E672" s="643"/>
      <c r="F672" s="643"/>
      <c r="G672" s="643"/>
      <c r="H672" s="643"/>
      <c r="I672" s="643"/>
      <c r="J672" s="643"/>
      <c r="K672" s="643"/>
      <c r="L672" s="643"/>
      <c r="M672" s="643"/>
      <c r="N672" s="643"/>
      <c r="O672" s="643"/>
      <c r="P672" s="643"/>
      <c r="Q672" s="643"/>
      <c r="R672" s="643"/>
      <c r="S672" s="643"/>
      <c r="T672" s="643"/>
      <c r="U672" s="643"/>
      <c r="V672" s="643"/>
      <c r="W672" s="643"/>
      <c r="X672" s="643"/>
      <c r="Y672" s="643"/>
      <c r="Z672" s="643"/>
      <c r="AA672" s="643"/>
      <c r="AB672" s="643"/>
      <c r="AC672" s="540"/>
      <c r="AD672" s="540"/>
      <c r="AE672" s="537"/>
      <c r="AF672" s="537"/>
      <c r="AG672" s="537"/>
      <c r="AH672" s="537"/>
      <c r="AI672" s="537"/>
      <c r="AJ672" s="537"/>
      <c r="AK672" s="537"/>
      <c r="AL672" s="595"/>
      <c r="AM672" s="597"/>
      <c r="AN672" s="598"/>
    </row>
    <row r="673" spans="1:42" s="551" customFormat="1" ht="12.75" customHeight="1">
      <c r="B673" s="537"/>
      <c r="C673" s="932"/>
      <c r="D673" s="664" t="s">
        <v>1397</v>
      </c>
      <c r="E673" s="2436" t="s">
        <v>1421</v>
      </c>
      <c r="F673" s="2436"/>
      <c r="G673" s="2436"/>
      <c r="H673" s="2436"/>
      <c r="I673" s="2436"/>
      <c r="J673" s="2436"/>
      <c r="K673" s="2436"/>
      <c r="L673" s="2436"/>
      <c r="M673" s="2436"/>
      <c r="N673" s="2436"/>
      <c r="O673" s="2436"/>
      <c r="P673" s="2436"/>
      <c r="Q673" s="2436"/>
      <c r="R673" s="2436"/>
      <c r="S673" s="2436"/>
      <c r="T673" s="2436"/>
      <c r="U673" s="2436"/>
      <c r="V673" s="2436"/>
      <c r="W673" s="2436"/>
      <c r="X673" s="2436"/>
      <c r="Y673" s="2436"/>
      <c r="Z673" s="2436"/>
      <c r="AA673" s="2436"/>
      <c r="AB673" s="2436"/>
      <c r="AC673" s="2436"/>
      <c r="AD673" s="537"/>
      <c r="AE673" s="537"/>
      <c r="AF673" s="2381" t="s">
        <v>1351</v>
      </c>
      <c r="AG673" s="2381"/>
      <c r="AH673" s="2381"/>
      <c r="AI673" s="2381"/>
      <c r="AJ673" s="2381"/>
      <c r="AK673" s="2381"/>
      <c r="AL673" s="2381"/>
      <c r="AM673" s="597"/>
      <c r="AN673" s="598"/>
    </row>
    <row r="674" spans="1:42" s="551" customFormat="1" ht="12.75" customHeight="1">
      <c r="B674" s="537"/>
      <c r="C674" s="932"/>
      <c r="D674" s="664"/>
      <c r="E674" s="2436"/>
      <c r="F674" s="2436"/>
      <c r="G674" s="2436"/>
      <c r="H674" s="2436"/>
      <c r="I674" s="2436"/>
      <c r="J674" s="2436"/>
      <c r="K674" s="2436"/>
      <c r="L674" s="2436"/>
      <c r="M674" s="2436"/>
      <c r="N674" s="2436"/>
      <c r="O674" s="2436"/>
      <c r="P674" s="2436"/>
      <c r="Q674" s="2436"/>
      <c r="R674" s="2436"/>
      <c r="S674" s="2436"/>
      <c r="T674" s="2436"/>
      <c r="U674" s="2436"/>
      <c r="V674" s="2436"/>
      <c r="W674" s="2436"/>
      <c r="X674" s="2436"/>
      <c r="Y674" s="2436"/>
      <c r="Z674" s="2436"/>
      <c r="AA674" s="2436"/>
      <c r="AB674" s="2436"/>
      <c r="AC674" s="2436"/>
      <c r="AD674" s="537"/>
      <c r="AE674" s="537"/>
      <c r="AF674" s="537"/>
      <c r="AG674" s="537"/>
      <c r="AH674" s="537"/>
      <c r="AI674" s="537"/>
      <c r="AJ674" s="537"/>
      <c r="AK674" s="537"/>
      <c r="AL674" s="537"/>
      <c r="AM674" s="597"/>
      <c r="AN674" s="598"/>
    </row>
    <row r="675" spans="1:42" s="551" customFormat="1" ht="12.75" customHeight="1">
      <c r="B675" s="537"/>
      <c r="C675" s="932"/>
      <c r="D675" s="664"/>
      <c r="E675" s="2436"/>
      <c r="F675" s="2436"/>
      <c r="G675" s="2436"/>
      <c r="H675" s="2436"/>
      <c r="I675" s="2436"/>
      <c r="J675" s="2436"/>
      <c r="K675" s="2436"/>
      <c r="L675" s="2436"/>
      <c r="M675" s="2436"/>
      <c r="N675" s="2436"/>
      <c r="O675" s="2436"/>
      <c r="P675" s="2436"/>
      <c r="Q675" s="2436"/>
      <c r="R675" s="2436"/>
      <c r="S675" s="2436"/>
      <c r="T675" s="2436"/>
      <c r="U675" s="2436"/>
      <c r="V675" s="2436"/>
      <c r="W675" s="2436"/>
      <c r="X675" s="2436"/>
      <c r="Y675" s="2436"/>
      <c r="Z675" s="2436"/>
      <c r="AA675" s="2436"/>
      <c r="AB675" s="2436"/>
      <c r="AC675" s="2436"/>
      <c r="AD675" s="537"/>
      <c r="AE675" s="537"/>
      <c r="AF675" s="537"/>
      <c r="AG675" s="537"/>
      <c r="AH675" s="537"/>
      <c r="AI675" s="537"/>
      <c r="AJ675" s="537"/>
      <c r="AK675" s="537"/>
      <c r="AL675" s="537"/>
      <c r="AM675" s="597"/>
      <c r="AN675" s="598"/>
    </row>
    <row r="676" spans="1:42" s="551" customFormat="1" ht="12.75" customHeight="1">
      <c r="B676" s="537"/>
      <c r="C676" s="932"/>
      <c r="D676" s="664"/>
      <c r="E676" s="537"/>
      <c r="F676" s="537"/>
      <c r="G676" s="537"/>
      <c r="H676" s="537"/>
      <c r="I676" s="537"/>
      <c r="J676" s="537"/>
      <c r="K676" s="537"/>
      <c r="L676" s="537"/>
      <c r="M676" s="537"/>
      <c r="N676" s="537"/>
      <c r="O676" s="537"/>
      <c r="P676" s="537"/>
      <c r="Q676" s="537"/>
      <c r="R676" s="537"/>
      <c r="S676" s="537"/>
      <c r="T676" s="537"/>
      <c r="U676" s="537"/>
      <c r="V676" s="537"/>
      <c r="W676" s="537"/>
      <c r="X676" s="537"/>
      <c r="Y676" s="537"/>
      <c r="Z676" s="537"/>
      <c r="AA676" s="537"/>
      <c r="AB676" s="537"/>
      <c r="AC676" s="537"/>
      <c r="AD676" s="537"/>
      <c r="AE676" s="537"/>
      <c r="AF676" s="537"/>
      <c r="AG676" s="537"/>
      <c r="AH676" s="537"/>
      <c r="AI676" s="537"/>
      <c r="AJ676" s="537"/>
      <c r="AK676" s="537"/>
      <c r="AL676" s="537"/>
      <c r="AM676" s="597"/>
      <c r="AN676" s="598"/>
    </row>
    <row r="677" spans="1:42" s="551" customFormat="1" ht="12.75" customHeight="1">
      <c r="A677" s="680"/>
      <c r="B677" s="537"/>
      <c r="C677" s="932"/>
      <c r="D677" s="664" t="s">
        <v>1408</v>
      </c>
      <c r="E677" s="2436" t="s">
        <v>1422</v>
      </c>
      <c r="F677" s="2436"/>
      <c r="G677" s="2436"/>
      <c r="H677" s="2436"/>
      <c r="I677" s="2436"/>
      <c r="J677" s="2436"/>
      <c r="K677" s="2436"/>
      <c r="L677" s="2436"/>
      <c r="M677" s="2436"/>
      <c r="N677" s="2436"/>
      <c r="O677" s="2436"/>
      <c r="P677" s="2436"/>
      <c r="Q677" s="2436"/>
      <c r="R677" s="2436"/>
      <c r="S677" s="2436"/>
      <c r="T677" s="2436"/>
      <c r="U677" s="2436"/>
      <c r="V677" s="2436"/>
      <c r="W677" s="2436"/>
      <c r="X677" s="2436"/>
      <c r="Y677" s="2436"/>
      <c r="Z677" s="2436"/>
      <c r="AA677" s="2436"/>
      <c r="AB677" s="2436"/>
      <c r="AC677" s="2436"/>
      <c r="AD677" s="537"/>
      <c r="AE677" s="537"/>
      <c r="AF677" s="2381" t="s">
        <v>1407</v>
      </c>
      <c r="AG677" s="2381"/>
      <c r="AH677" s="2381"/>
      <c r="AI677" s="2381"/>
      <c r="AJ677" s="2381"/>
      <c r="AK677" s="2381"/>
      <c r="AL677" s="2381"/>
      <c r="AM677" s="597"/>
      <c r="AN677" s="598"/>
    </row>
    <row r="678" spans="1:42" s="551" customFormat="1" ht="12.75" customHeight="1">
      <c r="A678" s="680"/>
      <c r="B678" s="537"/>
      <c r="C678" s="932"/>
      <c r="D678" s="664"/>
      <c r="E678" s="2436"/>
      <c r="F678" s="2436"/>
      <c r="G678" s="2436"/>
      <c r="H678" s="2436"/>
      <c r="I678" s="2436"/>
      <c r="J678" s="2436"/>
      <c r="K678" s="2436"/>
      <c r="L678" s="2436"/>
      <c r="M678" s="2436"/>
      <c r="N678" s="2436"/>
      <c r="O678" s="2436"/>
      <c r="P678" s="2436"/>
      <c r="Q678" s="2436"/>
      <c r="R678" s="2436"/>
      <c r="S678" s="2436"/>
      <c r="T678" s="2436"/>
      <c r="U678" s="2436"/>
      <c r="V678" s="2436"/>
      <c r="W678" s="2436"/>
      <c r="X678" s="2436"/>
      <c r="Y678" s="2436"/>
      <c r="Z678" s="2436"/>
      <c r="AA678" s="2436"/>
      <c r="AB678" s="2436"/>
      <c r="AC678" s="2436"/>
      <c r="AD678" s="537"/>
      <c r="AE678" s="537"/>
      <c r="AF678" s="595"/>
      <c r="AG678" s="595"/>
      <c r="AH678" s="595"/>
      <c r="AI678" s="595"/>
      <c r="AJ678" s="595"/>
      <c r="AK678" s="595"/>
      <c r="AL678" s="595"/>
      <c r="AM678" s="597"/>
      <c r="AN678" s="598"/>
    </row>
    <row r="679" spans="1:42" s="551" customFormat="1" ht="12.75" customHeight="1">
      <c r="A679" s="680"/>
      <c r="B679" s="537"/>
      <c r="C679" s="932"/>
      <c r="D679" s="664"/>
      <c r="E679" s="2436"/>
      <c r="F679" s="2436"/>
      <c r="G679" s="2436"/>
      <c r="H679" s="2436"/>
      <c r="I679" s="2436"/>
      <c r="J679" s="2436"/>
      <c r="K679" s="2436"/>
      <c r="L679" s="2436"/>
      <c r="M679" s="2436"/>
      <c r="N679" s="2436"/>
      <c r="O679" s="2436"/>
      <c r="P679" s="2436"/>
      <c r="Q679" s="2436"/>
      <c r="R679" s="2436"/>
      <c r="S679" s="2436"/>
      <c r="T679" s="2436"/>
      <c r="U679" s="2436"/>
      <c r="V679" s="2436"/>
      <c r="W679" s="2436"/>
      <c r="X679" s="2436"/>
      <c r="Y679" s="2436"/>
      <c r="Z679" s="2436"/>
      <c r="AA679" s="2436"/>
      <c r="AB679" s="2436"/>
      <c r="AC679" s="2436"/>
      <c r="AD679" s="537"/>
      <c r="AE679" s="595"/>
      <c r="AF679" s="595"/>
      <c r="AG679" s="595"/>
      <c r="AH679" s="595"/>
      <c r="AI679" s="595"/>
      <c r="AJ679" s="595"/>
      <c r="AK679" s="595"/>
      <c r="AL679" s="595"/>
      <c r="AM679" s="597"/>
      <c r="AN679" s="598"/>
    </row>
    <row r="680" spans="1:42" s="551" customFormat="1" ht="12.75" customHeight="1">
      <c r="A680" s="680"/>
      <c r="B680" s="537"/>
      <c r="C680" s="932"/>
      <c r="D680" s="664"/>
      <c r="E680" s="643"/>
      <c r="F680" s="643"/>
      <c r="G680" s="643"/>
      <c r="H680" s="643"/>
      <c r="I680" s="643"/>
      <c r="J680" s="643"/>
      <c r="K680" s="643"/>
      <c r="L680" s="643"/>
      <c r="M680" s="643"/>
      <c r="N680" s="643"/>
      <c r="O680" s="643"/>
      <c r="P680" s="643"/>
      <c r="Q680" s="643"/>
      <c r="R680" s="643"/>
      <c r="S680" s="643"/>
      <c r="T680" s="643"/>
      <c r="U680" s="643"/>
      <c r="V680" s="643"/>
      <c r="W680" s="643"/>
      <c r="X680" s="643"/>
      <c r="Y680" s="643"/>
      <c r="Z680" s="643"/>
      <c r="AA680" s="643"/>
      <c r="AB680" s="643"/>
      <c r="AC680" s="643"/>
      <c r="AD680" s="537"/>
      <c r="AE680" s="595"/>
      <c r="AF680" s="537"/>
      <c r="AG680" s="537"/>
      <c r="AH680" s="537"/>
      <c r="AI680" s="537"/>
      <c r="AJ680" s="537"/>
      <c r="AK680" s="537"/>
      <c r="AL680" s="537"/>
      <c r="AM680" s="597"/>
      <c r="AN680" s="598"/>
      <c r="AO680" s="551" t="s">
        <v>591</v>
      </c>
      <c r="AP680" s="638">
        <v>0</v>
      </c>
    </row>
    <row r="681" spans="1:42" s="551" customFormat="1" ht="12.75" customHeight="1">
      <c r="A681" s="680"/>
      <c r="B681" s="537"/>
      <c r="C681" s="932"/>
      <c r="D681" s="664" t="s">
        <v>1410</v>
      </c>
      <c r="E681" s="2436" t="s">
        <v>1423</v>
      </c>
      <c r="F681" s="2436"/>
      <c r="G681" s="2436"/>
      <c r="H681" s="2436"/>
      <c r="I681" s="2436"/>
      <c r="J681" s="2436"/>
      <c r="K681" s="2436"/>
      <c r="L681" s="2436"/>
      <c r="M681" s="2436"/>
      <c r="N681" s="2436"/>
      <c r="O681" s="2436"/>
      <c r="P681" s="2436"/>
      <c r="Q681" s="2436"/>
      <c r="R681" s="2436"/>
      <c r="S681" s="2436"/>
      <c r="T681" s="2436"/>
      <c r="U681" s="2436"/>
      <c r="V681" s="2436"/>
      <c r="W681" s="2436"/>
      <c r="X681" s="2436"/>
      <c r="Y681" s="2436"/>
      <c r="Z681" s="2436"/>
      <c r="AA681" s="2436"/>
      <c r="AB681" s="2436"/>
      <c r="AC681" s="2436"/>
      <c r="AD681" s="537"/>
      <c r="AE681" s="537"/>
      <c r="AF681" s="2381" t="s">
        <v>1424</v>
      </c>
      <c r="AG681" s="2381"/>
      <c r="AH681" s="2381"/>
      <c r="AI681" s="2381"/>
      <c r="AJ681" s="2381"/>
      <c r="AK681" s="2381"/>
      <c r="AL681" s="2381"/>
      <c r="AM681" s="597"/>
      <c r="AN681" s="598"/>
      <c r="AO681" s="612" t="s">
        <v>687</v>
      </c>
      <c r="AP681" s="551">
        <v>3</v>
      </c>
    </row>
    <row r="682" spans="1:42" s="551" customFormat="1" ht="12.75" customHeight="1">
      <c r="A682" s="680"/>
      <c r="B682" s="537"/>
      <c r="C682" s="932"/>
      <c r="D682" s="664"/>
      <c r="E682" s="2436"/>
      <c r="F682" s="2436"/>
      <c r="G682" s="2436"/>
      <c r="H682" s="2436"/>
      <c r="I682" s="2436"/>
      <c r="J682" s="2436"/>
      <c r="K682" s="2436"/>
      <c r="L682" s="2436"/>
      <c r="M682" s="2436"/>
      <c r="N682" s="2436"/>
      <c r="O682" s="2436"/>
      <c r="P682" s="2436"/>
      <c r="Q682" s="2436"/>
      <c r="R682" s="2436"/>
      <c r="S682" s="2436"/>
      <c r="T682" s="2436"/>
      <c r="U682" s="2436"/>
      <c r="V682" s="2436"/>
      <c r="W682" s="2436"/>
      <c r="X682" s="2436"/>
      <c r="Y682" s="2436"/>
      <c r="Z682" s="2436"/>
      <c r="AA682" s="2436"/>
      <c r="AB682" s="2436"/>
      <c r="AC682" s="2436"/>
      <c r="AD682" s="537"/>
      <c r="AE682" s="537"/>
      <c r="AF682" s="595"/>
      <c r="AG682" s="595"/>
      <c r="AH682" s="595"/>
      <c r="AI682" s="595"/>
      <c r="AJ682" s="595"/>
      <c r="AK682" s="595"/>
      <c r="AL682" s="595"/>
      <c r="AM682" s="597"/>
      <c r="AN682" s="598"/>
      <c r="AO682" s="612" t="s">
        <v>509</v>
      </c>
      <c r="AP682" s="551">
        <v>2</v>
      </c>
    </row>
    <row r="683" spans="1:42" s="551" customFormat="1" ht="12.75" customHeight="1">
      <c r="A683" s="680"/>
      <c r="B683" s="537"/>
      <c r="C683" s="932"/>
      <c r="D683" s="664"/>
      <c r="E683" s="2436"/>
      <c r="F683" s="2436"/>
      <c r="G683" s="2436"/>
      <c r="H683" s="2436"/>
      <c r="I683" s="2436"/>
      <c r="J683" s="2436"/>
      <c r="K683" s="2436"/>
      <c r="L683" s="2436"/>
      <c r="M683" s="2436"/>
      <c r="N683" s="2436"/>
      <c r="O683" s="2436"/>
      <c r="P683" s="2436"/>
      <c r="Q683" s="2436"/>
      <c r="R683" s="2436"/>
      <c r="S683" s="2436"/>
      <c r="T683" s="2436"/>
      <c r="U683" s="2436"/>
      <c r="V683" s="2436"/>
      <c r="W683" s="2436"/>
      <c r="X683" s="2436"/>
      <c r="Y683" s="2436"/>
      <c r="Z683" s="2436"/>
      <c r="AA683" s="2436"/>
      <c r="AB683" s="2436"/>
      <c r="AC683" s="2436"/>
      <c r="AD683" s="537"/>
      <c r="AE683" s="595"/>
      <c r="AF683" s="595"/>
      <c r="AG683" s="595"/>
      <c r="AH683" s="595"/>
      <c r="AI683" s="595"/>
      <c r="AJ683" s="595"/>
      <c r="AK683" s="595"/>
      <c r="AL683" s="595"/>
      <c r="AM683" s="597"/>
      <c r="AN683" s="598"/>
    </row>
    <row r="684" spans="1:42" s="551" customFormat="1" ht="12.75" customHeight="1">
      <c r="A684" s="671"/>
      <c r="B684" s="537"/>
      <c r="C684" s="948"/>
      <c r="D684" s="664"/>
      <c r="E684" s="644"/>
      <c r="F684" s="644"/>
      <c r="G684" s="644"/>
      <c r="H684" s="644"/>
      <c r="I684" s="644"/>
      <c r="J684" s="644"/>
      <c r="K684" s="644"/>
      <c r="L684" s="644"/>
      <c r="M684" s="644"/>
      <c r="N684" s="644"/>
      <c r="O684" s="644"/>
      <c r="P684" s="644"/>
      <c r="Q684" s="644"/>
      <c r="R684" s="644"/>
      <c r="S684" s="644"/>
      <c r="T684" s="644"/>
      <c r="U684" s="644"/>
      <c r="V684" s="644"/>
      <c r="W684" s="644"/>
      <c r="X684" s="644"/>
      <c r="Y684" s="644"/>
      <c r="Z684" s="644"/>
      <c r="AA684" s="644"/>
      <c r="AB684" s="644"/>
      <c r="AC684" s="644"/>
      <c r="AD684" s="537"/>
      <c r="AE684" s="595"/>
      <c r="AF684" s="595"/>
      <c r="AG684" s="595"/>
      <c r="AH684" s="595"/>
      <c r="AI684" s="595"/>
      <c r="AJ684" s="595"/>
      <c r="AK684" s="595"/>
      <c r="AL684" s="595"/>
      <c r="AM684" s="597"/>
      <c r="AN684" s="598"/>
    </row>
    <row r="685" spans="1:42" s="551" customFormat="1" ht="12.75" customHeight="1">
      <c r="A685" s="680"/>
      <c r="B685" s="537"/>
      <c r="C685" s="932"/>
      <c r="D685" s="537" t="s">
        <v>1399</v>
      </c>
      <c r="E685" s="937"/>
      <c r="F685" s="937"/>
      <c r="G685" s="937"/>
      <c r="H685" s="2465" t="s">
        <v>687</v>
      </c>
      <c r="I685" s="2465"/>
      <c r="J685" s="617"/>
      <c r="K685" s="617"/>
      <c r="L685" s="537"/>
      <c r="M685" s="537"/>
      <c r="N685" s="537"/>
      <c r="O685" s="537"/>
      <c r="P685" s="537"/>
      <c r="Q685" s="537"/>
      <c r="R685" s="537"/>
      <c r="S685" s="537"/>
      <c r="T685" s="537"/>
      <c r="U685" s="537"/>
      <c r="V685" s="537"/>
      <c r="W685" s="537"/>
      <c r="X685" s="537"/>
      <c r="Y685" s="537"/>
      <c r="Z685" s="537"/>
      <c r="AA685" s="537"/>
      <c r="AB685" s="537"/>
      <c r="AC685" s="537"/>
      <c r="AD685" s="537"/>
      <c r="AE685" s="537"/>
      <c r="AF685" s="537"/>
      <c r="AG685" s="537"/>
      <c r="AH685" s="537"/>
      <c r="AI685" s="537"/>
      <c r="AJ685" s="537"/>
      <c r="AK685" s="537"/>
      <c r="AL685" s="537"/>
      <c r="AN685" s="598"/>
    </row>
    <row r="686" spans="1:42" s="551" customFormat="1" ht="12.75" customHeight="1">
      <c r="A686" s="680"/>
      <c r="B686" s="537"/>
      <c r="C686" s="932"/>
      <c r="D686" s="537"/>
      <c r="E686" s="937"/>
      <c r="F686" s="937"/>
      <c r="G686" s="617"/>
      <c r="H686" s="617"/>
      <c r="I686" s="617"/>
      <c r="J686" s="617"/>
      <c r="K686" s="617"/>
      <c r="L686" s="617"/>
      <c r="M686" s="617"/>
      <c r="N686" s="617"/>
      <c r="O686" s="617"/>
      <c r="P686" s="617"/>
      <c r="Q686" s="617"/>
      <c r="R686" s="617"/>
      <c r="S686" s="617"/>
      <c r="T686" s="617"/>
      <c r="U686" s="617"/>
      <c r="V686" s="617"/>
      <c r="W686" s="617"/>
      <c r="X686" s="617"/>
      <c r="Y686" s="617"/>
      <c r="Z686" s="937"/>
      <c r="AA686" s="937"/>
      <c r="AB686" s="937"/>
      <c r="AC686" s="537"/>
      <c r="AD686" s="537"/>
      <c r="AE686" s="537"/>
      <c r="AF686" s="537"/>
      <c r="AG686" s="617"/>
      <c r="AH686" s="617"/>
      <c r="AI686" s="617"/>
      <c r="AJ686" s="617"/>
      <c r="AK686" s="617"/>
      <c r="AL686" s="617"/>
      <c r="AM686" s="552"/>
      <c r="AN686" s="598"/>
    </row>
    <row r="687" spans="1:42" s="551" customFormat="1" ht="12.75" customHeight="1">
      <c r="A687" s="684"/>
      <c r="B687" s="602"/>
      <c r="C687" s="945"/>
      <c r="D687" s="602"/>
      <c r="E687" s="940"/>
      <c r="F687" s="666"/>
      <c r="G687" s="666"/>
      <c r="H687" s="666"/>
      <c r="I687" s="666"/>
      <c r="J687" s="666"/>
      <c r="K687" s="666"/>
      <c r="L687" s="666"/>
      <c r="M687" s="666"/>
      <c r="N687" s="666"/>
      <c r="O687" s="666"/>
      <c r="P687" s="666"/>
      <c r="Q687" s="666"/>
      <c r="R687" s="666"/>
      <c r="S687" s="666"/>
      <c r="T687" s="666"/>
      <c r="U687" s="666"/>
      <c r="V687" s="666"/>
      <c r="W687" s="666"/>
      <c r="X687" s="666"/>
      <c r="Y687" s="940"/>
      <c r="Z687" s="940"/>
      <c r="AA687" s="940"/>
      <c r="AB687" s="602"/>
      <c r="AC687" s="602"/>
      <c r="AD687" s="602"/>
      <c r="AE687" s="602"/>
      <c r="AF687" s="602"/>
      <c r="AG687" s="602"/>
      <c r="AH687" s="602"/>
      <c r="AI687" s="566" t="s">
        <v>1425</v>
      </c>
      <c r="AJ687" s="2416">
        <f>VLOOKUP($H$685,$AO$633:$AP$640,2,FALSE)</f>
        <v>5</v>
      </c>
      <c r="AK687" s="2418"/>
      <c r="AL687" s="596"/>
      <c r="AN687" s="598"/>
    </row>
    <row r="688" spans="1:42" s="551" customFormat="1" ht="12.75" customHeight="1">
      <c r="A688" s="680"/>
      <c r="B688" s="537"/>
      <c r="C688" s="932"/>
      <c r="D688" s="537"/>
      <c r="E688" s="617"/>
      <c r="F688" s="617"/>
      <c r="G688" s="617"/>
      <c r="H688" s="617"/>
      <c r="I688" s="617"/>
      <c r="J688" s="617"/>
      <c r="K688" s="617"/>
      <c r="L688" s="617"/>
      <c r="M688" s="617"/>
      <c r="N688" s="617"/>
      <c r="O688" s="617"/>
      <c r="P688" s="617"/>
      <c r="Q688" s="617"/>
      <c r="R688" s="617"/>
      <c r="S688" s="617"/>
      <c r="T688" s="617"/>
      <c r="U688" s="617"/>
      <c r="V688" s="617"/>
      <c r="W688" s="617"/>
      <c r="X688" s="617"/>
      <c r="Y688" s="617"/>
      <c r="Z688" s="617"/>
      <c r="AA688" s="617"/>
      <c r="AB688" s="617"/>
      <c r="AC688" s="617"/>
      <c r="AD688" s="641"/>
      <c r="AE688" s="537"/>
      <c r="AF688" s="537"/>
      <c r="AG688" s="537"/>
      <c r="AH688" s="537"/>
      <c r="AI688" s="537"/>
      <c r="AJ688" s="537"/>
      <c r="AK688" s="537"/>
      <c r="AL688" s="537"/>
      <c r="AN688" s="598"/>
    </row>
    <row r="689" spans="1:51" s="551" customFormat="1" ht="12.75" customHeight="1">
      <c r="A689" s="680"/>
      <c r="B689" s="537"/>
      <c r="C689" s="540" t="s">
        <v>2136</v>
      </c>
      <c r="D689" s="713"/>
      <c r="E689" s="617"/>
      <c r="F689" s="617"/>
      <c r="G689" s="617"/>
      <c r="H689" s="617"/>
      <c r="I689" s="617"/>
      <c r="J689" s="617"/>
      <c r="K689" s="617"/>
      <c r="L689" s="617"/>
      <c r="M689" s="617"/>
      <c r="N689" s="617"/>
      <c r="O689" s="617"/>
      <c r="P689" s="617"/>
      <c r="Q689" s="617"/>
      <c r="R689" s="617"/>
      <c r="S689" s="617"/>
      <c r="T689" s="617"/>
      <c r="U689" s="617"/>
      <c r="V689" s="617"/>
      <c r="W689" s="617"/>
      <c r="X689" s="617"/>
      <c r="Y689" s="617"/>
      <c r="Z689" s="617"/>
      <c r="AA689" s="617"/>
      <c r="AB689" s="617"/>
      <c r="AC689" s="617"/>
      <c r="AD689" s="641"/>
      <c r="AE689" s="537"/>
      <c r="AF689" s="537"/>
      <c r="AG689" s="537"/>
      <c r="AH689" s="537"/>
      <c r="AI689" s="537"/>
      <c r="AJ689" s="537"/>
      <c r="AK689" s="537"/>
      <c r="AL689" s="537"/>
      <c r="AN689" s="598"/>
      <c r="AW689" s="22" t="s">
        <v>2183</v>
      </c>
      <c r="AX689" s="551">
        <f>Application!Q212</f>
        <v>0</v>
      </c>
    </row>
    <row r="690" spans="1:51" s="551" customFormat="1" ht="12.75" customHeight="1">
      <c r="A690" s="680"/>
      <c r="B690" s="537"/>
      <c r="C690" s="949"/>
      <c r="D690" s="537"/>
      <c r="E690" s="537"/>
      <c r="F690" s="537"/>
      <c r="G690" s="537"/>
      <c r="H690" s="537"/>
      <c r="I690" s="537"/>
      <c r="J690" s="537"/>
      <c r="K690" s="537"/>
      <c r="L690" s="537"/>
      <c r="M690" s="537"/>
      <c r="N690" s="537"/>
      <c r="O690" s="537"/>
      <c r="P690" s="537"/>
      <c r="Q690" s="537"/>
      <c r="R690" s="537"/>
      <c r="S690" s="537"/>
      <c r="T690" s="537"/>
      <c r="U690" s="537"/>
      <c r="V690" s="537"/>
      <c r="W690" s="537"/>
      <c r="X690" s="537"/>
      <c r="Y690" s="537"/>
      <c r="Z690" s="537"/>
      <c r="AA690" s="537"/>
      <c r="AB690" s="537"/>
      <c r="AC690" s="537"/>
      <c r="AD690" s="537"/>
      <c r="AE690" s="537"/>
      <c r="AF690" s="537"/>
      <c r="AG690" s="537"/>
      <c r="AH690" s="537"/>
      <c r="AI690" s="537"/>
      <c r="AJ690" s="537"/>
      <c r="AK690" s="537"/>
      <c r="AL690" s="537"/>
      <c r="AN690" s="598"/>
      <c r="AW690" s="22" t="s">
        <v>2184</v>
      </c>
      <c r="AX690" s="1154">
        <f>Application!G753</f>
        <v>230</v>
      </c>
    </row>
    <row r="691" spans="1:51" s="551" customFormat="1" ht="12.75" customHeight="1">
      <c r="A691" s="680"/>
      <c r="B691" s="537"/>
      <c r="C691" s="949"/>
      <c r="D691" s="664" t="s">
        <v>687</v>
      </c>
      <c r="E691" s="2472" t="s">
        <v>2190</v>
      </c>
      <c r="F691" s="2472"/>
      <c r="G691" s="2472"/>
      <c r="H691" s="2472"/>
      <c r="I691" s="2472"/>
      <c r="J691" s="2472"/>
      <c r="K691" s="2472"/>
      <c r="L691" s="2472"/>
      <c r="M691" s="2472"/>
      <c r="N691" s="2472"/>
      <c r="O691" s="2472"/>
      <c r="P691" s="2472"/>
      <c r="Q691" s="2472"/>
      <c r="R691" s="2472"/>
      <c r="S691" s="2472"/>
      <c r="T691" s="2472"/>
      <c r="U691" s="2472"/>
      <c r="V691" s="2472"/>
      <c r="W691" s="2472"/>
      <c r="X691" s="2472"/>
      <c r="Y691" s="2472"/>
      <c r="Z691" s="2472"/>
      <c r="AA691" s="2472"/>
      <c r="AB691" s="2472"/>
      <c r="AC691" s="537"/>
      <c r="AD691" s="537"/>
      <c r="AE691" s="537"/>
      <c r="AF691" s="2381" t="s">
        <v>1351</v>
      </c>
      <c r="AG691" s="2381"/>
      <c r="AH691" s="2381"/>
      <c r="AI691" s="2381"/>
      <c r="AJ691" s="2381"/>
      <c r="AK691" s="2381"/>
      <c r="AL691" s="2381"/>
      <c r="AN691" s="598"/>
      <c r="AW691" s="22" t="s">
        <v>2185</v>
      </c>
      <c r="AX691" s="551">
        <f>Application!DE753</f>
        <v>0</v>
      </c>
    </row>
    <row r="692" spans="1:51" s="551" customFormat="1" ht="12.75" customHeight="1">
      <c r="A692" s="680"/>
      <c r="B692" s="537"/>
      <c r="C692" s="949"/>
      <c r="D692" s="664"/>
      <c r="E692" s="2472"/>
      <c r="F692" s="2472"/>
      <c r="G692" s="2472"/>
      <c r="H692" s="2472"/>
      <c r="I692" s="2472"/>
      <c r="J692" s="2472"/>
      <c r="K692" s="2472"/>
      <c r="L692" s="2472"/>
      <c r="M692" s="2472"/>
      <c r="N692" s="2472"/>
      <c r="O692" s="2472"/>
      <c r="P692" s="2472"/>
      <c r="Q692" s="2472"/>
      <c r="R692" s="2472"/>
      <c r="S692" s="2472"/>
      <c r="T692" s="2472"/>
      <c r="U692" s="2472"/>
      <c r="V692" s="2472"/>
      <c r="W692" s="2472"/>
      <c r="X692" s="2472"/>
      <c r="Y692" s="2472"/>
      <c r="Z692" s="2472"/>
      <c r="AA692" s="2472"/>
      <c r="AB692" s="2472"/>
      <c r="AC692" s="537"/>
      <c r="AD692" s="537"/>
      <c r="AE692" s="537"/>
      <c r="AF692" s="537"/>
      <c r="AG692" s="537"/>
      <c r="AH692" s="537"/>
      <c r="AI692" s="537"/>
      <c r="AJ692" s="537"/>
      <c r="AK692" s="537"/>
      <c r="AL692" s="537"/>
      <c r="AN692" s="598"/>
      <c r="AW692" s="22" t="s">
        <v>2186</v>
      </c>
      <c r="AX692" s="551">
        <f>Application!DJ753</f>
        <v>0</v>
      </c>
    </row>
    <row r="693" spans="1:51" s="551" customFormat="1" ht="12.75" customHeight="1">
      <c r="A693" s="680"/>
      <c r="B693" s="537"/>
      <c r="C693" s="949"/>
      <c r="D693" s="664"/>
      <c r="E693" s="537"/>
      <c r="F693" s="537"/>
      <c r="G693" s="537"/>
      <c r="H693" s="537"/>
      <c r="I693" s="537"/>
      <c r="J693" s="537"/>
      <c r="K693" s="537"/>
      <c r="L693" s="537"/>
      <c r="M693" s="537"/>
      <c r="N693" s="537"/>
      <c r="O693" s="537"/>
      <c r="P693" s="537"/>
      <c r="Q693" s="537"/>
      <c r="R693" s="537"/>
      <c r="S693" s="537"/>
      <c r="T693" s="537"/>
      <c r="U693" s="537"/>
      <c r="V693" s="537"/>
      <c r="W693" s="537"/>
      <c r="X693" s="537"/>
      <c r="Y693" s="537"/>
      <c r="Z693" s="537"/>
      <c r="AA693" s="537"/>
      <c r="AB693" s="537"/>
      <c r="AC693" s="537"/>
      <c r="AD693" s="537"/>
      <c r="AE693" s="537"/>
      <c r="AF693" s="537"/>
      <c r="AG693" s="537"/>
      <c r="AH693" s="537"/>
      <c r="AI693" s="537"/>
      <c r="AJ693" s="537"/>
      <c r="AK693" s="537"/>
      <c r="AL693" s="537"/>
      <c r="AN693" s="598"/>
      <c r="AW693" s="22" t="s">
        <v>2187</v>
      </c>
      <c r="AX693" s="551">
        <f>Application!DO753</f>
        <v>0</v>
      </c>
    </row>
    <row r="694" spans="1:51" s="551" customFormat="1" ht="12.75" customHeight="1">
      <c r="B694" s="537"/>
      <c r="C694" s="932"/>
      <c r="D694" s="664" t="s">
        <v>509</v>
      </c>
      <c r="E694" s="2436" t="s">
        <v>2134</v>
      </c>
      <c r="F694" s="2436"/>
      <c r="G694" s="2436"/>
      <c r="H694" s="2436"/>
      <c r="I694" s="2436"/>
      <c r="J694" s="2436"/>
      <c r="K694" s="2436"/>
      <c r="L694" s="2436"/>
      <c r="M694" s="2436"/>
      <c r="N694" s="2436"/>
      <c r="O694" s="2436"/>
      <c r="P694" s="2436"/>
      <c r="Q694" s="2436"/>
      <c r="R694" s="2436"/>
      <c r="S694" s="2436"/>
      <c r="T694" s="2436"/>
      <c r="U694" s="2436"/>
      <c r="V694" s="2436"/>
      <c r="W694" s="2436"/>
      <c r="X694" s="2436"/>
      <c r="Y694" s="2436"/>
      <c r="Z694" s="2436"/>
      <c r="AA694" s="2436"/>
      <c r="AB694" s="2436"/>
      <c r="AC694" s="537"/>
      <c r="AD694" s="537"/>
      <c r="AE694" s="537"/>
      <c r="AF694" s="2381" t="s">
        <v>1351</v>
      </c>
      <c r="AG694" s="2381"/>
      <c r="AH694" s="2381"/>
      <c r="AI694" s="2381"/>
      <c r="AJ694" s="2381"/>
      <c r="AK694" s="2381"/>
      <c r="AL694" s="2381"/>
      <c r="AN694" s="598"/>
      <c r="AW694" s="22" t="s">
        <v>2188</v>
      </c>
      <c r="AX694" s="551">
        <f>AX691+AX692+AX693</f>
        <v>0</v>
      </c>
    </row>
    <row r="695" spans="1:51" s="551" customFormat="1" ht="12.75" customHeight="1">
      <c r="B695" s="537"/>
      <c r="C695" s="941"/>
      <c r="D695" s="664"/>
      <c r="E695" s="2436"/>
      <c r="F695" s="2436"/>
      <c r="G695" s="2436"/>
      <c r="H695" s="2436"/>
      <c r="I695" s="2436"/>
      <c r="J695" s="2436"/>
      <c r="K695" s="2436"/>
      <c r="L695" s="2436"/>
      <c r="M695" s="2436"/>
      <c r="N695" s="2436"/>
      <c r="O695" s="2436"/>
      <c r="P695" s="2436"/>
      <c r="Q695" s="2436"/>
      <c r="R695" s="2436"/>
      <c r="S695" s="2436"/>
      <c r="T695" s="2436"/>
      <c r="U695" s="2436"/>
      <c r="V695" s="2436"/>
      <c r="W695" s="2436"/>
      <c r="X695" s="2436"/>
      <c r="Y695" s="2436"/>
      <c r="Z695" s="2436"/>
      <c r="AA695" s="2436"/>
      <c r="AB695" s="2436"/>
      <c r="AC695" s="537"/>
      <c r="AD695" s="537"/>
      <c r="AE695" s="617"/>
      <c r="AF695" s="537"/>
      <c r="AG695" s="537"/>
      <c r="AH695" s="537"/>
      <c r="AI695" s="537"/>
      <c r="AJ695" s="537"/>
      <c r="AK695" s="537"/>
      <c r="AL695" s="537"/>
      <c r="AN695" s="598"/>
      <c r="AO695" s="2471" t="b">
        <f>IF(Application!D211="Special Needs",IF(AY695&gt;=0.25,TRUE,FALSE),IF(AX695&gt;=0.25,TRUE,FALSE))</f>
        <v>0</v>
      </c>
      <c r="AP695" s="2471"/>
      <c r="AW695" s="22" t="s">
        <v>2189</v>
      </c>
      <c r="AX695" s="551">
        <f>IFERROR(AX694/AX690,0)</f>
        <v>0</v>
      </c>
      <c r="AY695" s="551">
        <f>IFERROR(AX694/(AX690-AX689),0)</f>
        <v>0</v>
      </c>
    </row>
    <row r="696" spans="1:51" s="551" customFormat="1" ht="12.75" customHeight="1">
      <c r="B696" s="537"/>
      <c r="C696" s="941"/>
      <c r="E696" s="2436"/>
      <c r="F696" s="2436"/>
      <c r="G696" s="2436"/>
      <c r="H696" s="2436"/>
      <c r="I696" s="2436"/>
      <c r="J696" s="2436"/>
      <c r="K696" s="2436"/>
      <c r="L696" s="2436"/>
      <c r="M696" s="2436"/>
      <c r="N696" s="2436"/>
      <c r="O696" s="2436"/>
      <c r="P696" s="2436"/>
      <c r="Q696" s="2436"/>
      <c r="R696" s="2436"/>
      <c r="S696" s="2436"/>
      <c r="T696" s="2436"/>
      <c r="U696" s="2436"/>
      <c r="V696" s="2436"/>
      <c r="W696" s="2436"/>
      <c r="X696" s="2436"/>
      <c r="Y696" s="2436"/>
      <c r="Z696" s="2436"/>
      <c r="AA696" s="2436"/>
      <c r="AB696" s="2436"/>
      <c r="AC696" s="537"/>
      <c r="AD696" s="537"/>
      <c r="AE696" s="617"/>
      <c r="AF696" s="617"/>
      <c r="AG696" s="617"/>
      <c r="AH696" s="617"/>
      <c r="AI696" s="617"/>
      <c r="AJ696" s="617"/>
      <c r="AK696" s="617"/>
      <c r="AL696" s="617"/>
      <c r="AN696" s="598"/>
      <c r="AW696" s="14"/>
    </row>
    <row r="697" spans="1:51" s="551" customFormat="1" ht="28.5" customHeight="1">
      <c r="B697" s="537"/>
      <c r="C697" s="941"/>
      <c r="D697" s="537"/>
      <c r="E697" s="2436"/>
      <c r="F697" s="2436"/>
      <c r="G697" s="2436"/>
      <c r="H697" s="2436"/>
      <c r="I697" s="2436"/>
      <c r="J697" s="2436"/>
      <c r="K697" s="2436"/>
      <c r="L697" s="2436"/>
      <c r="M697" s="2436"/>
      <c r="N697" s="2436"/>
      <c r="O697" s="2436"/>
      <c r="P697" s="2436"/>
      <c r="Q697" s="2436"/>
      <c r="R697" s="2436"/>
      <c r="S697" s="2436"/>
      <c r="T697" s="2436"/>
      <c r="U697" s="2436"/>
      <c r="V697" s="2436"/>
      <c r="W697" s="2436"/>
      <c r="X697" s="2436"/>
      <c r="Y697" s="2436"/>
      <c r="Z697" s="2436"/>
      <c r="AA697" s="2436"/>
      <c r="AB697" s="2436"/>
      <c r="AC697" s="537"/>
      <c r="AD697" s="537"/>
      <c r="AE697" s="617"/>
      <c r="AF697" s="617"/>
      <c r="AG697" s="617"/>
      <c r="AH697" s="617"/>
      <c r="AI697" s="617"/>
      <c r="AJ697" s="617"/>
      <c r="AK697" s="617"/>
      <c r="AL697" s="617"/>
      <c r="AN697" s="598"/>
      <c r="AO697" s="551" t="s">
        <v>591</v>
      </c>
      <c r="AP697" s="674">
        <v>0</v>
      </c>
    </row>
    <row r="698" spans="1:51" s="551" customFormat="1" ht="12.75" customHeight="1">
      <c r="B698" s="537"/>
      <c r="C698" s="941"/>
      <c r="E698" s="576"/>
      <c r="F698" s="576"/>
      <c r="G698" s="576"/>
      <c r="H698" s="576"/>
      <c r="I698" s="576"/>
      <c r="J698" s="576"/>
      <c r="K698" s="576"/>
      <c r="L698" s="576"/>
      <c r="M698" s="576"/>
      <c r="N698" s="576"/>
      <c r="O698" s="576"/>
      <c r="P698" s="576"/>
      <c r="Q698" s="576"/>
      <c r="R698" s="576"/>
      <c r="S698" s="576"/>
      <c r="T698" s="576"/>
      <c r="U698" s="576"/>
      <c r="V698" s="576"/>
      <c r="W698" s="576"/>
      <c r="X698" s="576"/>
      <c r="Y698" s="576"/>
      <c r="Z698" s="576"/>
      <c r="AA698" s="576"/>
      <c r="AB698" s="576"/>
      <c r="AC698" s="537"/>
      <c r="AD698" s="537"/>
      <c r="AE698" s="617"/>
      <c r="AF698" s="617"/>
      <c r="AG698" s="617"/>
      <c r="AH698" s="617"/>
      <c r="AI698" s="617"/>
      <c r="AJ698" s="617"/>
      <c r="AK698" s="617"/>
      <c r="AL698" s="617"/>
      <c r="AN698" s="598"/>
      <c r="AO698" s="612" t="s">
        <v>687</v>
      </c>
      <c r="AP698" s="551">
        <v>2</v>
      </c>
    </row>
    <row r="699" spans="1:51" s="551" customFormat="1" ht="12.75" customHeight="1">
      <c r="B699" s="537"/>
      <c r="C699" s="932"/>
      <c r="D699" s="664" t="s">
        <v>277</v>
      </c>
      <c r="E699" s="2436" t="s">
        <v>2135</v>
      </c>
      <c r="F699" s="2436"/>
      <c r="G699" s="2436"/>
      <c r="H699" s="2436"/>
      <c r="I699" s="2436"/>
      <c r="J699" s="2436"/>
      <c r="K699" s="2436"/>
      <c r="L699" s="2436"/>
      <c r="M699" s="2436"/>
      <c r="N699" s="2436"/>
      <c r="O699" s="2436"/>
      <c r="P699" s="2436"/>
      <c r="Q699" s="2436"/>
      <c r="R699" s="2436"/>
      <c r="S699" s="2436"/>
      <c r="T699" s="2436"/>
      <c r="U699" s="2436"/>
      <c r="V699" s="2436"/>
      <c r="W699" s="2436"/>
      <c r="X699" s="2436"/>
      <c r="Y699" s="2436"/>
      <c r="Z699" s="2436"/>
      <c r="AA699" s="2436"/>
      <c r="AB699" s="2436"/>
      <c r="AC699" s="537"/>
      <c r="AD699" s="537"/>
      <c r="AE699" s="537"/>
      <c r="AF699" s="2381" t="s">
        <v>1407</v>
      </c>
      <c r="AG699" s="2381"/>
      <c r="AH699" s="2381"/>
      <c r="AI699" s="2381"/>
      <c r="AJ699" s="2381"/>
      <c r="AK699" s="2381"/>
      <c r="AL699" s="2381"/>
      <c r="AN699" s="598"/>
      <c r="AO699" s="612" t="s">
        <v>509</v>
      </c>
      <c r="AP699" s="551">
        <v>1</v>
      </c>
    </row>
    <row r="700" spans="1:51" s="551" customFormat="1" ht="12" customHeight="1">
      <c r="B700" s="537"/>
      <c r="C700" s="932"/>
      <c r="E700" s="2436"/>
      <c r="F700" s="2436"/>
      <c r="G700" s="2436"/>
      <c r="H700" s="2436"/>
      <c r="I700" s="2436"/>
      <c r="J700" s="2436"/>
      <c r="K700" s="2436"/>
      <c r="L700" s="2436"/>
      <c r="M700" s="2436"/>
      <c r="N700" s="2436"/>
      <c r="O700" s="2436"/>
      <c r="P700" s="2436"/>
      <c r="Q700" s="2436"/>
      <c r="R700" s="2436"/>
      <c r="S700" s="2436"/>
      <c r="T700" s="2436"/>
      <c r="U700" s="2436"/>
      <c r="V700" s="2436"/>
      <c r="W700" s="2436"/>
      <c r="X700" s="2436"/>
      <c r="Y700" s="2436"/>
      <c r="Z700" s="2436"/>
      <c r="AA700" s="2436"/>
      <c r="AB700" s="2436"/>
      <c r="AC700" s="537"/>
      <c r="AD700" s="537"/>
      <c r="AE700" s="617"/>
      <c r="AF700" s="537"/>
      <c r="AG700" s="537"/>
      <c r="AH700" s="537"/>
      <c r="AI700" s="537"/>
      <c r="AJ700" s="537"/>
      <c r="AK700" s="537"/>
      <c r="AL700" s="537"/>
      <c r="AN700" s="598"/>
    </row>
    <row r="701" spans="1:51" s="551" customFormat="1" ht="12" customHeight="1">
      <c r="B701" s="537"/>
      <c r="C701" s="932"/>
      <c r="D701" s="537"/>
      <c r="E701" s="2436"/>
      <c r="F701" s="2436"/>
      <c r="G701" s="2436"/>
      <c r="H701" s="2436"/>
      <c r="I701" s="2436"/>
      <c r="J701" s="2436"/>
      <c r="K701" s="2436"/>
      <c r="L701" s="2436"/>
      <c r="M701" s="2436"/>
      <c r="N701" s="2436"/>
      <c r="O701" s="2436"/>
      <c r="P701" s="2436"/>
      <c r="Q701" s="2436"/>
      <c r="R701" s="2436"/>
      <c r="S701" s="2436"/>
      <c r="T701" s="2436"/>
      <c r="U701" s="2436"/>
      <c r="V701" s="2436"/>
      <c r="W701" s="2436"/>
      <c r="X701" s="2436"/>
      <c r="Y701" s="2436"/>
      <c r="Z701" s="2436"/>
      <c r="AA701" s="2436"/>
      <c r="AB701" s="2436"/>
      <c r="AC701" s="537"/>
      <c r="AD701" s="537"/>
      <c r="AE701" s="617"/>
      <c r="AF701" s="537"/>
      <c r="AG701" s="537"/>
      <c r="AH701" s="537"/>
      <c r="AI701" s="537"/>
      <c r="AJ701" s="537"/>
      <c r="AK701" s="537"/>
      <c r="AL701" s="537"/>
      <c r="AN701" s="598"/>
    </row>
    <row r="702" spans="1:51" s="551" customFormat="1" ht="12" customHeight="1">
      <c r="B702" s="537"/>
      <c r="C702" s="932"/>
      <c r="D702" s="537"/>
      <c r="E702" s="2436"/>
      <c r="F702" s="2436"/>
      <c r="G702" s="2436"/>
      <c r="H702" s="2436"/>
      <c r="I702" s="2436"/>
      <c r="J702" s="2436"/>
      <c r="K702" s="2436"/>
      <c r="L702" s="2436"/>
      <c r="M702" s="2436"/>
      <c r="N702" s="2436"/>
      <c r="O702" s="2436"/>
      <c r="P702" s="2436"/>
      <c r="Q702" s="2436"/>
      <c r="R702" s="2436"/>
      <c r="S702" s="2436"/>
      <c r="T702" s="2436"/>
      <c r="U702" s="2436"/>
      <c r="V702" s="2436"/>
      <c r="W702" s="2436"/>
      <c r="X702" s="2436"/>
      <c r="Y702" s="2436"/>
      <c r="Z702" s="2436"/>
      <c r="AA702" s="2436"/>
      <c r="AB702" s="2436"/>
      <c r="AC702" s="537"/>
      <c r="AD702" s="537"/>
      <c r="AE702" s="617"/>
      <c r="AF702" s="537"/>
      <c r="AG702" s="537"/>
      <c r="AH702" s="537"/>
      <c r="AI702" s="537"/>
      <c r="AJ702" s="537"/>
      <c r="AK702" s="537"/>
      <c r="AL702" s="537"/>
      <c r="AN702" s="598"/>
    </row>
    <row r="703" spans="1:51" s="571" customFormat="1" ht="12.95" customHeight="1">
      <c r="A703" s="551"/>
      <c r="B703" s="537"/>
      <c r="C703" s="932"/>
      <c r="D703" s="537"/>
      <c r="E703" s="2436"/>
      <c r="F703" s="2436"/>
      <c r="G703" s="2436"/>
      <c r="H703" s="2436"/>
      <c r="I703" s="2436"/>
      <c r="J703" s="2436"/>
      <c r="K703" s="2436"/>
      <c r="L703" s="2436"/>
      <c r="M703" s="2436"/>
      <c r="N703" s="2436"/>
      <c r="O703" s="2436"/>
      <c r="P703" s="2436"/>
      <c r="Q703" s="2436"/>
      <c r="R703" s="2436"/>
      <c r="S703" s="2436"/>
      <c r="T703" s="2436"/>
      <c r="U703" s="2436"/>
      <c r="V703" s="2436"/>
      <c r="W703" s="2436"/>
      <c r="X703" s="2436"/>
      <c r="Y703" s="2436"/>
      <c r="Z703" s="2436"/>
      <c r="AA703" s="2436"/>
      <c r="AB703" s="2436"/>
      <c r="AC703" s="537"/>
      <c r="AD703" s="537"/>
      <c r="AE703" s="617"/>
      <c r="AF703" s="617"/>
      <c r="AG703" s="617"/>
      <c r="AH703" s="617"/>
      <c r="AI703" s="617"/>
      <c r="AJ703" s="537"/>
      <c r="AK703" s="537"/>
      <c r="AL703" s="537"/>
      <c r="AM703" s="551"/>
      <c r="AN703" s="685"/>
      <c r="AO703" s="551" t="s">
        <v>591</v>
      </c>
      <c r="AP703" s="674">
        <v>0</v>
      </c>
    </row>
    <row r="704" spans="1:51" s="571" customFormat="1" ht="12" customHeight="1">
      <c r="A704" s="551"/>
      <c r="B704" s="537"/>
      <c r="C704" s="932"/>
      <c r="D704" s="537"/>
      <c r="E704" s="644"/>
      <c r="F704" s="644"/>
      <c r="G704" s="644"/>
      <c r="H704" s="644"/>
      <c r="I704" s="644"/>
      <c r="J704" s="644"/>
      <c r="K704" s="644"/>
      <c r="L704" s="644"/>
      <c r="M704" s="644"/>
      <c r="N704" s="644"/>
      <c r="O704" s="644"/>
      <c r="P704" s="644"/>
      <c r="Q704" s="644"/>
      <c r="R704" s="644"/>
      <c r="S704" s="644"/>
      <c r="T704" s="644"/>
      <c r="U704" s="644"/>
      <c r="V704" s="644"/>
      <c r="W704" s="644"/>
      <c r="X704" s="644"/>
      <c r="Y704" s="644"/>
      <c r="Z704" s="644"/>
      <c r="AA704" s="644"/>
      <c r="AB704" s="644"/>
      <c r="AC704" s="537"/>
      <c r="AD704" s="537"/>
      <c r="AE704" s="617"/>
      <c r="AF704" s="617"/>
      <c r="AG704" s="617"/>
      <c r="AH704" s="617"/>
      <c r="AI704" s="617"/>
      <c r="AJ704" s="537"/>
      <c r="AK704" s="537"/>
      <c r="AL704" s="537"/>
      <c r="AM704" s="551"/>
      <c r="AN704" s="685"/>
      <c r="AO704" s="612" t="s">
        <v>687</v>
      </c>
      <c r="AP704" s="551">
        <v>3</v>
      </c>
    </row>
    <row r="705" spans="1:43" s="571" customFormat="1" ht="12.75" customHeight="1">
      <c r="A705" s="551"/>
      <c r="B705" s="537"/>
      <c r="C705" s="932"/>
      <c r="D705" s="537"/>
      <c r="E705" s="2436" t="s">
        <v>1692</v>
      </c>
      <c r="F705" s="2436"/>
      <c r="G705" s="2436"/>
      <c r="H705" s="2436"/>
      <c r="I705" s="2436"/>
      <c r="J705" s="2436"/>
      <c r="K705" s="2436"/>
      <c r="L705" s="2436"/>
      <c r="M705" s="2436"/>
      <c r="N705" s="2436"/>
      <c r="O705" s="2436"/>
      <c r="P705" s="2436"/>
      <c r="Q705" s="2436"/>
      <c r="R705" s="2436"/>
      <c r="S705" s="2436"/>
      <c r="T705" s="2436"/>
      <c r="U705" s="2436"/>
      <c r="V705" s="2436"/>
      <c r="W705" s="2436"/>
      <c r="X705" s="2436"/>
      <c r="Y705" s="2436"/>
      <c r="Z705" s="2436"/>
      <c r="AA705" s="2436"/>
      <c r="AB705" s="2436"/>
      <c r="AC705" s="537"/>
      <c r="AD705" s="537"/>
      <c r="AE705" s="617"/>
      <c r="AF705" s="617"/>
      <c r="AG705" s="617"/>
      <c r="AH705" s="617"/>
      <c r="AI705" s="617"/>
      <c r="AJ705" s="537"/>
      <c r="AK705" s="537"/>
      <c r="AL705" s="537"/>
      <c r="AM705" s="551"/>
      <c r="AN705" s="685"/>
      <c r="AO705" s="612" t="s">
        <v>509</v>
      </c>
      <c r="AP705" s="551">
        <f>3*$AO$695</f>
        <v>0</v>
      </c>
    </row>
    <row r="706" spans="1:43" s="571" customFormat="1" ht="12.75" customHeight="1">
      <c r="A706" s="551"/>
      <c r="B706" s="537"/>
      <c r="C706" s="932"/>
      <c r="D706" s="537"/>
      <c r="E706" s="2436"/>
      <c r="F706" s="2436"/>
      <c r="G706" s="2436"/>
      <c r="H706" s="2436"/>
      <c r="I706" s="2436"/>
      <c r="J706" s="2436"/>
      <c r="K706" s="2436"/>
      <c r="L706" s="2436"/>
      <c r="M706" s="2436"/>
      <c r="N706" s="2436"/>
      <c r="O706" s="2436"/>
      <c r="P706" s="2436"/>
      <c r="Q706" s="2436"/>
      <c r="R706" s="2436"/>
      <c r="S706" s="2436"/>
      <c r="T706" s="2436"/>
      <c r="U706" s="2436"/>
      <c r="V706" s="2436"/>
      <c r="W706" s="2436"/>
      <c r="X706" s="2436"/>
      <c r="Y706" s="2436"/>
      <c r="Z706" s="2436"/>
      <c r="AA706" s="2436"/>
      <c r="AB706" s="2436"/>
      <c r="AC706" s="537"/>
      <c r="AD706" s="537"/>
      <c r="AE706" s="617"/>
      <c r="AF706" s="617"/>
      <c r="AG706" s="617"/>
      <c r="AH706" s="617"/>
      <c r="AI706" s="617"/>
      <c r="AJ706" s="537"/>
      <c r="AK706" s="537"/>
      <c r="AL706" s="537"/>
      <c r="AM706" s="551"/>
      <c r="AN706" s="685"/>
      <c r="AO706" s="612" t="s">
        <v>277</v>
      </c>
      <c r="AP706" s="551">
        <f>2*$AO$695</f>
        <v>0</v>
      </c>
    </row>
    <row r="707" spans="1:43" s="571" customFormat="1" ht="12.75" customHeight="1">
      <c r="A707" s="551"/>
      <c r="B707" s="537"/>
      <c r="C707" s="932"/>
      <c r="D707" s="537"/>
      <c r="E707" s="2436"/>
      <c r="F707" s="2436"/>
      <c r="G707" s="2436"/>
      <c r="H707" s="2436"/>
      <c r="I707" s="2436"/>
      <c r="J707" s="2436"/>
      <c r="K707" s="2436"/>
      <c r="L707" s="2436"/>
      <c r="M707" s="2436"/>
      <c r="N707" s="2436"/>
      <c r="O707" s="2436"/>
      <c r="P707" s="2436"/>
      <c r="Q707" s="2436"/>
      <c r="R707" s="2436"/>
      <c r="S707" s="2436"/>
      <c r="T707" s="2436"/>
      <c r="U707" s="2436"/>
      <c r="V707" s="2436"/>
      <c r="W707" s="2436"/>
      <c r="X707" s="2436"/>
      <c r="Y707" s="2436"/>
      <c r="Z707" s="2436"/>
      <c r="AA707" s="2436"/>
      <c r="AB707" s="2436"/>
      <c r="AC707" s="537"/>
      <c r="AD707" s="537"/>
      <c r="AE707" s="617"/>
      <c r="AF707" s="617"/>
      <c r="AG707" s="617"/>
      <c r="AH707" s="617"/>
      <c r="AI707" s="617"/>
      <c r="AJ707" s="537"/>
      <c r="AK707" s="537"/>
      <c r="AL707" s="537"/>
      <c r="AM707" s="551"/>
      <c r="AN707" s="685"/>
    </row>
    <row r="708" spans="1:43" s="571" customFormat="1" ht="12.75" customHeight="1">
      <c r="A708" s="551"/>
      <c r="B708" s="537"/>
      <c r="C708" s="932"/>
      <c r="D708" s="537"/>
      <c r="E708" s="644"/>
      <c r="F708" s="644"/>
      <c r="G708" s="644"/>
      <c r="H708" s="644"/>
      <c r="I708" s="644"/>
      <c r="J708" s="644"/>
      <c r="K708" s="644"/>
      <c r="L708" s="644"/>
      <c r="M708" s="644"/>
      <c r="N708" s="644"/>
      <c r="O708" s="644"/>
      <c r="P708" s="644"/>
      <c r="Q708" s="644"/>
      <c r="R708" s="644"/>
      <c r="S708" s="644"/>
      <c r="T708" s="644"/>
      <c r="U708" s="644"/>
      <c r="V708" s="644"/>
      <c r="W708" s="644"/>
      <c r="X708" s="644"/>
      <c r="Y708" s="644"/>
      <c r="Z708" s="644"/>
      <c r="AA708" s="644"/>
      <c r="AB708" s="644"/>
      <c r="AC708" s="537"/>
      <c r="AD708" s="537"/>
      <c r="AE708" s="617"/>
      <c r="AF708" s="617"/>
      <c r="AG708" s="617"/>
      <c r="AH708" s="617"/>
      <c r="AI708" s="617"/>
      <c r="AJ708" s="537"/>
      <c r="AK708" s="537"/>
      <c r="AL708" s="537"/>
      <c r="AM708" s="551"/>
      <c r="AN708" s="685"/>
    </row>
    <row r="709" spans="1:43" s="571" customFormat="1" ht="12.75" customHeight="1">
      <c r="A709" s="551"/>
      <c r="B709" s="537"/>
      <c r="C709" s="932"/>
      <c r="D709" s="537" t="s">
        <v>1399</v>
      </c>
      <c r="E709" s="937"/>
      <c r="F709" s="937"/>
      <c r="G709" s="937"/>
      <c r="H709" s="2465" t="s">
        <v>591</v>
      </c>
      <c r="I709" s="2465"/>
      <c r="J709" s="644"/>
      <c r="K709" s="644"/>
      <c r="L709" s="644"/>
      <c r="M709" s="644"/>
      <c r="N709" s="644"/>
      <c r="O709" s="644"/>
      <c r="P709" s="644"/>
      <c r="Q709" s="644"/>
      <c r="R709" s="644"/>
      <c r="S709" s="644"/>
      <c r="T709" s="644"/>
      <c r="U709" s="644"/>
      <c r="V709" s="644"/>
      <c r="W709" s="644"/>
      <c r="X709" s="644"/>
      <c r="Y709" s="644"/>
      <c r="Z709" s="644"/>
      <c r="AA709" s="644"/>
      <c r="AB709" s="644"/>
      <c r="AC709" s="537"/>
      <c r="AD709" s="537"/>
      <c r="AE709" s="617"/>
      <c r="AF709" s="617"/>
      <c r="AG709" s="617"/>
      <c r="AH709" s="617"/>
      <c r="AI709" s="617"/>
      <c r="AJ709" s="537"/>
      <c r="AK709" s="537"/>
      <c r="AL709" s="537"/>
      <c r="AM709" s="551"/>
      <c r="AN709" s="685"/>
      <c r="AP709" s="571" t="s">
        <v>1426</v>
      </c>
    </row>
    <row r="710" spans="1:43" s="571" customFormat="1">
      <c r="A710" s="551"/>
      <c r="B710" s="537"/>
      <c r="C710" s="932"/>
      <c r="D710" s="537"/>
      <c r="E710" s="644"/>
      <c r="F710" s="644"/>
      <c r="G710" s="644"/>
      <c r="H710" s="644"/>
      <c r="I710" s="644"/>
      <c r="J710" s="644"/>
      <c r="K710" s="644"/>
      <c r="L710" s="644"/>
      <c r="M710" s="644"/>
      <c r="N710" s="644"/>
      <c r="O710" s="644"/>
      <c r="P710" s="644"/>
      <c r="Q710" s="644"/>
      <c r="R710" s="644"/>
      <c r="S710" s="644"/>
      <c r="T710" s="644"/>
      <c r="U710" s="644"/>
      <c r="V710" s="644"/>
      <c r="W710" s="644"/>
      <c r="X710" s="644"/>
      <c r="Y710" s="644"/>
      <c r="Z710" s="644"/>
      <c r="AA710" s="644"/>
      <c r="AB710" s="644"/>
      <c r="AC710" s="537"/>
      <c r="AD710" s="537"/>
      <c r="AE710" s="617"/>
      <c r="AF710" s="617"/>
      <c r="AG710" s="617"/>
      <c r="AH710" s="617"/>
      <c r="AI710" s="617"/>
      <c r="AJ710" s="537"/>
      <c r="AK710" s="537"/>
      <c r="AL710" s="537"/>
      <c r="AM710" s="551"/>
      <c r="AN710" s="685"/>
      <c r="AP710" s="571" t="s">
        <v>1404</v>
      </c>
    </row>
    <row r="711" spans="1:43" s="571" customFormat="1" ht="12.75" customHeight="1">
      <c r="A711" s="607"/>
      <c r="B711" s="602"/>
      <c r="C711" s="945"/>
      <c r="D711" s="602"/>
      <c r="E711" s="602"/>
      <c r="F711" s="602"/>
      <c r="G711" s="602"/>
      <c r="H711" s="602"/>
      <c r="I711" s="602"/>
      <c r="J711" s="950"/>
      <c r="K711" s="950"/>
      <c r="L711" s="666"/>
      <c r="M711" s="666"/>
      <c r="N711" s="666"/>
      <c r="O711" s="666"/>
      <c r="P711" s="666"/>
      <c r="Q711" s="666"/>
      <c r="R711" s="666"/>
      <c r="S711" s="666"/>
      <c r="T711" s="666"/>
      <c r="U711" s="666"/>
      <c r="V711" s="666"/>
      <c r="W711" s="666"/>
      <c r="X711" s="666"/>
      <c r="Y711" s="940"/>
      <c r="Z711" s="940"/>
      <c r="AA711" s="940"/>
      <c r="AB711" s="602"/>
      <c r="AC711" s="602"/>
      <c r="AD711" s="602"/>
      <c r="AE711" s="602"/>
      <c r="AF711" s="602"/>
      <c r="AG711" s="602"/>
      <c r="AH711" s="602"/>
      <c r="AI711" s="566" t="s">
        <v>2137</v>
      </c>
      <c r="AJ711" s="2416">
        <f>VLOOKUP($H$709,$AO$703:$AP$706,2,FALSE)</f>
        <v>0</v>
      </c>
      <c r="AK711" s="2418"/>
      <c r="AL711" s="596"/>
      <c r="AM711" s="551"/>
      <c r="AN711" s="685"/>
      <c r="AP711" s="571" t="s">
        <v>1411</v>
      </c>
    </row>
    <row r="712" spans="1:43" s="571" customFormat="1">
      <c r="A712" s="551"/>
      <c r="B712" s="537"/>
      <c r="C712" s="537"/>
      <c r="D712" s="537"/>
      <c r="E712" s="537"/>
      <c r="F712" s="537"/>
      <c r="G712" s="537"/>
      <c r="H712" s="537"/>
      <c r="I712" s="537"/>
      <c r="J712" s="537"/>
      <c r="K712" s="537"/>
      <c r="L712" s="537"/>
      <c r="M712" s="537"/>
      <c r="N712" s="537"/>
      <c r="O712" s="537"/>
      <c r="P712" s="537"/>
      <c r="Q712" s="537"/>
      <c r="R712" s="537"/>
      <c r="S712" s="537"/>
      <c r="T712" s="537"/>
      <c r="U712" s="537"/>
      <c r="V712" s="537"/>
      <c r="W712" s="537"/>
      <c r="X712" s="537"/>
      <c r="Y712" s="537"/>
      <c r="Z712" s="537"/>
      <c r="AA712" s="537"/>
      <c r="AB712" s="537"/>
      <c r="AC712" s="537"/>
      <c r="AD712" s="537"/>
      <c r="AE712" s="617"/>
      <c r="AF712" s="617"/>
      <c r="AG712" s="617"/>
      <c r="AH712" s="617"/>
      <c r="AI712" s="617"/>
      <c r="AJ712" s="537"/>
      <c r="AK712" s="537"/>
      <c r="AL712" s="537"/>
      <c r="AM712" s="551"/>
      <c r="AN712" s="685"/>
      <c r="AP712" s="571" t="s">
        <v>1427</v>
      </c>
    </row>
    <row r="713" spans="1:43" s="571" customFormat="1" ht="12.75" customHeight="1">
      <c r="A713" s="551"/>
      <c r="B713" s="537"/>
      <c r="C713" s="540" t="s">
        <v>1428</v>
      </c>
      <c r="D713" s="713"/>
      <c r="E713" s="537"/>
      <c r="F713" s="537"/>
      <c r="G713" s="537"/>
      <c r="H713" s="537"/>
      <c r="I713" s="537"/>
      <c r="J713" s="537"/>
      <c r="K713" s="537"/>
      <c r="L713" s="537"/>
      <c r="M713" s="537"/>
      <c r="N713" s="537"/>
      <c r="O713" s="537"/>
      <c r="P713" s="537"/>
      <c r="Q713" s="537"/>
      <c r="R713" s="537"/>
      <c r="S713" s="537"/>
      <c r="T713" s="537"/>
      <c r="U713" s="537"/>
      <c r="V713" s="537"/>
      <c r="W713" s="537"/>
      <c r="X713" s="537"/>
      <c r="Y713" s="537"/>
      <c r="Z713" s="537"/>
      <c r="AA713" s="537"/>
      <c r="AB713" s="537"/>
      <c r="AC713" s="537"/>
      <c r="AD713" s="537"/>
      <c r="AE713" s="617"/>
      <c r="AF713" s="617"/>
      <c r="AG713" s="617"/>
      <c r="AH713" s="617"/>
      <c r="AI713" s="617"/>
      <c r="AJ713" s="537"/>
      <c r="AK713" s="537"/>
      <c r="AL713" s="537"/>
      <c r="AM713" s="551"/>
      <c r="AN713" s="685"/>
      <c r="AP713" s="571" t="s">
        <v>1429</v>
      </c>
    </row>
    <row r="714" spans="1:43" s="571" customFormat="1" ht="12.75" customHeight="1">
      <c r="A714" s="551"/>
      <c r="B714" s="537"/>
      <c r="C714" s="932"/>
      <c r="D714" s="537"/>
      <c r="E714" s="537"/>
      <c r="F714" s="537"/>
      <c r="G714" s="537"/>
      <c r="H714" s="537"/>
      <c r="I714" s="537"/>
      <c r="J714" s="537"/>
      <c r="K714" s="537"/>
      <c r="L714" s="537"/>
      <c r="M714" s="537"/>
      <c r="N714" s="537"/>
      <c r="O714" s="537"/>
      <c r="P714" s="537"/>
      <c r="Q714" s="537"/>
      <c r="R714" s="537"/>
      <c r="S714" s="537"/>
      <c r="T714" s="537"/>
      <c r="U714" s="537"/>
      <c r="V714" s="537"/>
      <c r="W714" s="537"/>
      <c r="X714" s="537"/>
      <c r="Y714" s="537"/>
      <c r="Z714" s="537"/>
      <c r="AA714" s="537"/>
      <c r="AB714" s="537"/>
      <c r="AC714" s="537"/>
      <c r="AD714" s="537"/>
      <c r="AE714" s="617"/>
      <c r="AF714" s="617"/>
      <c r="AG714" s="617"/>
      <c r="AH714" s="617"/>
      <c r="AI714" s="617"/>
      <c r="AJ714" s="537"/>
      <c r="AK714" s="537"/>
      <c r="AL714" s="537"/>
      <c r="AM714" s="551"/>
      <c r="AN714" s="685"/>
      <c r="AP714" s="571" t="s">
        <v>1430</v>
      </c>
    </row>
    <row r="715" spans="1:43" s="571" customFormat="1" ht="12.75" customHeight="1">
      <c r="A715" s="638"/>
      <c r="B715" s="537"/>
      <c r="C715" s="932"/>
      <c r="D715" s="664" t="s">
        <v>687</v>
      </c>
      <c r="E715" s="2473" t="s">
        <v>1694</v>
      </c>
      <c r="F715" s="2473"/>
      <c r="G715" s="2473"/>
      <c r="H715" s="2473"/>
      <c r="I715" s="2473"/>
      <c r="J715" s="2473"/>
      <c r="K715" s="2473"/>
      <c r="L715" s="2473"/>
      <c r="M715" s="2473"/>
      <c r="N715" s="2473"/>
      <c r="O715" s="2473"/>
      <c r="P715" s="2473"/>
      <c r="Q715" s="2473"/>
      <c r="R715" s="2473"/>
      <c r="S715" s="2473"/>
      <c r="T715" s="2473"/>
      <c r="U715" s="2473"/>
      <c r="V715" s="2473"/>
      <c r="W715" s="2473"/>
      <c r="X715" s="2473"/>
      <c r="Y715" s="2473"/>
      <c r="Z715" s="2473"/>
      <c r="AA715" s="2473"/>
      <c r="AB715" s="2473"/>
      <c r="AC715" s="537"/>
      <c r="AD715" s="537"/>
      <c r="AE715" s="537"/>
      <c r="AF715" s="2381" t="s">
        <v>1351</v>
      </c>
      <c r="AG715" s="2381"/>
      <c r="AH715" s="2381"/>
      <c r="AI715" s="2381"/>
      <c r="AJ715" s="2381"/>
      <c r="AK715" s="2381"/>
      <c r="AL715" s="2381"/>
      <c r="AM715" s="551"/>
      <c r="AN715" s="685"/>
      <c r="AP715" s="571" t="s">
        <v>1431</v>
      </c>
    </row>
    <row r="716" spans="1:43" s="571" customFormat="1" ht="11.85" customHeight="1">
      <c r="A716" s="551"/>
      <c r="B716" s="537"/>
      <c r="C716" s="934"/>
      <c r="D716" s="664"/>
      <c r="E716" s="2473"/>
      <c r="F716" s="2473"/>
      <c r="G716" s="2473"/>
      <c r="H716" s="2473"/>
      <c r="I716" s="2473"/>
      <c r="J716" s="2473"/>
      <c r="K716" s="2473"/>
      <c r="L716" s="2473"/>
      <c r="M716" s="2473"/>
      <c r="N716" s="2473"/>
      <c r="O716" s="2473"/>
      <c r="P716" s="2473"/>
      <c r="Q716" s="2473"/>
      <c r="R716" s="2473"/>
      <c r="S716" s="2473"/>
      <c r="T716" s="2473"/>
      <c r="U716" s="2473"/>
      <c r="V716" s="2473"/>
      <c r="W716" s="2473"/>
      <c r="X716" s="2473"/>
      <c r="Y716" s="2473"/>
      <c r="Z716" s="2473"/>
      <c r="AA716" s="2473"/>
      <c r="AB716" s="2473"/>
      <c r="AC716" s="537"/>
      <c r="AD716" s="537"/>
      <c r="AE716" s="537"/>
      <c r="AF716" s="537"/>
      <c r="AG716" s="537"/>
      <c r="AH716" s="537"/>
      <c r="AI716" s="537"/>
      <c r="AJ716" s="537"/>
      <c r="AK716" s="537"/>
      <c r="AL716" s="537"/>
      <c r="AM716" s="551"/>
      <c r="AN716" s="685"/>
      <c r="AP716" s="571" t="s">
        <v>1432</v>
      </c>
    </row>
    <row r="717" spans="1:43" s="571" customFormat="1" ht="13.9" customHeight="1">
      <c r="A717" s="551"/>
      <c r="B717" s="611"/>
      <c r="C717" s="932"/>
      <c r="D717" s="664"/>
      <c r="E717" s="2473"/>
      <c r="F717" s="2473"/>
      <c r="G717" s="2473"/>
      <c r="H717" s="2473"/>
      <c r="I717" s="2473"/>
      <c r="J717" s="2473"/>
      <c r="K717" s="2473"/>
      <c r="L717" s="2473"/>
      <c r="M717" s="2473"/>
      <c r="N717" s="2473"/>
      <c r="O717" s="2473"/>
      <c r="P717" s="2473"/>
      <c r="Q717" s="2473"/>
      <c r="R717" s="2473"/>
      <c r="S717" s="2473"/>
      <c r="T717" s="2473"/>
      <c r="U717" s="2473"/>
      <c r="V717" s="2473"/>
      <c r="W717" s="2473"/>
      <c r="X717" s="2473"/>
      <c r="Y717" s="2473"/>
      <c r="Z717" s="2473"/>
      <c r="AA717" s="2473"/>
      <c r="AB717" s="2473"/>
      <c r="AC717" s="537"/>
      <c r="AD717" s="537"/>
      <c r="AE717" s="617"/>
      <c r="AF717" s="537"/>
      <c r="AG717" s="537"/>
      <c r="AH717" s="537"/>
      <c r="AI717" s="537"/>
      <c r="AJ717" s="537"/>
      <c r="AK717" s="537"/>
      <c r="AL717" s="537"/>
      <c r="AM717" s="551"/>
      <c r="AN717" s="685"/>
      <c r="AP717" s="571" t="s">
        <v>1433</v>
      </c>
    </row>
    <row r="718" spans="1:43" s="571" customFormat="1" ht="13.9" customHeight="1">
      <c r="A718" s="551"/>
      <c r="B718" s="611"/>
      <c r="C718" s="932"/>
      <c r="D718" s="664"/>
      <c r="E718" s="937"/>
      <c r="F718" s="937"/>
      <c r="G718" s="937"/>
      <c r="H718" s="937"/>
      <c r="I718" s="937"/>
      <c r="J718" s="937"/>
      <c r="K718" s="937"/>
      <c r="L718" s="937"/>
      <c r="M718" s="937"/>
      <c r="N718" s="937"/>
      <c r="O718" s="937"/>
      <c r="P718" s="937"/>
      <c r="Q718" s="937"/>
      <c r="R718" s="937"/>
      <c r="S718" s="937"/>
      <c r="T718" s="937"/>
      <c r="U718" s="937"/>
      <c r="V718" s="937"/>
      <c r="W718" s="937"/>
      <c r="X718" s="937"/>
      <c r="Y718" s="937"/>
      <c r="Z718" s="937"/>
      <c r="AA718" s="937"/>
      <c r="AB718" s="937"/>
      <c r="AC718" s="537"/>
      <c r="AD718" s="537"/>
      <c r="AE718" s="617"/>
      <c r="AF718" s="537"/>
      <c r="AG718" s="537"/>
      <c r="AH718" s="537"/>
      <c r="AI718" s="537"/>
      <c r="AJ718" s="537"/>
      <c r="AK718" s="537"/>
      <c r="AL718" s="537"/>
      <c r="AM718" s="551"/>
      <c r="AN718" s="685"/>
      <c r="AP718" s="687" t="s">
        <v>1435</v>
      </c>
    </row>
    <row r="719" spans="1:43" s="571" customFormat="1" ht="13.9" customHeight="1">
      <c r="A719" s="551"/>
      <c r="B719" s="537"/>
      <c r="C719" s="932"/>
      <c r="D719" s="664" t="s">
        <v>509</v>
      </c>
      <c r="E719" s="2474" t="s">
        <v>1434</v>
      </c>
      <c r="F719" s="2474"/>
      <c r="G719" s="2474"/>
      <c r="H719" s="2474"/>
      <c r="I719" s="2474"/>
      <c r="J719" s="2474"/>
      <c r="K719" s="2474"/>
      <c r="L719" s="2474"/>
      <c r="M719" s="2474"/>
      <c r="N719" s="2474"/>
      <c r="O719" s="2474"/>
      <c r="P719" s="2474"/>
      <c r="Q719" s="2474"/>
      <c r="R719" s="2474"/>
      <c r="S719" s="2474"/>
      <c r="T719" s="2474"/>
      <c r="U719" s="2474"/>
      <c r="V719" s="2474"/>
      <c r="W719" s="2474"/>
      <c r="X719" s="2474"/>
      <c r="Y719" s="2474"/>
      <c r="Z719" s="2474"/>
      <c r="AA719" s="2474"/>
      <c r="AB719" s="2474"/>
      <c r="AC719" s="537"/>
      <c r="AD719" s="537"/>
      <c r="AE719" s="537"/>
      <c r="AF719" s="2381" t="s">
        <v>1407</v>
      </c>
      <c r="AG719" s="2381"/>
      <c r="AH719" s="2381"/>
      <c r="AI719" s="2381"/>
      <c r="AJ719" s="2381"/>
      <c r="AK719" s="2381"/>
      <c r="AL719" s="2381"/>
      <c r="AM719" s="551"/>
      <c r="AN719" s="686"/>
    </row>
    <row r="720" spans="1:43" s="571" customFormat="1" ht="12.75" customHeight="1">
      <c r="A720" s="551"/>
      <c r="B720" s="537"/>
      <c r="C720" s="934"/>
      <c r="D720" s="537"/>
      <c r="E720" s="2474"/>
      <c r="F720" s="2474"/>
      <c r="G720" s="2474"/>
      <c r="H720" s="2474"/>
      <c r="I720" s="2474"/>
      <c r="J720" s="2474"/>
      <c r="K720" s="2474"/>
      <c r="L720" s="2474"/>
      <c r="M720" s="2474"/>
      <c r="N720" s="2474"/>
      <c r="O720" s="2474"/>
      <c r="P720" s="2474"/>
      <c r="Q720" s="2474"/>
      <c r="R720" s="2474"/>
      <c r="S720" s="2474"/>
      <c r="T720" s="2474"/>
      <c r="U720" s="2474"/>
      <c r="V720" s="2474"/>
      <c r="W720" s="2474"/>
      <c r="X720" s="2474"/>
      <c r="Y720" s="2474"/>
      <c r="Z720" s="2474"/>
      <c r="AA720" s="2474"/>
      <c r="AB720" s="2474"/>
      <c r="AC720" s="537"/>
      <c r="AD720" s="537"/>
      <c r="AE720" s="537"/>
      <c r="AF720" s="537"/>
      <c r="AG720" s="537"/>
      <c r="AH720" s="537"/>
      <c r="AI720" s="537"/>
      <c r="AJ720" s="537"/>
      <c r="AK720" s="537"/>
      <c r="AL720" s="537"/>
      <c r="AM720" s="551"/>
      <c r="AN720" s="685"/>
      <c r="AP720" s="551" t="s">
        <v>591</v>
      </c>
      <c r="AQ720" s="674">
        <v>0</v>
      </c>
    </row>
    <row r="721" spans="1:81" s="571" customFormat="1" ht="13.9" customHeight="1">
      <c r="A721" s="551"/>
      <c r="B721" s="537"/>
      <c r="C721" s="934"/>
      <c r="D721" s="537"/>
      <c r="E721" s="2474"/>
      <c r="F721" s="2474"/>
      <c r="G721" s="2474"/>
      <c r="H721" s="2474"/>
      <c r="I721" s="2474"/>
      <c r="J721" s="2474"/>
      <c r="K721" s="2474"/>
      <c r="L721" s="2474"/>
      <c r="M721" s="2474"/>
      <c r="N721" s="2474"/>
      <c r="O721" s="2474"/>
      <c r="P721" s="2474"/>
      <c r="Q721" s="2474"/>
      <c r="R721" s="2474"/>
      <c r="S721" s="2474"/>
      <c r="T721" s="2474"/>
      <c r="U721" s="2474"/>
      <c r="V721" s="2474"/>
      <c r="W721" s="2474"/>
      <c r="X721" s="2474"/>
      <c r="Y721" s="2474"/>
      <c r="Z721" s="2474"/>
      <c r="AA721" s="2474"/>
      <c r="AB721" s="2474"/>
      <c r="AC721" s="537"/>
      <c r="AD721" s="537"/>
      <c r="AE721" s="537"/>
      <c r="AF721" s="537"/>
      <c r="AG721" s="537"/>
      <c r="AH721" s="537"/>
      <c r="AI721" s="537"/>
      <c r="AJ721" s="537"/>
      <c r="AK721" s="537"/>
      <c r="AL721" s="537"/>
      <c r="AM721" s="551"/>
      <c r="AN721" s="685"/>
      <c r="AP721" s="612" t="s">
        <v>687</v>
      </c>
      <c r="AQ721" s="551">
        <v>3</v>
      </c>
    </row>
    <row r="722" spans="1:81" s="571" customFormat="1" ht="13.9" customHeight="1">
      <c r="A722" s="551"/>
      <c r="B722" s="537"/>
      <c r="C722" s="934"/>
      <c r="D722" s="537"/>
      <c r="E722" s="951"/>
      <c r="F722" s="951"/>
      <c r="G722" s="951"/>
      <c r="H722" s="951"/>
      <c r="I722" s="951"/>
      <c r="J722" s="951"/>
      <c r="K722" s="951"/>
      <c r="L722" s="951"/>
      <c r="M722" s="951"/>
      <c r="N722" s="951"/>
      <c r="O722" s="951"/>
      <c r="P722" s="951"/>
      <c r="Q722" s="951"/>
      <c r="R722" s="951"/>
      <c r="S722" s="951"/>
      <c r="T722" s="951"/>
      <c r="U722" s="951"/>
      <c r="V722" s="951"/>
      <c r="W722" s="951"/>
      <c r="X722" s="951"/>
      <c r="Y722" s="951"/>
      <c r="Z722" s="951"/>
      <c r="AA722" s="951"/>
      <c r="AB722" s="951"/>
      <c r="AC722" s="537"/>
      <c r="AD722" s="537"/>
      <c r="AE722" s="537"/>
      <c r="AF722" s="537"/>
      <c r="AG722" s="537"/>
      <c r="AH722" s="537"/>
      <c r="AI722" s="537"/>
      <c r="AJ722" s="537"/>
      <c r="AK722" s="537"/>
      <c r="AL722" s="537"/>
      <c r="AM722" s="551"/>
      <c r="AN722" s="685"/>
      <c r="AP722" s="612" t="s">
        <v>509</v>
      </c>
      <c r="AQ722" s="551">
        <v>2</v>
      </c>
    </row>
    <row r="723" spans="1:81" s="571" customFormat="1" ht="13.9" customHeight="1">
      <c r="A723" s="551"/>
      <c r="B723" s="537"/>
      <c r="C723" s="934"/>
      <c r="D723" s="537" t="s">
        <v>1399</v>
      </c>
      <c r="E723" s="937"/>
      <c r="F723" s="937"/>
      <c r="G723" s="937"/>
      <c r="H723" s="2465" t="s">
        <v>591</v>
      </c>
      <c r="I723" s="2465"/>
      <c r="J723" s="951"/>
      <c r="K723" s="951"/>
      <c r="L723" s="951"/>
      <c r="M723" s="951"/>
      <c r="N723" s="951"/>
      <c r="O723" s="951"/>
      <c r="P723" s="951"/>
      <c r="Q723" s="951"/>
      <c r="R723" s="951"/>
      <c r="S723" s="951"/>
      <c r="T723" s="951"/>
      <c r="U723" s="951"/>
      <c r="V723" s="951"/>
      <c r="W723" s="951"/>
      <c r="X723" s="951"/>
      <c r="Y723" s="951"/>
      <c r="Z723" s="951"/>
      <c r="AA723" s="951"/>
      <c r="AB723" s="951"/>
      <c r="AC723" s="537"/>
      <c r="AD723" s="537"/>
      <c r="AE723" s="537"/>
      <c r="AF723" s="537"/>
      <c r="AG723" s="537"/>
      <c r="AH723" s="537"/>
      <c r="AI723" s="537"/>
      <c r="AJ723" s="537"/>
      <c r="AK723" s="537"/>
      <c r="AL723" s="537"/>
      <c r="AM723" s="551"/>
      <c r="AN723" s="685"/>
    </row>
    <row r="724" spans="1:81" s="571" customFormat="1" ht="14.25" customHeight="1">
      <c r="A724" s="551"/>
      <c r="B724" s="537"/>
      <c r="C724" s="934"/>
      <c r="D724" s="537"/>
      <c r="E724" s="951"/>
      <c r="F724" s="951"/>
      <c r="G724" s="951"/>
      <c r="H724" s="951"/>
      <c r="I724" s="951"/>
      <c r="J724" s="951"/>
      <c r="K724" s="951"/>
      <c r="L724" s="951"/>
      <c r="M724" s="951"/>
      <c r="N724" s="951"/>
      <c r="O724" s="951"/>
      <c r="P724" s="951"/>
      <c r="Q724" s="951"/>
      <c r="R724" s="951"/>
      <c r="S724" s="951"/>
      <c r="T724" s="951"/>
      <c r="U724" s="951"/>
      <c r="V724" s="951"/>
      <c r="W724" s="951"/>
      <c r="X724" s="951"/>
      <c r="Y724" s="951"/>
      <c r="Z724" s="951"/>
      <c r="AA724" s="951"/>
      <c r="AB724" s="951"/>
      <c r="AC724" s="537"/>
      <c r="AD724" s="537"/>
      <c r="AE724" s="537"/>
      <c r="AF724" s="537"/>
      <c r="AG724" s="537"/>
      <c r="AH724" s="537"/>
      <c r="AI724" s="537"/>
      <c r="AJ724" s="537"/>
      <c r="AK724" s="537"/>
      <c r="AL724" s="537"/>
      <c r="AM724" s="551"/>
      <c r="AN724" s="685"/>
    </row>
    <row r="725" spans="1:81" s="571" customFormat="1" ht="12.75" customHeight="1">
      <c r="A725" s="607"/>
      <c r="B725" s="602"/>
      <c r="C725" s="939"/>
      <c r="D725" s="602"/>
      <c r="E725" s="602"/>
      <c r="F725" s="602"/>
      <c r="G725" s="602"/>
      <c r="H725" s="602"/>
      <c r="I725" s="602"/>
      <c r="J725" s="952"/>
      <c r="K725" s="952"/>
      <c r="L725" s="952"/>
      <c r="M725" s="952"/>
      <c r="N725" s="952"/>
      <c r="O725" s="952"/>
      <c r="P725" s="952"/>
      <c r="Q725" s="952"/>
      <c r="R725" s="952"/>
      <c r="S725" s="952"/>
      <c r="T725" s="952"/>
      <c r="U725" s="666"/>
      <c r="V725" s="666"/>
      <c r="W725" s="666"/>
      <c r="X725" s="666"/>
      <c r="Y725" s="940"/>
      <c r="Z725" s="940"/>
      <c r="AA725" s="940"/>
      <c r="AB725" s="602"/>
      <c r="AC725" s="602"/>
      <c r="AD725" s="602"/>
      <c r="AE725" s="602"/>
      <c r="AF725" s="602"/>
      <c r="AG725" s="602"/>
      <c r="AH725" s="602"/>
      <c r="AI725" s="566" t="s">
        <v>1436</v>
      </c>
      <c r="AJ725" s="2416">
        <f>VLOOKUP($H$723,$AP$720:$AQ$722,2,FALSE)</f>
        <v>0</v>
      </c>
      <c r="AK725" s="2418"/>
      <c r="AL725" s="596"/>
      <c r="AM725" s="551"/>
      <c r="AN725" s="685"/>
      <c r="AP725" s="2416"/>
      <c r="AQ725" s="2418"/>
    </row>
    <row r="726" spans="1:81" s="571" customFormat="1">
      <c r="A726" s="551"/>
      <c r="B726" s="611"/>
      <c r="C726" s="932"/>
      <c r="D726" s="936"/>
      <c r="E726" s="617"/>
      <c r="F726" s="617"/>
      <c r="G726" s="617"/>
      <c r="H726" s="617"/>
      <c r="I726" s="617"/>
      <c r="J726" s="617"/>
      <c r="K726" s="617"/>
      <c r="L726" s="617"/>
      <c r="M726" s="617"/>
      <c r="N726" s="617"/>
      <c r="O726" s="617"/>
      <c r="P726" s="617"/>
      <c r="Q726" s="617"/>
      <c r="R726" s="617"/>
      <c r="S726" s="617"/>
      <c r="T726" s="617"/>
      <c r="U726" s="617"/>
      <c r="V726" s="617"/>
      <c r="W726" s="617"/>
      <c r="X726" s="617"/>
      <c r="Y726" s="617"/>
      <c r="Z726" s="617"/>
      <c r="AA726" s="617"/>
      <c r="AB726" s="617"/>
      <c r="AC726" s="537"/>
      <c r="AD726" s="537"/>
      <c r="AE726" s="537"/>
      <c r="AF726" s="537"/>
      <c r="AG726" s="537"/>
      <c r="AH726" s="537"/>
      <c r="AI726" s="537"/>
      <c r="AJ726" s="537"/>
      <c r="AK726" s="537"/>
      <c r="AL726" s="537"/>
      <c r="AM726" s="551"/>
      <c r="AN726" s="685"/>
      <c r="AT726" s="14"/>
      <c r="AU726" s="14"/>
      <c r="AV726" s="14"/>
      <c r="AW726" s="14"/>
      <c r="AX726" s="14"/>
      <c r="AY726" s="14"/>
      <c r="AZ726" s="14"/>
    </row>
    <row r="727" spans="1:81" s="571" customFormat="1">
      <c r="A727" s="551"/>
      <c r="B727" s="537"/>
      <c r="C727" s="540" t="s">
        <v>1437</v>
      </c>
      <c r="D727" s="953"/>
      <c r="E727" s="617"/>
      <c r="F727" s="617"/>
      <c r="G727" s="617"/>
      <c r="H727" s="617"/>
      <c r="I727" s="617"/>
      <c r="J727" s="617"/>
      <c r="K727" s="617"/>
      <c r="L727" s="617"/>
      <c r="M727" s="617"/>
      <c r="N727" s="617"/>
      <c r="O727" s="617"/>
      <c r="P727" s="617"/>
      <c r="Q727" s="617"/>
      <c r="R727" s="617"/>
      <c r="S727" s="617"/>
      <c r="T727" s="617"/>
      <c r="U727" s="617"/>
      <c r="V727" s="617"/>
      <c r="W727" s="617"/>
      <c r="X727" s="617"/>
      <c r="Y727" s="617"/>
      <c r="Z727" s="617"/>
      <c r="AA727" s="617"/>
      <c r="AB727" s="617"/>
      <c r="AC727" s="537"/>
      <c r="AD727" s="537"/>
      <c r="AE727" s="537"/>
      <c r="AF727" s="537"/>
      <c r="AG727" s="537"/>
      <c r="AH727" s="537"/>
      <c r="AI727" s="537"/>
      <c r="AJ727" s="537"/>
      <c r="AK727" s="537"/>
      <c r="AL727" s="537"/>
      <c r="AM727" s="551"/>
      <c r="AN727" s="685"/>
      <c r="AT727" s="14"/>
      <c r="AU727" s="14"/>
      <c r="AV727" s="14"/>
      <c r="AW727" s="14"/>
      <c r="AX727" s="14"/>
      <c r="AY727" s="14"/>
      <c r="AZ727" s="14"/>
    </row>
    <row r="728" spans="1:81" s="571" customFormat="1">
      <c r="A728" s="551"/>
      <c r="B728" s="611"/>
      <c r="C728" s="932"/>
      <c r="D728" s="936"/>
      <c r="E728" s="617"/>
      <c r="F728" s="617"/>
      <c r="G728" s="617"/>
      <c r="H728" s="617"/>
      <c r="I728" s="617"/>
      <c r="J728" s="617"/>
      <c r="K728" s="617"/>
      <c r="L728" s="617"/>
      <c r="M728" s="617"/>
      <c r="N728" s="617"/>
      <c r="O728" s="617"/>
      <c r="P728" s="617"/>
      <c r="Q728" s="617"/>
      <c r="R728" s="617"/>
      <c r="S728" s="617"/>
      <c r="T728" s="617"/>
      <c r="U728" s="617"/>
      <c r="V728" s="617"/>
      <c r="W728" s="617"/>
      <c r="X728" s="617"/>
      <c r="Y728" s="617"/>
      <c r="Z728" s="617"/>
      <c r="AA728" s="617"/>
      <c r="AB728" s="617"/>
      <c r="AC728" s="537"/>
      <c r="AD728" s="537"/>
      <c r="AE728" s="537"/>
      <c r="AF728" s="537"/>
      <c r="AG728" s="537"/>
      <c r="AH728" s="537"/>
      <c r="AI728" s="537"/>
      <c r="AJ728" s="537"/>
      <c r="AK728" s="537"/>
      <c r="AL728" s="537"/>
      <c r="AM728" s="551"/>
      <c r="AN728" s="685"/>
      <c r="AT728" s="14"/>
      <c r="AU728" s="14"/>
      <c r="AV728" s="14"/>
      <c r="AW728" s="14"/>
      <c r="AX728" s="14"/>
      <c r="AY728" s="14"/>
      <c r="AZ728" s="14"/>
    </row>
    <row r="729" spans="1:81" s="571" customFormat="1">
      <c r="A729" s="551"/>
      <c r="B729" s="537"/>
      <c r="C729" s="932"/>
      <c r="D729" s="664" t="s">
        <v>687</v>
      </c>
      <c r="E729" s="2436" t="s">
        <v>1695</v>
      </c>
      <c r="F729" s="2436"/>
      <c r="G729" s="2436"/>
      <c r="H729" s="2436"/>
      <c r="I729" s="2436"/>
      <c r="J729" s="2436"/>
      <c r="K729" s="2436"/>
      <c r="L729" s="2436"/>
      <c r="M729" s="2436"/>
      <c r="N729" s="2436"/>
      <c r="O729" s="2436"/>
      <c r="P729" s="2436"/>
      <c r="Q729" s="2436"/>
      <c r="R729" s="2436"/>
      <c r="S729" s="2436"/>
      <c r="T729" s="2436"/>
      <c r="U729" s="2436"/>
      <c r="V729" s="2436"/>
      <c r="W729" s="2436"/>
      <c r="X729" s="2436"/>
      <c r="Y729" s="2436"/>
      <c r="Z729" s="2436"/>
      <c r="AA729" s="2436"/>
      <c r="AB729" s="2436"/>
      <c r="AC729" s="537"/>
      <c r="AD729" s="537"/>
      <c r="AE729" s="537"/>
      <c r="AF729" s="2381" t="s">
        <v>1351</v>
      </c>
      <c r="AG729" s="2381"/>
      <c r="AH729" s="2381"/>
      <c r="AI729" s="2381"/>
      <c r="AJ729" s="2381"/>
      <c r="AK729" s="2381"/>
      <c r="AL729" s="2381"/>
      <c r="AM729" s="551"/>
      <c r="AN729" s="685"/>
      <c r="AT729" s="14"/>
      <c r="AU729" s="14"/>
      <c r="AV729" s="14"/>
      <c r="AW729" s="14"/>
      <c r="AX729" s="14"/>
      <c r="AY729" s="14"/>
      <c r="AZ729" s="14"/>
    </row>
    <row r="730" spans="1:81" s="571" customFormat="1">
      <c r="A730" s="551"/>
      <c r="B730" s="537"/>
      <c r="C730" s="934"/>
      <c r="D730" s="664"/>
      <c r="E730" s="2436"/>
      <c r="F730" s="2436"/>
      <c r="G730" s="2436"/>
      <c r="H730" s="2436"/>
      <c r="I730" s="2436"/>
      <c r="J730" s="2436"/>
      <c r="K730" s="2436"/>
      <c r="L730" s="2436"/>
      <c r="M730" s="2436"/>
      <c r="N730" s="2436"/>
      <c r="O730" s="2436"/>
      <c r="P730" s="2436"/>
      <c r="Q730" s="2436"/>
      <c r="R730" s="2436"/>
      <c r="S730" s="2436"/>
      <c r="T730" s="2436"/>
      <c r="U730" s="2436"/>
      <c r="V730" s="2436"/>
      <c r="W730" s="2436"/>
      <c r="X730" s="2436"/>
      <c r="Y730" s="2436"/>
      <c r="Z730" s="2436"/>
      <c r="AA730" s="2436"/>
      <c r="AB730" s="2436"/>
      <c r="AC730" s="537"/>
      <c r="AD730" s="537"/>
      <c r="AE730" s="537"/>
      <c r="AF730" s="537"/>
      <c r="AG730" s="537"/>
      <c r="AH730" s="537"/>
      <c r="AI730" s="537"/>
      <c r="AJ730" s="537"/>
      <c r="AK730" s="537"/>
      <c r="AL730" s="537"/>
      <c r="AM730" s="551"/>
      <c r="AN730" s="685"/>
      <c r="AT730" s="14"/>
      <c r="AU730" s="14"/>
      <c r="AV730" s="14"/>
      <c r="AW730" s="14"/>
      <c r="AX730" s="14"/>
      <c r="AY730" s="14"/>
      <c r="AZ730" s="14"/>
    </row>
    <row r="731" spans="1:81" s="571" customFormat="1">
      <c r="A731" s="551"/>
      <c r="B731" s="611"/>
      <c r="C731" s="932"/>
      <c r="D731" s="664"/>
      <c r="E731" s="617"/>
      <c r="F731" s="617"/>
      <c r="G731" s="617"/>
      <c r="H731" s="617"/>
      <c r="I731" s="617"/>
      <c r="J731" s="617"/>
      <c r="K731" s="617"/>
      <c r="L731" s="617"/>
      <c r="M731" s="617"/>
      <c r="N731" s="617"/>
      <c r="O731" s="617"/>
      <c r="P731" s="617"/>
      <c r="Q731" s="617"/>
      <c r="R731" s="617"/>
      <c r="S731" s="617"/>
      <c r="T731" s="617"/>
      <c r="U731" s="617"/>
      <c r="V731" s="617"/>
      <c r="W731" s="617"/>
      <c r="X731" s="617"/>
      <c r="Y731" s="617"/>
      <c r="Z731" s="617"/>
      <c r="AA731" s="617"/>
      <c r="AB731" s="617"/>
      <c r="AC731" s="537"/>
      <c r="AD731" s="537"/>
      <c r="AE731" s="537"/>
      <c r="AF731" s="537"/>
      <c r="AG731" s="537"/>
      <c r="AH731" s="537"/>
      <c r="AI731" s="537"/>
      <c r="AJ731" s="537"/>
      <c r="AK731" s="537"/>
      <c r="AL731" s="537"/>
      <c r="AM731" s="551"/>
      <c r="AN731" s="685"/>
      <c r="AT731" s="14"/>
      <c r="AU731" s="14"/>
      <c r="AV731" s="14"/>
      <c r="AW731" s="14"/>
      <c r="AX731" s="14"/>
      <c r="AY731" s="14"/>
      <c r="AZ731" s="14"/>
    </row>
    <row r="732" spans="1:81" s="571" customFormat="1" ht="12.75" customHeight="1">
      <c r="A732" s="551"/>
      <c r="B732" s="537"/>
      <c r="C732" s="932"/>
      <c r="D732" s="664" t="s">
        <v>509</v>
      </c>
      <c r="E732" s="2436" t="s">
        <v>1438</v>
      </c>
      <c r="F732" s="2436"/>
      <c r="G732" s="2436"/>
      <c r="H732" s="2436"/>
      <c r="I732" s="2436"/>
      <c r="J732" s="2436"/>
      <c r="K732" s="2436"/>
      <c r="L732" s="2436"/>
      <c r="M732" s="2436"/>
      <c r="N732" s="2436"/>
      <c r="O732" s="2436"/>
      <c r="P732" s="2436"/>
      <c r="Q732" s="2436"/>
      <c r="R732" s="2436"/>
      <c r="S732" s="2436"/>
      <c r="T732" s="2436"/>
      <c r="U732" s="2436"/>
      <c r="V732" s="2436"/>
      <c r="W732" s="2436"/>
      <c r="X732" s="2436"/>
      <c r="Y732" s="2436"/>
      <c r="Z732" s="2436"/>
      <c r="AA732" s="2436"/>
      <c r="AB732" s="2436"/>
      <c r="AC732" s="537"/>
      <c r="AD732" s="537"/>
      <c r="AE732" s="537"/>
      <c r="AF732" s="2381" t="s">
        <v>1407</v>
      </c>
      <c r="AG732" s="2381"/>
      <c r="AH732" s="2381"/>
      <c r="AI732" s="2381"/>
      <c r="AJ732" s="2381"/>
      <c r="AK732" s="2381"/>
      <c r="AL732" s="2381"/>
      <c r="AM732" s="551"/>
      <c r="AN732" s="685"/>
      <c r="AT732" s="14"/>
      <c r="AU732" s="14"/>
      <c r="AV732" s="14"/>
      <c r="AW732" s="14"/>
      <c r="AX732" s="14"/>
      <c r="AY732" s="14"/>
      <c r="AZ732" s="14"/>
    </row>
    <row r="733" spans="1:81" s="571" customFormat="1">
      <c r="A733" s="551"/>
      <c r="B733" s="537"/>
      <c r="C733" s="934"/>
      <c r="D733" s="537"/>
      <c r="E733" s="2436"/>
      <c r="F733" s="2436"/>
      <c r="G733" s="2436"/>
      <c r="H733" s="2436"/>
      <c r="I733" s="2436"/>
      <c r="J733" s="2436"/>
      <c r="K733" s="2436"/>
      <c r="L733" s="2436"/>
      <c r="M733" s="2436"/>
      <c r="N733" s="2436"/>
      <c r="O733" s="2436"/>
      <c r="P733" s="2436"/>
      <c r="Q733" s="2436"/>
      <c r="R733" s="2436"/>
      <c r="S733" s="2436"/>
      <c r="T733" s="2436"/>
      <c r="U733" s="2436"/>
      <c r="V733" s="2436"/>
      <c r="W733" s="2436"/>
      <c r="X733" s="2436"/>
      <c r="Y733" s="2436"/>
      <c r="Z733" s="2436"/>
      <c r="AA733" s="2436"/>
      <c r="AB733" s="2436"/>
      <c r="AC733" s="537"/>
      <c r="AD733" s="537"/>
      <c r="AE733" s="537"/>
      <c r="AF733" s="537"/>
      <c r="AG733" s="537"/>
      <c r="AH733" s="537"/>
      <c r="AI733" s="537"/>
      <c r="AJ733" s="537"/>
      <c r="AK733" s="537"/>
      <c r="AL733" s="537"/>
      <c r="AM733" s="551"/>
      <c r="AN733" s="685"/>
      <c r="AT733" s="14"/>
      <c r="AU733" s="14"/>
      <c r="AV733" s="14"/>
      <c r="AW733" s="14"/>
      <c r="AX733" s="14"/>
      <c r="AY733" s="14"/>
      <c r="AZ733" s="14"/>
    </row>
    <row r="734" spans="1:81" s="571" customFormat="1">
      <c r="A734" s="551"/>
      <c r="B734" s="537"/>
      <c r="C734" s="934"/>
      <c r="D734" s="537"/>
      <c r="E734" s="644"/>
      <c r="F734" s="644"/>
      <c r="G734" s="644"/>
      <c r="H734" s="644"/>
      <c r="I734" s="644"/>
      <c r="J734" s="644"/>
      <c r="K734" s="644"/>
      <c r="L734" s="644"/>
      <c r="M734" s="644"/>
      <c r="N734" s="644"/>
      <c r="O734" s="644"/>
      <c r="P734" s="644"/>
      <c r="Q734" s="644"/>
      <c r="R734" s="644"/>
      <c r="S734" s="644"/>
      <c r="T734" s="644"/>
      <c r="U734" s="644"/>
      <c r="V734" s="644"/>
      <c r="W734" s="644"/>
      <c r="X734" s="644"/>
      <c r="Y734" s="644"/>
      <c r="Z734" s="644"/>
      <c r="AA734" s="644"/>
      <c r="AB734" s="644"/>
      <c r="AC734" s="537"/>
      <c r="AD734" s="537"/>
      <c r="AE734" s="537"/>
      <c r="AF734" s="537"/>
      <c r="AG734" s="537"/>
      <c r="AH734" s="537"/>
      <c r="AI734" s="537"/>
      <c r="AJ734" s="537"/>
      <c r="AK734" s="537"/>
      <c r="AL734" s="537"/>
      <c r="AM734" s="551"/>
      <c r="AN734" s="685"/>
      <c r="AT734" s="14"/>
      <c r="AU734" s="14"/>
      <c r="AV734" s="14"/>
      <c r="AW734" s="14"/>
      <c r="AX734" s="14"/>
      <c r="AY734" s="14"/>
      <c r="AZ734" s="14"/>
    </row>
    <row r="735" spans="1:81" s="571" customFormat="1" ht="12.75" customHeight="1">
      <c r="A735" s="551"/>
      <c r="B735" s="537"/>
      <c r="C735" s="934"/>
      <c r="D735" s="537" t="s">
        <v>1399</v>
      </c>
      <c r="E735" s="937"/>
      <c r="F735" s="937"/>
      <c r="G735" s="937"/>
      <c r="H735" s="2465" t="s">
        <v>591</v>
      </c>
      <c r="I735" s="2465"/>
      <c r="J735" s="644"/>
      <c r="K735" s="644"/>
      <c r="L735" s="644"/>
      <c r="M735" s="644"/>
      <c r="N735" s="644"/>
      <c r="O735" s="644"/>
      <c r="P735" s="644"/>
      <c r="Q735" s="644"/>
      <c r="R735" s="644"/>
      <c r="S735" s="644"/>
      <c r="T735" s="644"/>
      <c r="U735" s="644"/>
      <c r="V735" s="644"/>
      <c r="W735" s="644"/>
      <c r="X735" s="644"/>
      <c r="Y735" s="644"/>
      <c r="Z735" s="644"/>
      <c r="AA735" s="644"/>
      <c r="AB735" s="644"/>
      <c r="AC735" s="537"/>
      <c r="AD735" s="537"/>
      <c r="AE735" s="537"/>
      <c r="AF735" s="537"/>
      <c r="AG735" s="537"/>
      <c r="AH735" s="537"/>
      <c r="AI735" s="537"/>
      <c r="AJ735" s="537"/>
      <c r="AK735" s="537"/>
      <c r="AL735" s="537"/>
      <c r="AM735" s="551"/>
      <c r="AN735" s="685"/>
      <c r="AT735" s="14"/>
      <c r="AU735" s="14"/>
      <c r="AV735" s="14"/>
      <c r="AW735" s="14"/>
      <c r="AX735" s="14"/>
      <c r="AY735" s="14"/>
      <c r="AZ735" s="14"/>
    </row>
    <row r="736" spans="1:81" s="571" customFormat="1">
      <c r="A736" s="551"/>
      <c r="B736" s="537"/>
      <c r="C736" s="934"/>
      <c r="D736" s="537"/>
      <c r="E736" s="644"/>
      <c r="F736" s="644"/>
      <c r="G736" s="644"/>
      <c r="H736" s="644"/>
      <c r="I736" s="644"/>
      <c r="J736" s="644"/>
      <c r="K736" s="644"/>
      <c r="L736" s="644"/>
      <c r="M736" s="644"/>
      <c r="N736" s="644"/>
      <c r="O736" s="644"/>
      <c r="P736" s="644"/>
      <c r="Q736" s="644"/>
      <c r="R736" s="644"/>
      <c r="S736" s="644"/>
      <c r="T736" s="644"/>
      <c r="U736" s="644"/>
      <c r="V736" s="644"/>
      <c r="W736" s="644"/>
      <c r="X736" s="644"/>
      <c r="Y736" s="644"/>
      <c r="Z736" s="644"/>
      <c r="AA736" s="644"/>
      <c r="AB736" s="644"/>
      <c r="AC736" s="537"/>
      <c r="AD736" s="537"/>
      <c r="AE736" s="537"/>
      <c r="AF736" s="537"/>
      <c r="AG736" s="537"/>
      <c r="AH736" s="537"/>
      <c r="AI736" s="537"/>
      <c r="AJ736" s="537"/>
      <c r="AK736" s="537"/>
      <c r="AL736" s="537"/>
      <c r="AM736" s="551"/>
      <c r="AN736" s="685"/>
      <c r="AS736" s="14"/>
      <c r="AT736" s="14"/>
      <c r="AU736" s="14"/>
      <c r="AV736" s="14"/>
      <c r="AW736" s="14"/>
      <c r="AX736" s="14"/>
      <c r="AY736" s="14"/>
      <c r="AZ736" s="14"/>
      <c r="BA736" s="14"/>
      <c r="BB736" s="14"/>
      <c r="BC736" s="14"/>
      <c r="BD736" s="32"/>
      <c r="BE736" s="32"/>
      <c r="BF736" s="32"/>
      <c r="BG736" s="32"/>
      <c r="BH736" s="32"/>
      <c r="BI736" s="14"/>
      <c r="BJ736" s="14"/>
      <c r="BK736" s="14"/>
      <c r="BL736" s="14"/>
      <c r="BM736" s="14"/>
      <c r="BN736" s="14"/>
      <c r="BO736" s="14"/>
      <c r="BP736" s="14"/>
      <c r="BQ736" s="14"/>
      <c r="BR736" s="14"/>
      <c r="BS736" s="14"/>
      <c r="BT736" s="14"/>
      <c r="BU736" s="14"/>
      <c r="BV736" s="14"/>
      <c r="BW736" s="14"/>
      <c r="BX736" s="14"/>
      <c r="BY736" s="14"/>
      <c r="BZ736" s="14"/>
      <c r="CA736" s="14"/>
      <c r="CB736" s="14"/>
      <c r="CC736" s="14"/>
    </row>
    <row r="737" spans="1:81" s="571" customFormat="1">
      <c r="A737" s="607"/>
      <c r="B737" s="602"/>
      <c r="C737" s="939"/>
      <c r="D737" s="602"/>
      <c r="E737" s="950"/>
      <c r="F737" s="950"/>
      <c r="G737" s="950"/>
      <c r="H737" s="950"/>
      <c r="I737" s="950"/>
      <c r="J737" s="950"/>
      <c r="K737" s="950"/>
      <c r="L737" s="950"/>
      <c r="M737" s="950"/>
      <c r="N737" s="950"/>
      <c r="O737" s="950"/>
      <c r="P737" s="950"/>
      <c r="Q737" s="950"/>
      <c r="R737" s="950"/>
      <c r="S737" s="950"/>
      <c r="T737" s="950"/>
      <c r="U737" s="950"/>
      <c r="V737" s="666"/>
      <c r="W737" s="666"/>
      <c r="X737" s="666"/>
      <c r="Y737" s="940"/>
      <c r="Z737" s="940"/>
      <c r="AA737" s="940"/>
      <c r="AB737" s="602"/>
      <c r="AC737" s="602"/>
      <c r="AD737" s="602"/>
      <c r="AE737" s="602"/>
      <c r="AF737" s="602"/>
      <c r="AG737" s="602"/>
      <c r="AH737" s="602"/>
      <c r="AI737" s="566" t="s">
        <v>1439</v>
      </c>
      <c r="AJ737" s="2416">
        <f>VLOOKUP($H$735,$AO$666:$AP$668,2,FALSE)</f>
        <v>0</v>
      </c>
      <c r="AK737" s="2418"/>
      <c r="AL737" s="596"/>
      <c r="AM737" s="551"/>
      <c r="AN737" s="685"/>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c r="BW737" s="14"/>
      <c r="BX737" s="14"/>
      <c r="BY737" s="14"/>
      <c r="BZ737" s="14"/>
      <c r="CA737" s="14"/>
      <c r="CB737" s="14"/>
      <c r="CC737" s="14"/>
    </row>
    <row r="738" spans="1:81" s="571" customFormat="1" ht="12.75" customHeight="1">
      <c r="A738" s="551"/>
      <c r="B738" s="537"/>
      <c r="C738" s="934"/>
      <c r="D738" s="537"/>
      <c r="E738" s="537"/>
      <c r="F738" s="537"/>
      <c r="G738" s="537"/>
      <c r="H738" s="537"/>
      <c r="I738" s="537"/>
      <c r="J738" s="644"/>
      <c r="K738" s="644"/>
      <c r="L738" s="644"/>
      <c r="M738" s="644"/>
      <c r="N738" s="537"/>
      <c r="O738" s="537"/>
      <c r="P738" s="537"/>
      <c r="Q738" s="537"/>
      <c r="R738" s="537"/>
      <c r="S738" s="537"/>
      <c r="T738" s="537"/>
      <c r="U738" s="537"/>
      <c r="V738" s="537"/>
      <c r="W738" s="537"/>
      <c r="X738" s="537"/>
      <c r="Y738" s="537"/>
      <c r="Z738" s="537"/>
      <c r="AA738" s="537"/>
      <c r="AB738" s="537"/>
      <c r="AC738" s="537"/>
      <c r="AD738" s="537"/>
      <c r="AE738" s="537"/>
      <c r="AF738" s="537"/>
      <c r="AG738" s="537"/>
      <c r="AH738" s="537"/>
      <c r="AI738" s="537"/>
      <c r="AJ738" s="537"/>
      <c r="AK738" s="537"/>
      <c r="AL738" s="537"/>
      <c r="AM738" s="551"/>
      <c r="AN738" s="685"/>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c r="BW738" s="14"/>
      <c r="BX738" s="14"/>
      <c r="BY738" s="14"/>
      <c r="BZ738" s="14"/>
      <c r="CA738" s="14"/>
      <c r="CB738" s="14"/>
      <c r="CC738" s="14"/>
    </row>
    <row r="739" spans="1:81" s="571" customFormat="1" ht="12.75" customHeight="1">
      <c r="A739" s="551"/>
      <c r="B739" s="537"/>
      <c r="C739" s="540" t="s">
        <v>1440</v>
      </c>
      <c r="D739" s="537"/>
      <c r="E739" s="537"/>
      <c r="F739" s="537"/>
      <c r="G739" s="537"/>
      <c r="H739" s="537"/>
      <c r="I739" s="537"/>
      <c r="J739" s="537"/>
      <c r="K739" s="537"/>
      <c r="L739" s="537"/>
      <c r="M739" s="537"/>
      <c r="N739" s="537"/>
      <c r="O739" s="537"/>
      <c r="P739" s="537"/>
      <c r="Q739" s="537"/>
      <c r="R739" s="537"/>
      <c r="S739" s="537"/>
      <c r="T739" s="537"/>
      <c r="U739" s="537"/>
      <c r="V739" s="537"/>
      <c r="W739" s="537"/>
      <c r="X739" s="537"/>
      <c r="Y739" s="537"/>
      <c r="Z739" s="537"/>
      <c r="AA739" s="537"/>
      <c r="AB739" s="537"/>
      <c r="AC739" s="537"/>
      <c r="AD739" s="537"/>
      <c r="AE739" s="537"/>
      <c r="AF739" s="537"/>
      <c r="AG739" s="537"/>
      <c r="AH739" s="537"/>
      <c r="AI739" s="537"/>
      <c r="AJ739" s="537"/>
      <c r="AK739" s="537"/>
      <c r="AL739" s="537"/>
      <c r="AM739" s="551"/>
      <c r="AN739" s="685"/>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c r="BW739" s="14"/>
      <c r="BX739" s="14"/>
      <c r="BY739" s="14"/>
      <c r="BZ739" s="14"/>
      <c r="CA739" s="14"/>
      <c r="CB739" s="14"/>
      <c r="CC739" s="14"/>
    </row>
    <row r="740" spans="1:81" s="571" customFormat="1">
      <c r="A740" s="551"/>
      <c r="B740" s="611"/>
      <c r="C740" s="954"/>
      <c r="D740" s="611"/>
      <c r="E740" s="611"/>
      <c r="F740" s="537"/>
      <c r="G740" s="537"/>
      <c r="H740" s="611"/>
      <c r="I740" s="611"/>
      <c r="J740" s="611"/>
      <c r="K740" s="611"/>
      <c r="L740" s="611"/>
      <c r="M740" s="611"/>
      <c r="N740" s="611"/>
      <c r="O740" s="611"/>
      <c r="P740" s="611"/>
      <c r="Q740" s="611"/>
      <c r="R740" s="611"/>
      <c r="S740" s="611"/>
      <c r="T740" s="537"/>
      <c r="U740" s="537"/>
      <c r="V740" s="537"/>
      <c r="W740" s="537"/>
      <c r="X740" s="596"/>
      <c r="Y740" s="596"/>
      <c r="Z740" s="596"/>
      <c r="AA740" s="596"/>
      <c r="AB740" s="596"/>
      <c r="AC740" s="537"/>
      <c r="AD740" s="537"/>
      <c r="AE740" s="537"/>
      <c r="AF740" s="537"/>
      <c r="AG740" s="537"/>
      <c r="AH740" s="537"/>
      <c r="AI740" s="537"/>
      <c r="AJ740" s="537"/>
      <c r="AK740" s="537"/>
      <c r="AL740" s="537"/>
      <c r="AM740" s="551"/>
      <c r="AN740" s="685"/>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c r="BW740" s="14"/>
      <c r="BX740" s="14"/>
      <c r="BY740" s="14"/>
      <c r="BZ740" s="14"/>
      <c r="CA740" s="14"/>
      <c r="CB740" s="14"/>
      <c r="CC740" s="14"/>
    </row>
    <row r="741" spans="1:81" s="571" customFormat="1">
      <c r="A741" s="551"/>
      <c r="B741" s="537"/>
      <c r="C741" s="932"/>
      <c r="D741" s="664" t="s">
        <v>687</v>
      </c>
      <c r="E741" s="2436" t="s">
        <v>1441</v>
      </c>
      <c r="F741" s="2436"/>
      <c r="G741" s="2436"/>
      <c r="H741" s="2436"/>
      <c r="I741" s="2436"/>
      <c r="J741" s="2436"/>
      <c r="K741" s="2436"/>
      <c r="L741" s="2436"/>
      <c r="M741" s="2436"/>
      <c r="N741" s="2436"/>
      <c r="O741" s="2436"/>
      <c r="P741" s="2436"/>
      <c r="Q741" s="2436"/>
      <c r="R741" s="2436"/>
      <c r="S741" s="2436"/>
      <c r="T741" s="2436"/>
      <c r="U741" s="2436"/>
      <c r="V741" s="2436"/>
      <c r="W741" s="2436"/>
      <c r="X741" s="2436"/>
      <c r="Y741" s="2436"/>
      <c r="Z741" s="2436"/>
      <c r="AA741" s="2436"/>
      <c r="AB741" s="2436"/>
      <c r="AC741" s="537"/>
      <c r="AD741" s="537"/>
      <c r="AE741" s="537"/>
      <c r="AF741" s="2381" t="s">
        <v>1351</v>
      </c>
      <c r="AG741" s="2381"/>
      <c r="AH741" s="2381"/>
      <c r="AI741" s="2381"/>
      <c r="AJ741" s="2381"/>
      <c r="AK741" s="2381"/>
      <c r="AL741" s="2381"/>
      <c r="AM741" s="551"/>
      <c r="AN741" s="685"/>
      <c r="AT741" s="14"/>
      <c r="AU741" s="14"/>
      <c r="AV741" s="14"/>
      <c r="AW741" s="14"/>
      <c r="AX741" s="14"/>
      <c r="AY741" s="14"/>
      <c r="AZ741" s="14"/>
    </row>
    <row r="742" spans="1:81" s="571" customFormat="1">
      <c r="A742" s="551"/>
      <c r="B742" s="537"/>
      <c r="C742" s="932"/>
      <c r="D742" s="664"/>
      <c r="E742" s="2436"/>
      <c r="F742" s="2436"/>
      <c r="G742" s="2436"/>
      <c r="H742" s="2436"/>
      <c r="I742" s="2436"/>
      <c r="J742" s="2436"/>
      <c r="K742" s="2436"/>
      <c r="L742" s="2436"/>
      <c r="M742" s="2436"/>
      <c r="N742" s="2436"/>
      <c r="O742" s="2436"/>
      <c r="P742" s="2436"/>
      <c r="Q742" s="2436"/>
      <c r="R742" s="2436"/>
      <c r="S742" s="2436"/>
      <c r="T742" s="2436"/>
      <c r="U742" s="2436"/>
      <c r="V742" s="2436"/>
      <c r="W742" s="2436"/>
      <c r="X742" s="2436"/>
      <c r="Y742" s="2436"/>
      <c r="Z742" s="2436"/>
      <c r="AA742" s="2436"/>
      <c r="AB742" s="2436"/>
      <c r="AC742" s="537"/>
      <c r="AD742" s="537"/>
      <c r="AE742" s="537"/>
      <c r="AF742" s="595"/>
      <c r="AG742" s="595"/>
      <c r="AH742" s="595"/>
      <c r="AI742" s="595"/>
      <c r="AJ742" s="595"/>
      <c r="AK742" s="595"/>
      <c r="AL742" s="595"/>
      <c r="AM742" s="551"/>
      <c r="AN742" s="685"/>
      <c r="AT742" s="14"/>
      <c r="AU742" s="14"/>
      <c r="AV742" s="14"/>
      <c r="AW742" s="14"/>
      <c r="AX742" s="14"/>
      <c r="AY742" s="14"/>
      <c r="AZ742" s="14"/>
    </row>
    <row r="743" spans="1:81" s="571" customFormat="1">
      <c r="A743" s="551"/>
      <c r="B743" s="537"/>
      <c r="C743" s="934"/>
      <c r="D743" s="664"/>
      <c r="E743" s="2436"/>
      <c r="F743" s="2436"/>
      <c r="G743" s="2436"/>
      <c r="H743" s="2436"/>
      <c r="I743" s="2436"/>
      <c r="J743" s="2436"/>
      <c r="K743" s="2436"/>
      <c r="L743" s="2436"/>
      <c r="M743" s="2436"/>
      <c r="N743" s="2436"/>
      <c r="O743" s="2436"/>
      <c r="P743" s="2436"/>
      <c r="Q743" s="2436"/>
      <c r="R743" s="2436"/>
      <c r="S743" s="2436"/>
      <c r="T743" s="2436"/>
      <c r="U743" s="2436"/>
      <c r="V743" s="2436"/>
      <c r="W743" s="2436"/>
      <c r="X743" s="2436"/>
      <c r="Y743" s="2436"/>
      <c r="Z743" s="2436"/>
      <c r="AA743" s="2436"/>
      <c r="AB743" s="2436"/>
      <c r="AC743" s="537"/>
      <c r="AD743" s="537"/>
      <c r="AE743" s="537"/>
      <c r="AF743" s="537"/>
      <c r="AG743" s="537"/>
      <c r="AH743" s="537"/>
      <c r="AI743" s="537"/>
      <c r="AJ743" s="537"/>
      <c r="AK743" s="537"/>
      <c r="AL743" s="537"/>
      <c r="AM743" s="551"/>
      <c r="AN743" s="685"/>
    </row>
    <row r="744" spans="1:81" s="571" customFormat="1" ht="12.75" customHeight="1">
      <c r="A744" s="551"/>
      <c r="B744" s="537"/>
      <c r="C744" s="934"/>
      <c r="D744" s="664"/>
      <c r="E744" s="2436"/>
      <c r="F744" s="2436"/>
      <c r="G744" s="2436"/>
      <c r="H744" s="2436"/>
      <c r="I744" s="2436"/>
      <c r="J744" s="2436"/>
      <c r="K744" s="2436"/>
      <c r="L744" s="2436"/>
      <c r="M744" s="2436"/>
      <c r="N744" s="2436"/>
      <c r="O744" s="2436"/>
      <c r="P744" s="2436"/>
      <c r="Q744" s="2436"/>
      <c r="R744" s="2436"/>
      <c r="S744" s="2436"/>
      <c r="T744" s="2436"/>
      <c r="U744" s="2436"/>
      <c r="V744" s="2436"/>
      <c r="W744" s="2436"/>
      <c r="X744" s="2436"/>
      <c r="Y744" s="2436"/>
      <c r="Z744" s="2436"/>
      <c r="AA744" s="2436"/>
      <c r="AB744" s="2436"/>
      <c r="AC744" s="537"/>
      <c r="AD744" s="537"/>
      <c r="AE744" s="537"/>
      <c r="AF744" s="537"/>
      <c r="AG744" s="537"/>
      <c r="AH744" s="537"/>
      <c r="AI744" s="537"/>
      <c r="AJ744" s="537"/>
      <c r="AK744" s="537"/>
      <c r="AL744" s="537"/>
      <c r="AM744" s="551"/>
      <c r="AN744" s="535"/>
      <c r="AO744" s="14"/>
    </row>
    <row r="745" spans="1:81" s="571" customFormat="1">
      <c r="A745" s="680"/>
      <c r="B745" s="596"/>
      <c r="C745" s="932"/>
      <c r="D745" s="664"/>
      <c r="E745" s="947"/>
      <c r="F745" s="947"/>
      <c r="G745" s="947"/>
      <c r="H745" s="947"/>
      <c r="I745" s="947"/>
      <c r="J745" s="947"/>
      <c r="K745" s="947"/>
      <c r="L745" s="947"/>
      <c r="M745" s="947"/>
      <c r="N745" s="947"/>
      <c r="O745" s="947"/>
      <c r="P745" s="947"/>
      <c r="Q745" s="947"/>
      <c r="R745" s="947"/>
      <c r="S745" s="947"/>
      <c r="T745" s="947"/>
      <c r="U745" s="947"/>
      <c r="V745" s="947"/>
      <c r="W745" s="947"/>
      <c r="X745" s="947"/>
      <c r="Y745" s="947"/>
      <c r="Z745" s="947"/>
      <c r="AA745" s="947"/>
      <c r="AB745" s="947"/>
      <c r="AC745" s="537"/>
      <c r="AD745" s="537"/>
      <c r="AE745" s="537"/>
      <c r="AF745" s="537"/>
      <c r="AG745" s="537"/>
      <c r="AH745" s="537"/>
      <c r="AI745" s="537"/>
      <c r="AJ745" s="537"/>
      <c r="AK745" s="537"/>
      <c r="AL745" s="537"/>
      <c r="AM745" s="551"/>
      <c r="AN745" s="685"/>
      <c r="AO745" s="30"/>
      <c r="AP745" s="14"/>
    </row>
    <row r="746" spans="1:81" s="571" customFormat="1">
      <c r="A746" s="551"/>
      <c r="B746" s="537"/>
      <c r="C746" s="932"/>
      <c r="D746" s="664" t="s">
        <v>509</v>
      </c>
      <c r="E746" s="2436" t="s">
        <v>1442</v>
      </c>
      <c r="F746" s="2436"/>
      <c r="G746" s="2436"/>
      <c r="H746" s="2436"/>
      <c r="I746" s="2436"/>
      <c r="J746" s="2436"/>
      <c r="K746" s="2436"/>
      <c r="L746" s="2436"/>
      <c r="M746" s="2436"/>
      <c r="N746" s="2436"/>
      <c r="O746" s="2436"/>
      <c r="P746" s="2436"/>
      <c r="Q746" s="2436"/>
      <c r="R746" s="2436"/>
      <c r="S746" s="2436"/>
      <c r="T746" s="2436"/>
      <c r="U746" s="2436"/>
      <c r="V746" s="2436"/>
      <c r="W746" s="2436"/>
      <c r="X746" s="2436"/>
      <c r="Y746" s="2436"/>
      <c r="Z746" s="2436"/>
      <c r="AA746" s="2436"/>
      <c r="AB746" s="576"/>
      <c r="AC746" s="537"/>
      <c r="AD746" s="537"/>
      <c r="AE746" s="537"/>
      <c r="AF746" s="2381" t="s">
        <v>1407</v>
      </c>
      <c r="AG746" s="2381"/>
      <c r="AH746" s="2381"/>
      <c r="AI746" s="2381"/>
      <c r="AJ746" s="2381"/>
      <c r="AK746" s="2381"/>
      <c r="AL746" s="2381"/>
      <c r="AM746" s="551"/>
      <c r="AN746" s="685"/>
      <c r="AO746" s="30"/>
      <c r="AP746" s="14"/>
    </row>
    <row r="747" spans="1:81" s="571" customFormat="1">
      <c r="A747" s="551"/>
      <c r="B747" s="537"/>
      <c r="C747" s="932"/>
      <c r="D747" s="664"/>
      <c r="E747" s="2436"/>
      <c r="F747" s="2436"/>
      <c r="G747" s="2436"/>
      <c r="H747" s="2436"/>
      <c r="I747" s="2436"/>
      <c r="J747" s="2436"/>
      <c r="K747" s="2436"/>
      <c r="L747" s="2436"/>
      <c r="M747" s="2436"/>
      <c r="N747" s="2436"/>
      <c r="O747" s="2436"/>
      <c r="P747" s="2436"/>
      <c r="Q747" s="2436"/>
      <c r="R747" s="2436"/>
      <c r="S747" s="2436"/>
      <c r="T747" s="2436"/>
      <c r="U747" s="2436"/>
      <c r="V747" s="2436"/>
      <c r="W747" s="2436"/>
      <c r="X747" s="2436"/>
      <c r="Y747" s="2436"/>
      <c r="Z747" s="2436"/>
      <c r="AA747" s="2436"/>
      <c r="AB747" s="576"/>
      <c r="AC747" s="537"/>
      <c r="AD747" s="537"/>
      <c r="AE747" s="537"/>
      <c r="AF747" s="595"/>
      <c r="AG747" s="595"/>
      <c r="AH747" s="595"/>
      <c r="AI747" s="595"/>
      <c r="AJ747" s="595"/>
      <c r="AK747" s="595"/>
      <c r="AL747" s="595"/>
      <c r="AM747" s="551"/>
      <c r="AN747" s="685"/>
      <c r="AO747" s="30"/>
      <c r="AP747" s="14"/>
    </row>
    <row r="748" spans="1:81" s="571" customFormat="1">
      <c r="A748" s="551"/>
      <c r="B748" s="537"/>
      <c r="C748" s="932"/>
      <c r="D748" s="537"/>
      <c r="E748" s="2436"/>
      <c r="F748" s="2436"/>
      <c r="G748" s="2436"/>
      <c r="H748" s="2436"/>
      <c r="I748" s="2436"/>
      <c r="J748" s="2436"/>
      <c r="K748" s="2436"/>
      <c r="L748" s="2436"/>
      <c r="M748" s="2436"/>
      <c r="N748" s="2436"/>
      <c r="O748" s="2436"/>
      <c r="P748" s="2436"/>
      <c r="Q748" s="2436"/>
      <c r="R748" s="2436"/>
      <c r="S748" s="2436"/>
      <c r="T748" s="2436"/>
      <c r="U748" s="2436"/>
      <c r="V748" s="2436"/>
      <c r="W748" s="2436"/>
      <c r="X748" s="2436"/>
      <c r="Y748" s="2436"/>
      <c r="Z748" s="2436"/>
      <c r="AA748" s="2436"/>
      <c r="AB748" s="576"/>
      <c r="AC748" s="595"/>
      <c r="AD748" s="595"/>
      <c r="AE748" s="595"/>
      <c r="AF748" s="595"/>
      <c r="AG748" s="595"/>
      <c r="AH748" s="595"/>
      <c r="AI748" s="595"/>
      <c r="AJ748" s="537"/>
      <c r="AK748" s="537"/>
      <c r="AL748" s="537"/>
      <c r="AM748" s="551"/>
      <c r="AN748" s="685"/>
      <c r="AO748" s="30"/>
      <c r="AP748" s="14"/>
    </row>
    <row r="749" spans="1:81" s="571" customFormat="1">
      <c r="A749" s="551"/>
      <c r="B749" s="537"/>
      <c r="C749" s="932"/>
      <c r="D749" s="537"/>
      <c r="E749" s="2436"/>
      <c r="F749" s="2436"/>
      <c r="G749" s="2436"/>
      <c r="H749" s="2436"/>
      <c r="I749" s="2436"/>
      <c r="J749" s="2436"/>
      <c r="K749" s="2436"/>
      <c r="L749" s="2436"/>
      <c r="M749" s="2436"/>
      <c r="N749" s="2436"/>
      <c r="O749" s="2436"/>
      <c r="P749" s="2436"/>
      <c r="Q749" s="2436"/>
      <c r="R749" s="2436"/>
      <c r="S749" s="2436"/>
      <c r="T749" s="2436"/>
      <c r="U749" s="2436"/>
      <c r="V749" s="2436"/>
      <c r="W749" s="2436"/>
      <c r="X749" s="2436"/>
      <c r="Y749" s="2436"/>
      <c r="Z749" s="2436"/>
      <c r="AA749" s="2436"/>
      <c r="AB749" s="576"/>
      <c r="AC749" s="595"/>
      <c r="AD749" s="595"/>
      <c r="AE749" s="595"/>
      <c r="AF749" s="595"/>
      <c r="AG749" s="595"/>
      <c r="AH749" s="595"/>
      <c r="AI749" s="595"/>
      <c r="AJ749" s="537"/>
      <c r="AK749" s="537"/>
      <c r="AL749" s="537"/>
      <c r="AM749" s="551"/>
      <c r="AN749" s="685"/>
      <c r="AO749" s="30"/>
      <c r="AP749" s="14"/>
    </row>
    <row r="750" spans="1:81" s="571" customFormat="1">
      <c r="A750" s="551"/>
      <c r="B750" s="537"/>
      <c r="C750" s="932"/>
      <c r="D750" s="537"/>
      <c r="E750" s="643"/>
      <c r="F750" s="643"/>
      <c r="G750" s="643"/>
      <c r="H750" s="643"/>
      <c r="I750" s="643"/>
      <c r="J750" s="643"/>
      <c r="K750" s="643"/>
      <c r="L750" s="643"/>
      <c r="M750" s="643"/>
      <c r="N750" s="643"/>
      <c r="O750" s="643"/>
      <c r="P750" s="643"/>
      <c r="Q750" s="643"/>
      <c r="R750" s="643"/>
      <c r="S750" s="643"/>
      <c r="T750" s="643"/>
      <c r="U750" s="643"/>
      <c r="V750" s="643"/>
      <c r="W750" s="643"/>
      <c r="X750" s="643"/>
      <c r="Y750" s="643"/>
      <c r="Z750" s="643"/>
      <c r="AA750" s="643"/>
      <c r="AB750" s="643"/>
      <c r="AC750" s="595"/>
      <c r="AD750" s="595"/>
      <c r="AE750" s="595"/>
      <c r="AF750" s="595"/>
      <c r="AG750" s="595"/>
      <c r="AH750" s="595"/>
      <c r="AI750" s="595"/>
      <c r="AJ750" s="537"/>
      <c r="AK750" s="537"/>
      <c r="AL750" s="537"/>
      <c r="AM750" s="551"/>
      <c r="AN750" s="685"/>
    </row>
    <row r="751" spans="1:81" s="571" customFormat="1" ht="12.75" customHeight="1">
      <c r="A751" s="551"/>
      <c r="B751" s="537"/>
      <c r="C751" s="932"/>
      <c r="D751" s="537" t="s">
        <v>1399</v>
      </c>
      <c r="E751" s="937"/>
      <c r="F751" s="937"/>
      <c r="G751" s="937"/>
      <c r="H751" s="2465" t="s">
        <v>591</v>
      </c>
      <c r="I751" s="2465"/>
      <c r="J751" s="643"/>
      <c r="K751" s="643"/>
      <c r="L751" s="643"/>
      <c r="M751" s="643"/>
      <c r="N751" s="643"/>
      <c r="O751" s="643"/>
      <c r="P751" s="643"/>
      <c r="Q751" s="643"/>
      <c r="R751" s="643"/>
      <c r="S751" s="643"/>
      <c r="T751" s="643"/>
      <c r="U751" s="643"/>
      <c r="V751" s="643"/>
      <c r="W751" s="643"/>
      <c r="X751" s="643"/>
      <c r="Y751" s="643"/>
      <c r="Z751" s="643"/>
      <c r="AA751" s="643"/>
      <c r="AB751" s="643"/>
      <c r="AC751" s="595"/>
      <c r="AD751" s="595"/>
      <c r="AE751" s="595"/>
      <c r="AF751" s="595"/>
      <c r="AG751" s="595"/>
      <c r="AH751" s="595"/>
      <c r="AI751" s="595"/>
      <c r="AJ751" s="537"/>
      <c r="AK751" s="537"/>
      <c r="AL751" s="537"/>
      <c r="AM751" s="551"/>
      <c r="AN751" s="685"/>
    </row>
    <row r="752" spans="1:81" s="571" customFormat="1" ht="12.75" customHeight="1">
      <c r="A752" s="551"/>
      <c r="B752" s="537"/>
      <c r="C752" s="932"/>
      <c r="D752" s="537"/>
      <c r="E752" s="643"/>
      <c r="F752" s="643"/>
      <c r="G752" s="643"/>
      <c r="H752" s="643"/>
      <c r="I752" s="643"/>
      <c r="J752" s="643"/>
      <c r="K752" s="643"/>
      <c r="L752" s="643"/>
      <c r="M752" s="643"/>
      <c r="N752" s="643"/>
      <c r="O752" s="643"/>
      <c r="P752" s="643"/>
      <c r="Q752" s="643"/>
      <c r="R752" s="643"/>
      <c r="S752" s="643"/>
      <c r="T752" s="643"/>
      <c r="U752" s="643"/>
      <c r="V752" s="643"/>
      <c r="W752" s="643"/>
      <c r="X752" s="643"/>
      <c r="Y752" s="643"/>
      <c r="Z752" s="643"/>
      <c r="AA752" s="643"/>
      <c r="AB752" s="643"/>
      <c r="AC752" s="595"/>
      <c r="AD752" s="595"/>
      <c r="AE752" s="595"/>
      <c r="AF752" s="595"/>
      <c r="AG752" s="595"/>
      <c r="AH752" s="595"/>
      <c r="AI752" s="595"/>
      <c r="AJ752" s="537"/>
      <c r="AK752" s="537"/>
      <c r="AL752" s="537"/>
      <c r="AM752" s="551"/>
      <c r="AN752" s="535"/>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571" customFormat="1">
      <c r="A753" s="607"/>
      <c r="B753" s="602"/>
      <c r="C753" s="945"/>
      <c r="D753" s="602"/>
      <c r="E753" s="955"/>
      <c r="F753" s="955"/>
      <c r="G753" s="955"/>
      <c r="H753" s="955"/>
      <c r="I753" s="955"/>
      <c r="J753" s="955"/>
      <c r="K753" s="955"/>
      <c r="L753" s="955"/>
      <c r="M753" s="955"/>
      <c r="N753" s="955"/>
      <c r="O753" s="955"/>
      <c r="P753" s="955"/>
      <c r="Q753" s="955"/>
      <c r="R753" s="955"/>
      <c r="S753" s="955"/>
      <c r="T753" s="955"/>
      <c r="U753" s="955"/>
      <c r="V753" s="955"/>
      <c r="W753" s="955"/>
      <c r="X753" s="955"/>
      <c r="Y753" s="955"/>
      <c r="Z753" s="955"/>
      <c r="AA753" s="955"/>
      <c r="AB753" s="688"/>
      <c r="AC753" s="688"/>
      <c r="AD753" s="688"/>
      <c r="AE753" s="688"/>
      <c r="AF753" s="688"/>
      <c r="AG753" s="688"/>
      <c r="AH753" s="602"/>
      <c r="AI753" s="566" t="s">
        <v>1443</v>
      </c>
      <c r="AJ753" s="2416">
        <f>VLOOKUP($H$751,$AO$680:$AP$682,2,FALSE)</f>
        <v>0</v>
      </c>
      <c r="AK753" s="2418"/>
      <c r="AL753" s="596"/>
      <c r="AM753" s="551"/>
      <c r="AN753" s="535"/>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571" customFormat="1" ht="12.75" customHeight="1">
      <c r="A754" s="638"/>
      <c r="B754" s="537"/>
      <c r="C754" s="934"/>
      <c r="D754" s="537"/>
      <c r="E754" s="537"/>
      <c r="F754" s="537"/>
      <c r="G754" s="537"/>
      <c r="H754" s="537"/>
      <c r="I754" s="537"/>
      <c r="J754" s="643"/>
      <c r="K754" s="643"/>
      <c r="L754" s="644"/>
      <c r="M754" s="644"/>
      <c r="N754" s="644"/>
      <c r="O754" s="644"/>
      <c r="P754" s="644"/>
      <c r="Q754" s="644"/>
      <c r="R754" s="644"/>
      <c r="S754" s="644"/>
      <c r="T754" s="644"/>
      <c r="U754" s="644"/>
      <c r="V754" s="617"/>
      <c r="W754" s="617"/>
      <c r="X754" s="617"/>
      <c r="Y754" s="617"/>
      <c r="Z754" s="937"/>
      <c r="AA754" s="937"/>
      <c r="AB754" s="937"/>
      <c r="AC754" s="537"/>
      <c r="AD754" s="537"/>
      <c r="AE754" s="537"/>
      <c r="AF754" s="537"/>
      <c r="AG754" s="537"/>
      <c r="AH754" s="537"/>
      <c r="AI754" s="537"/>
      <c r="AJ754" s="537"/>
      <c r="AK754" s="537"/>
      <c r="AL754" s="537"/>
      <c r="AM754" s="551"/>
      <c r="AN754" s="535"/>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571" customFormat="1">
      <c r="A755" s="551"/>
      <c r="B755" s="537"/>
      <c r="C755" s="540" t="s">
        <v>1433</v>
      </c>
      <c r="D755" s="617"/>
      <c r="E755" s="537"/>
      <c r="F755" s="537"/>
      <c r="G755" s="537"/>
      <c r="H755" s="537"/>
      <c r="I755" s="537"/>
      <c r="J755" s="537"/>
      <c r="K755" s="537"/>
      <c r="L755" s="537"/>
      <c r="M755" s="537"/>
      <c r="N755" s="537"/>
      <c r="O755" s="537"/>
      <c r="P755" s="537"/>
      <c r="Q755" s="537"/>
      <c r="R755" s="537"/>
      <c r="S755" s="537"/>
      <c r="T755" s="537"/>
      <c r="U755" s="537"/>
      <c r="V755" s="537"/>
      <c r="W755" s="537"/>
      <c r="X755" s="537"/>
      <c r="Y755" s="537"/>
      <c r="Z755" s="537"/>
      <c r="AA755" s="537"/>
      <c r="AB755" s="537"/>
      <c r="AC755" s="537"/>
      <c r="AD755" s="537"/>
      <c r="AE755" s="537"/>
      <c r="AF755" s="537"/>
      <c r="AG755" s="537"/>
      <c r="AH755" s="537"/>
      <c r="AI755" s="537"/>
      <c r="AJ755" s="537"/>
      <c r="AK755" s="537"/>
      <c r="AL755" s="537"/>
      <c r="AM755" s="551"/>
      <c r="AN755" s="535"/>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571" customFormat="1">
      <c r="A756" s="551"/>
      <c r="B756" s="617"/>
      <c r="C756" s="537"/>
      <c r="D756" s="537"/>
      <c r="E756" s="617"/>
      <c r="F756" s="617"/>
      <c r="G756" s="617"/>
      <c r="H756" s="617"/>
      <c r="I756" s="617"/>
      <c r="J756" s="617"/>
      <c r="K756" s="617"/>
      <c r="L756" s="617"/>
      <c r="M756" s="617"/>
      <c r="N756" s="617"/>
      <c r="O756" s="617"/>
      <c r="P756" s="617"/>
      <c r="Q756" s="617"/>
      <c r="R756" s="617"/>
      <c r="S756" s="617"/>
      <c r="T756" s="617"/>
      <c r="U756" s="617"/>
      <c r="V756" s="617"/>
      <c r="W756" s="617"/>
      <c r="X756" s="617"/>
      <c r="Y756" s="617"/>
      <c r="Z756" s="617"/>
      <c r="AA756" s="617"/>
      <c r="AB756" s="617"/>
      <c r="AC756" s="617"/>
      <c r="AD756" s="617"/>
      <c r="AE756" s="617"/>
      <c r="AF756" s="617"/>
      <c r="AG756" s="617"/>
      <c r="AH756" s="617"/>
      <c r="AI756" s="537"/>
      <c r="AJ756" s="537"/>
      <c r="AK756" s="537"/>
      <c r="AL756" s="537"/>
      <c r="AM756" s="551"/>
      <c r="AN756" s="535"/>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571" customFormat="1">
      <c r="A757" s="551"/>
      <c r="B757" s="537"/>
      <c r="C757" s="932"/>
      <c r="D757" s="664" t="s">
        <v>687</v>
      </c>
      <c r="E757" s="2436" t="s">
        <v>1444</v>
      </c>
      <c r="F757" s="2436"/>
      <c r="G757" s="2436"/>
      <c r="H757" s="2436"/>
      <c r="I757" s="2436"/>
      <c r="J757" s="2436"/>
      <c r="K757" s="2436"/>
      <c r="L757" s="2436"/>
      <c r="M757" s="2436"/>
      <c r="N757" s="2436"/>
      <c r="O757" s="2436"/>
      <c r="P757" s="2436"/>
      <c r="Q757" s="2436"/>
      <c r="R757" s="2436"/>
      <c r="S757" s="2436"/>
      <c r="T757" s="2436"/>
      <c r="U757" s="2436"/>
      <c r="V757" s="2436"/>
      <c r="W757" s="2436"/>
      <c r="X757" s="2436"/>
      <c r="Y757" s="2436"/>
      <c r="Z757" s="2436"/>
      <c r="AA757" s="2436"/>
      <c r="AB757" s="2436"/>
      <c r="AC757" s="537"/>
      <c r="AD757" s="537"/>
      <c r="AE757" s="537"/>
      <c r="AF757" s="2381" t="s">
        <v>1407</v>
      </c>
      <c r="AG757" s="2381"/>
      <c r="AH757" s="2381"/>
      <c r="AI757" s="2381"/>
      <c r="AJ757" s="2381"/>
      <c r="AK757" s="2381"/>
      <c r="AL757" s="2381"/>
      <c r="AM757" s="551"/>
      <c r="AN757" s="535"/>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c r="BV757" s="14"/>
    </row>
    <row r="758" spans="1:74" s="571" customFormat="1">
      <c r="A758" s="551"/>
      <c r="B758" s="537"/>
      <c r="C758" s="934"/>
      <c r="D758" s="664"/>
      <c r="E758" s="2436"/>
      <c r="F758" s="2436"/>
      <c r="G758" s="2436"/>
      <c r="H758" s="2436"/>
      <c r="I758" s="2436"/>
      <c r="J758" s="2436"/>
      <c r="K758" s="2436"/>
      <c r="L758" s="2436"/>
      <c r="M758" s="2436"/>
      <c r="N758" s="2436"/>
      <c r="O758" s="2436"/>
      <c r="P758" s="2436"/>
      <c r="Q758" s="2436"/>
      <c r="R758" s="2436"/>
      <c r="S758" s="2436"/>
      <c r="T758" s="2436"/>
      <c r="U758" s="2436"/>
      <c r="V758" s="2436"/>
      <c r="W758" s="2436"/>
      <c r="X758" s="2436"/>
      <c r="Y758" s="2436"/>
      <c r="Z758" s="2436"/>
      <c r="AA758" s="2436"/>
      <c r="AB758" s="2436"/>
      <c r="AC758" s="537"/>
      <c r="AD758" s="537"/>
      <c r="AE758" s="537"/>
      <c r="AF758" s="537"/>
      <c r="AG758" s="537"/>
      <c r="AH758" s="537"/>
      <c r="AI758" s="537"/>
      <c r="AJ758" s="537"/>
      <c r="AK758" s="537"/>
      <c r="AL758" s="537"/>
      <c r="AM758" s="551"/>
      <c r="AN758" s="535"/>
      <c r="AO758" s="30"/>
      <c r="AP758" s="14"/>
      <c r="AQ758" s="14"/>
      <c r="AR758" s="14"/>
      <c r="AS758" s="14"/>
      <c r="AT758" s="14"/>
      <c r="AU758" s="14"/>
      <c r="AV758" s="14"/>
      <c r="AW758" s="14"/>
      <c r="AX758" s="14"/>
      <c r="AY758" s="14"/>
      <c r="AZ758" s="14"/>
      <c r="BA758" s="14"/>
      <c r="BB758" s="14"/>
      <c r="BC758" s="14"/>
      <c r="BD758" s="32"/>
      <c r="BE758" s="32"/>
      <c r="BF758" s="32"/>
      <c r="BG758" s="32"/>
      <c r="BH758" s="32"/>
      <c r="BI758" s="14"/>
      <c r="BJ758" s="14"/>
      <c r="BK758" s="14"/>
      <c r="BL758" s="14"/>
      <c r="BM758" s="14"/>
      <c r="BN758" s="14"/>
      <c r="BO758" s="14"/>
      <c r="BP758" s="14"/>
      <c r="BQ758" s="14"/>
      <c r="BR758" s="14"/>
      <c r="BS758" s="14"/>
      <c r="BT758" s="14"/>
      <c r="BU758" s="14"/>
      <c r="BV758" s="14"/>
    </row>
    <row r="759" spans="1:74" s="571" customFormat="1">
      <c r="A759" s="551"/>
      <c r="B759" s="617"/>
      <c r="C759" s="941"/>
      <c r="D759" s="664"/>
      <c r="E759" s="617"/>
      <c r="F759" s="617"/>
      <c r="G759" s="617"/>
      <c r="H759" s="617"/>
      <c r="I759" s="617"/>
      <c r="J759" s="617"/>
      <c r="K759" s="617"/>
      <c r="L759" s="617"/>
      <c r="M759" s="617"/>
      <c r="N759" s="617"/>
      <c r="O759" s="617"/>
      <c r="P759" s="617"/>
      <c r="Q759" s="617"/>
      <c r="R759" s="617"/>
      <c r="S759" s="617"/>
      <c r="T759" s="617"/>
      <c r="U759" s="617"/>
      <c r="V759" s="617"/>
      <c r="W759" s="617"/>
      <c r="X759" s="617"/>
      <c r="Y759" s="617"/>
      <c r="Z759" s="617"/>
      <c r="AA759" s="617"/>
      <c r="AB759" s="617"/>
      <c r="AC759" s="537"/>
      <c r="AD759" s="537"/>
      <c r="AE759" s="617"/>
      <c r="AF759" s="617"/>
      <c r="AG759" s="617"/>
      <c r="AH759" s="617"/>
      <c r="AI759" s="617"/>
      <c r="AJ759" s="617"/>
      <c r="AK759" s="537"/>
      <c r="AL759" s="537"/>
      <c r="AM759" s="551"/>
      <c r="AN759" s="535"/>
      <c r="AO759" s="30"/>
      <c r="AP759" s="14"/>
      <c r="AQ759" s="14"/>
      <c r="AR759" s="14"/>
      <c r="AS759" s="14"/>
      <c r="AT759" s="14"/>
      <c r="AU759" s="14"/>
      <c r="AV759" s="14"/>
      <c r="AW759" s="14"/>
      <c r="AX759" s="14"/>
      <c r="AY759" s="14"/>
      <c r="AZ759" s="14"/>
      <c r="BA759" s="14"/>
      <c r="BB759" s="14"/>
      <c r="BC759" s="14"/>
      <c r="BD759" s="32"/>
      <c r="BE759" s="32"/>
      <c r="BF759" s="32"/>
      <c r="BG759" s="32"/>
      <c r="BH759" s="32"/>
      <c r="BI759" s="14"/>
      <c r="BJ759" s="14"/>
      <c r="BK759" s="14"/>
      <c r="BL759" s="14"/>
      <c r="BM759" s="14"/>
      <c r="BN759" s="14"/>
      <c r="BO759" s="14"/>
      <c r="BP759" s="14"/>
      <c r="BQ759" s="14"/>
      <c r="BR759" s="14"/>
      <c r="BS759" s="14"/>
      <c r="BT759" s="14"/>
      <c r="BU759" s="14"/>
      <c r="BV759" s="14"/>
    </row>
    <row r="760" spans="1:74" s="571" customFormat="1">
      <c r="A760" s="638"/>
      <c r="B760" s="537"/>
      <c r="C760" s="932"/>
      <c r="D760" s="664" t="s">
        <v>509</v>
      </c>
      <c r="E760" s="2436" t="s">
        <v>1445</v>
      </c>
      <c r="F760" s="2436"/>
      <c r="G760" s="2436"/>
      <c r="H760" s="2436"/>
      <c r="I760" s="2436"/>
      <c r="J760" s="2436"/>
      <c r="K760" s="2436"/>
      <c r="L760" s="2436"/>
      <c r="M760" s="2436"/>
      <c r="N760" s="2436"/>
      <c r="O760" s="2436"/>
      <c r="P760" s="2436"/>
      <c r="Q760" s="2436"/>
      <c r="R760" s="2436"/>
      <c r="S760" s="2436"/>
      <c r="T760" s="2436"/>
      <c r="U760" s="2436"/>
      <c r="V760" s="2436"/>
      <c r="W760" s="2436"/>
      <c r="X760" s="2436"/>
      <c r="Y760" s="2436"/>
      <c r="Z760" s="2436"/>
      <c r="AA760" s="2436"/>
      <c r="AB760" s="2436"/>
      <c r="AC760" s="537"/>
      <c r="AD760" s="537"/>
      <c r="AE760" s="537"/>
      <c r="AF760" s="2381" t="s">
        <v>1424</v>
      </c>
      <c r="AG760" s="2381"/>
      <c r="AH760" s="2381"/>
      <c r="AI760" s="2381"/>
      <c r="AJ760" s="2381"/>
      <c r="AK760" s="2381"/>
      <c r="AL760" s="2381"/>
      <c r="AM760" s="551"/>
      <c r="AN760" s="535"/>
      <c r="AO760" s="30"/>
      <c r="AP760" s="14"/>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c r="BV760" s="14"/>
    </row>
    <row r="761" spans="1:74" s="571" customFormat="1" ht="12.75" customHeight="1">
      <c r="A761" s="638"/>
      <c r="B761" s="537"/>
      <c r="C761" s="932"/>
      <c r="D761" s="664"/>
      <c r="E761" s="2436"/>
      <c r="F761" s="2436"/>
      <c r="G761" s="2436"/>
      <c r="H761" s="2436"/>
      <c r="I761" s="2436"/>
      <c r="J761" s="2436"/>
      <c r="K761" s="2436"/>
      <c r="L761" s="2436"/>
      <c r="M761" s="2436"/>
      <c r="N761" s="2436"/>
      <c r="O761" s="2436"/>
      <c r="P761" s="2436"/>
      <c r="Q761" s="2436"/>
      <c r="R761" s="2436"/>
      <c r="S761" s="2436"/>
      <c r="T761" s="2436"/>
      <c r="U761" s="2436"/>
      <c r="V761" s="2436"/>
      <c r="W761" s="2436"/>
      <c r="X761" s="2436"/>
      <c r="Y761" s="2436"/>
      <c r="Z761" s="2436"/>
      <c r="AA761" s="2436"/>
      <c r="AB761" s="2436"/>
      <c r="AC761" s="537"/>
      <c r="AD761" s="537"/>
      <c r="AE761" s="595"/>
      <c r="AF761" s="537"/>
      <c r="AG761" s="537"/>
      <c r="AH761" s="537"/>
      <c r="AI761" s="537"/>
      <c r="AJ761" s="537"/>
      <c r="AK761" s="537"/>
      <c r="AL761" s="537"/>
      <c r="AM761" s="551"/>
      <c r="AN761" s="535"/>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c r="BV761" s="14"/>
    </row>
    <row r="762" spans="1:74" s="571" customFormat="1">
      <c r="A762" s="551"/>
      <c r="B762" s="537"/>
      <c r="C762" s="934"/>
      <c r="D762" s="537"/>
      <c r="E762" s="644"/>
      <c r="F762" s="644"/>
      <c r="G762" s="644"/>
      <c r="H762" s="644"/>
      <c r="I762" s="644"/>
      <c r="J762" s="644"/>
      <c r="K762" s="644"/>
      <c r="L762" s="644"/>
      <c r="M762" s="644"/>
      <c r="N762" s="644"/>
      <c r="O762" s="644"/>
      <c r="P762" s="644"/>
      <c r="Q762" s="644"/>
      <c r="R762" s="644"/>
      <c r="S762" s="644"/>
      <c r="T762" s="644"/>
      <c r="U762" s="644"/>
      <c r="V762" s="644"/>
      <c r="W762" s="644"/>
      <c r="X762" s="644"/>
      <c r="Y762" s="644"/>
      <c r="Z762" s="644"/>
      <c r="AA762" s="644"/>
      <c r="AB762" s="644"/>
      <c r="AC762" s="537"/>
      <c r="AD762" s="537"/>
      <c r="AE762" s="617"/>
      <c r="AF762" s="617"/>
      <c r="AG762" s="617"/>
      <c r="AH762" s="617"/>
      <c r="AI762" s="537"/>
      <c r="AJ762" s="537"/>
      <c r="AK762" s="537"/>
      <c r="AL762" s="537"/>
      <c r="AM762" s="551"/>
      <c r="AN762" s="535"/>
      <c r="AO762" s="30"/>
      <c r="AP762" s="14"/>
      <c r="AQ762" s="14"/>
      <c r="AR762" s="14"/>
      <c r="AS762" s="14"/>
      <c r="AT762" s="14"/>
      <c r="AU762" s="14"/>
      <c r="AV762" s="14"/>
      <c r="AW762" s="14"/>
      <c r="AX762" s="14"/>
      <c r="AY762" s="14"/>
      <c r="AZ762" s="14"/>
      <c r="BA762" s="14"/>
      <c r="BB762" s="14"/>
      <c r="BC762" s="14"/>
      <c r="BD762" s="32"/>
      <c r="BE762" s="32"/>
      <c r="BF762" s="32"/>
      <c r="BG762" s="32"/>
      <c r="BH762" s="32"/>
      <c r="BI762" s="14"/>
      <c r="BJ762" s="14"/>
      <c r="BK762" s="14"/>
      <c r="BL762" s="14"/>
      <c r="BM762" s="14"/>
      <c r="BN762" s="14"/>
      <c r="BO762" s="14"/>
      <c r="BP762" s="14"/>
      <c r="BQ762" s="14"/>
      <c r="BR762" s="14"/>
      <c r="BS762" s="14"/>
      <c r="BT762" s="14"/>
      <c r="BU762" s="14"/>
      <c r="BV762" s="14"/>
    </row>
    <row r="763" spans="1:74" s="571" customFormat="1" ht="12.75" customHeight="1">
      <c r="A763" s="551"/>
      <c r="B763" s="537"/>
      <c r="C763" s="537"/>
      <c r="D763" s="537" t="s">
        <v>1399</v>
      </c>
      <c r="E763" s="937"/>
      <c r="F763" s="937"/>
      <c r="G763" s="937"/>
      <c r="H763" s="2465" t="s">
        <v>687</v>
      </c>
      <c r="I763" s="2465"/>
      <c r="J763" s="644"/>
      <c r="K763" s="644"/>
      <c r="L763" s="644"/>
      <c r="M763" s="644"/>
      <c r="N763" s="644"/>
      <c r="O763" s="644"/>
      <c r="P763" s="644"/>
      <c r="Q763" s="537"/>
      <c r="R763" s="537"/>
      <c r="S763" s="537"/>
      <c r="T763" s="537"/>
      <c r="U763" s="537"/>
      <c r="V763" s="537"/>
      <c r="W763" s="644"/>
      <c r="X763" s="644"/>
      <c r="Y763" s="644"/>
      <c r="Z763" s="644"/>
      <c r="AA763" s="644"/>
      <c r="AB763" s="644"/>
      <c r="AC763" s="537"/>
      <c r="AD763" s="537"/>
      <c r="AE763" s="617"/>
      <c r="AF763" s="617"/>
      <c r="AG763" s="617"/>
      <c r="AH763" s="617"/>
      <c r="AI763" s="537"/>
      <c r="AJ763" s="537"/>
      <c r="AK763" s="537"/>
      <c r="AL763" s="537"/>
      <c r="AM763" s="551"/>
      <c r="AN763" s="535"/>
      <c r="AO763" s="30"/>
      <c r="AP763" s="14"/>
      <c r="AQ763" s="14"/>
      <c r="AR763" s="14"/>
      <c r="AS763" s="14"/>
      <c r="AT763" s="14"/>
      <c r="AU763" s="14"/>
      <c r="AV763" s="14"/>
      <c r="AW763" s="14"/>
      <c r="AX763" s="14"/>
      <c r="AY763" s="14"/>
      <c r="AZ763" s="14"/>
      <c r="BA763" s="14"/>
      <c r="BB763" s="14"/>
      <c r="BC763" s="14"/>
      <c r="BD763" s="32"/>
      <c r="BE763" s="32"/>
      <c r="BF763" s="32"/>
      <c r="BG763" s="32"/>
      <c r="BH763" s="32"/>
      <c r="BI763" s="14"/>
      <c r="BJ763" s="14"/>
      <c r="BK763" s="14"/>
      <c r="BL763" s="14"/>
      <c r="BM763" s="14"/>
      <c r="BN763" s="14"/>
      <c r="BO763" s="14"/>
      <c r="BP763" s="14"/>
      <c r="BQ763" s="14"/>
      <c r="BR763" s="14"/>
      <c r="BS763" s="14"/>
      <c r="BT763" s="14"/>
      <c r="BU763" s="14"/>
      <c r="BV763" s="14"/>
    </row>
    <row r="764" spans="1:74" s="571" customFormat="1" ht="12.75" customHeight="1">
      <c r="A764" s="551"/>
      <c r="B764" s="617"/>
      <c r="C764" s="941"/>
      <c r="D764" s="617"/>
      <c r="E764" s="617"/>
      <c r="F764" s="617"/>
      <c r="G764" s="617"/>
      <c r="H764" s="617"/>
      <c r="I764" s="617"/>
      <c r="J764" s="617"/>
      <c r="K764" s="617"/>
      <c r="L764" s="617"/>
      <c r="M764" s="617"/>
      <c r="N764" s="617"/>
      <c r="O764" s="617"/>
      <c r="P764" s="617"/>
      <c r="Q764" s="617"/>
      <c r="R764" s="617"/>
      <c r="S764" s="617"/>
      <c r="T764" s="617"/>
      <c r="U764" s="617"/>
      <c r="V764" s="617"/>
      <c r="W764" s="617"/>
      <c r="X764" s="617"/>
      <c r="Y764" s="617"/>
      <c r="Z764" s="617"/>
      <c r="AA764" s="617"/>
      <c r="AB764" s="617"/>
      <c r="AC764" s="617"/>
      <c r="AD764" s="617"/>
      <c r="AE764" s="617"/>
      <c r="AF764" s="617"/>
      <c r="AG764" s="617"/>
      <c r="AH764" s="617"/>
      <c r="AI764" s="537"/>
      <c r="AJ764" s="537"/>
      <c r="AK764" s="537"/>
      <c r="AL764" s="537"/>
      <c r="AM764" s="551"/>
      <c r="AN764" s="535"/>
      <c r="AO764" s="30"/>
      <c r="AP764" s="14"/>
      <c r="AQ764" s="14"/>
      <c r="AR764" s="14"/>
      <c r="AS764" s="14"/>
      <c r="AT764" s="14"/>
      <c r="AU764" s="14"/>
      <c r="AV764" s="14"/>
      <c r="AW764" s="14"/>
      <c r="AX764" s="14"/>
      <c r="AY764" s="14"/>
      <c r="AZ764" s="14"/>
      <c r="BA764" s="14"/>
      <c r="BB764" s="14"/>
      <c r="BC764" s="14"/>
      <c r="BD764" s="32"/>
      <c r="BE764" s="32"/>
      <c r="BF764" s="32"/>
      <c r="BG764" s="32"/>
      <c r="BH764" s="32"/>
      <c r="BI764" s="14"/>
      <c r="BJ764" s="14"/>
      <c r="BK764" s="14"/>
      <c r="BL764" s="14"/>
      <c r="BM764" s="14"/>
      <c r="BN764" s="14"/>
      <c r="BO764" s="14"/>
      <c r="BP764" s="14"/>
      <c r="BQ764" s="14"/>
      <c r="BR764" s="14"/>
      <c r="BS764" s="14"/>
      <c r="BT764" s="14"/>
      <c r="BU764" s="14"/>
      <c r="BV764" s="14"/>
    </row>
    <row r="765" spans="1:74" s="571" customFormat="1" ht="13.9" customHeight="1">
      <c r="A765" s="607"/>
      <c r="B765" s="666"/>
      <c r="C765" s="956"/>
      <c r="D765" s="666"/>
      <c r="E765" s="666"/>
      <c r="F765" s="666"/>
      <c r="G765" s="666"/>
      <c r="H765" s="666"/>
      <c r="I765" s="666"/>
      <c r="J765" s="666"/>
      <c r="K765" s="666"/>
      <c r="L765" s="666"/>
      <c r="M765" s="666"/>
      <c r="N765" s="666"/>
      <c r="O765" s="666"/>
      <c r="P765" s="666"/>
      <c r="Q765" s="666"/>
      <c r="R765" s="666"/>
      <c r="S765" s="666"/>
      <c r="T765" s="666"/>
      <c r="U765" s="666"/>
      <c r="V765" s="666"/>
      <c r="W765" s="666"/>
      <c r="X765" s="666"/>
      <c r="Y765" s="666"/>
      <c r="Z765" s="666"/>
      <c r="AA765" s="666"/>
      <c r="AB765" s="666"/>
      <c r="AC765" s="666"/>
      <c r="AD765" s="666"/>
      <c r="AE765" s="666"/>
      <c r="AF765" s="666"/>
      <c r="AG765" s="666"/>
      <c r="AH765" s="602"/>
      <c r="AI765" s="566" t="s">
        <v>1446</v>
      </c>
      <c r="AJ765" s="2416">
        <f>VLOOKUP($H$763,$AO$697:$AP$699,2,FALSE)</f>
        <v>2</v>
      </c>
      <c r="AK765" s="2418"/>
      <c r="AL765" s="596"/>
      <c r="AM765" s="551"/>
      <c r="AN765" s="535"/>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74" s="571" customFormat="1">
      <c r="A766" s="551"/>
      <c r="B766" s="617"/>
      <c r="C766" s="941"/>
      <c r="D766" s="617"/>
      <c r="E766" s="617"/>
      <c r="F766" s="617"/>
      <c r="G766" s="617"/>
      <c r="H766" s="617"/>
      <c r="I766" s="617"/>
      <c r="J766" s="617"/>
      <c r="K766" s="617"/>
      <c r="L766" s="617"/>
      <c r="M766" s="617"/>
      <c r="N766" s="617"/>
      <c r="O766" s="617"/>
      <c r="P766" s="617"/>
      <c r="Q766" s="617"/>
      <c r="R766" s="617"/>
      <c r="S766" s="617"/>
      <c r="T766" s="617"/>
      <c r="U766" s="617"/>
      <c r="V766" s="617"/>
      <c r="W766" s="617"/>
      <c r="X766" s="617"/>
      <c r="Y766" s="617"/>
      <c r="Z766" s="617"/>
      <c r="AA766" s="617"/>
      <c r="AB766" s="617"/>
      <c r="AC766" s="617"/>
      <c r="AD766" s="617"/>
      <c r="AE766" s="617"/>
      <c r="AF766" s="617"/>
      <c r="AG766" s="617"/>
      <c r="AH766" s="537"/>
      <c r="AI766" s="544"/>
      <c r="AJ766" s="596"/>
      <c r="AK766" s="596"/>
      <c r="AL766" s="596"/>
      <c r="AM766" s="551"/>
      <c r="AN766" s="535"/>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74" s="571" customFormat="1">
      <c r="A767" s="551"/>
      <c r="B767" s="617"/>
      <c r="C767" s="540" t="s">
        <v>1435</v>
      </c>
      <c r="D767" s="617"/>
      <c r="E767" s="617"/>
      <c r="F767" s="617"/>
      <c r="G767" s="617"/>
      <c r="H767" s="617"/>
      <c r="I767" s="617"/>
      <c r="J767" s="617"/>
      <c r="K767" s="617"/>
      <c r="L767" s="617"/>
      <c r="M767" s="617"/>
      <c r="N767" s="617"/>
      <c r="O767" s="617"/>
      <c r="P767" s="617"/>
      <c r="Q767" s="617"/>
      <c r="R767" s="617"/>
      <c r="S767" s="617"/>
      <c r="T767" s="617"/>
      <c r="U767" s="617"/>
      <c r="V767" s="617"/>
      <c r="W767" s="617"/>
      <c r="X767" s="617"/>
      <c r="Y767" s="617"/>
      <c r="Z767" s="617"/>
      <c r="AA767" s="617"/>
      <c r="AB767" s="617"/>
      <c r="AC767" s="617"/>
      <c r="AD767" s="617"/>
      <c r="AE767" s="617"/>
      <c r="AF767" s="617"/>
      <c r="AG767" s="617"/>
      <c r="AH767" s="537"/>
      <c r="AI767" s="544"/>
      <c r="AJ767" s="596"/>
      <c r="AK767" s="596"/>
      <c r="AL767" s="596"/>
      <c r="AM767" s="551"/>
      <c r="AN767" s="535"/>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74" s="571" customFormat="1">
      <c r="A768" s="551"/>
      <c r="B768" s="617"/>
      <c r="C768" s="941"/>
      <c r="D768" s="617"/>
      <c r="E768" s="617"/>
      <c r="F768" s="617"/>
      <c r="G768" s="617"/>
      <c r="H768" s="617"/>
      <c r="I768" s="617"/>
      <c r="J768" s="617"/>
      <c r="K768" s="617"/>
      <c r="L768" s="617"/>
      <c r="M768" s="617"/>
      <c r="N768" s="617"/>
      <c r="O768" s="617"/>
      <c r="P768" s="617"/>
      <c r="Q768" s="617"/>
      <c r="R768" s="617"/>
      <c r="S768" s="617"/>
      <c r="T768" s="617"/>
      <c r="U768" s="617"/>
      <c r="V768" s="617"/>
      <c r="W768" s="617"/>
      <c r="X768" s="617"/>
      <c r="Y768" s="617"/>
      <c r="Z768" s="617"/>
      <c r="AA768" s="617"/>
      <c r="AB768" s="617"/>
      <c r="AC768" s="617"/>
      <c r="AD768" s="617"/>
      <c r="AE768" s="617"/>
      <c r="AF768" s="617"/>
      <c r="AG768" s="617"/>
      <c r="AH768" s="537"/>
      <c r="AI768" s="544"/>
      <c r="AJ768" s="596"/>
      <c r="AK768" s="596"/>
      <c r="AL768" s="596"/>
      <c r="AM768" s="551"/>
      <c r="AN768" s="685"/>
    </row>
    <row r="769" spans="1:81" s="571" customFormat="1" ht="13.7" customHeight="1">
      <c r="A769" s="551"/>
      <c r="B769" s="617"/>
      <c r="C769" s="941"/>
      <c r="D769" s="664" t="s">
        <v>687</v>
      </c>
      <c r="E769" s="2436" t="s">
        <v>1691</v>
      </c>
      <c r="F769" s="2436"/>
      <c r="G769" s="2436"/>
      <c r="H769" s="2436"/>
      <c r="I769" s="2436"/>
      <c r="J769" s="2436"/>
      <c r="K769" s="2436"/>
      <c r="L769" s="2436"/>
      <c r="M769" s="2436"/>
      <c r="N769" s="2436"/>
      <c r="O769" s="2436"/>
      <c r="P769" s="2436"/>
      <c r="Q769" s="2436"/>
      <c r="R769" s="2436"/>
      <c r="S769" s="2436"/>
      <c r="T769" s="2436"/>
      <c r="U769" s="2436"/>
      <c r="V769" s="2436"/>
      <c r="W769" s="2436"/>
      <c r="X769" s="2436"/>
      <c r="Y769" s="2436"/>
      <c r="Z769" s="2436"/>
      <c r="AA769" s="2436"/>
      <c r="AB769" s="2436"/>
      <c r="AC769" s="2436"/>
      <c r="AD769" s="2436"/>
      <c r="AE769" s="537"/>
      <c r="AF769" s="2381" t="s">
        <v>1407</v>
      </c>
      <c r="AG769" s="2381"/>
      <c r="AH769" s="2381"/>
      <c r="AI769" s="2381"/>
      <c r="AJ769" s="2381"/>
      <c r="AK769" s="2381"/>
      <c r="AL769" s="2381"/>
      <c r="AM769" s="614"/>
      <c r="AN769" s="685"/>
      <c r="AO769" s="551" t="s">
        <v>591</v>
      </c>
      <c r="AP769" s="674">
        <v>0</v>
      </c>
    </row>
    <row r="770" spans="1:81" s="571" customFormat="1" ht="13.7" customHeight="1">
      <c r="A770" s="551"/>
      <c r="B770" s="617"/>
      <c r="C770" s="941"/>
      <c r="D770" s="664"/>
      <c r="E770" s="2436"/>
      <c r="F770" s="2436"/>
      <c r="G770" s="2436"/>
      <c r="H770" s="2436"/>
      <c r="I770" s="2436"/>
      <c r="J770" s="2436"/>
      <c r="K770" s="2436"/>
      <c r="L770" s="2436"/>
      <c r="M770" s="2436"/>
      <c r="N770" s="2436"/>
      <c r="O770" s="2436"/>
      <c r="P770" s="2436"/>
      <c r="Q770" s="2436"/>
      <c r="R770" s="2436"/>
      <c r="S770" s="2436"/>
      <c r="T770" s="2436"/>
      <c r="U770" s="2436"/>
      <c r="V770" s="2436"/>
      <c r="W770" s="2436"/>
      <c r="X770" s="2436"/>
      <c r="Y770" s="2436"/>
      <c r="Z770" s="2436"/>
      <c r="AA770" s="2436"/>
      <c r="AB770" s="2436"/>
      <c r="AC770" s="2436"/>
      <c r="AD770" s="2436"/>
      <c r="AE770" s="537"/>
      <c r="AF770" s="595"/>
      <c r="AG770" s="595"/>
      <c r="AH770" s="595"/>
      <c r="AI770" s="595"/>
      <c r="AJ770" s="595"/>
      <c r="AK770" s="595"/>
      <c r="AL770" s="595"/>
      <c r="AM770" s="614"/>
      <c r="AN770" s="685"/>
      <c r="AO770" s="612" t="s">
        <v>687</v>
      </c>
      <c r="AP770" s="551">
        <v>2</v>
      </c>
    </row>
    <row r="771" spans="1:81" s="571" customFormat="1">
      <c r="A771" s="551"/>
      <c r="B771" s="617"/>
      <c r="C771" s="941"/>
      <c r="D771" s="664"/>
      <c r="E771" s="2436"/>
      <c r="F771" s="2436"/>
      <c r="G771" s="2436"/>
      <c r="H771" s="2436"/>
      <c r="I771" s="2436"/>
      <c r="J771" s="2436"/>
      <c r="K771" s="2436"/>
      <c r="L771" s="2436"/>
      <c r="M771" s="2436"/>
      <c r="N771" s="2436"/>
      <c r="O771" s="2436"/>
      <c r="P771" s="2436"/>
      <c r="Q771" s="2436"/>
      <c r="R771" s="2436"/>
      <c r="S771" s="2436"/>
      <c r="T771" s="2436"/>
      <c r="U771" s="2436"/>
      <c r="V771" s="2436"/>
      <c r="W771" s="2436"/>
      <c r="X771" s="2436"/>
      <c r="Y771" s="2436"/>
      <c r="Z771" s="2436"/>
      <c r="AA771" s="2436"/>
      <c r="AB771" s="2436"/>
      <c r="AC771" s="2436"/>
      <c r="AD771" s="2436"/>
      <c r="AE771" s="537"/>
      <c r="AF771" s="537"/>
      <c r="AG771" s="537"/>
      <c r="AH771" s="537"/>
      <c r="AI771" s="537"/>
      <c r="AJ771" s="537"/>
      <c r="AK771" s="537"/>
      <c r="AL771" s="595"/>
      <c r="AM771" s="614"/>
      <c r="AN771" s="535"/>
      <c r="AO771" s="612" t="s">
        <v>509</v>
      </c>
      <c r="AP771" s="551">
        <v>3</v>
      </c>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row>
    <row r="772" spans="1:81" s="571" customFormat="1" ht="18.600000000000001" customHeight="1">
      <c r="A772" s="551"/>
      <c r="B772" s="617"/>
      <c r="C772" s="941"/>
      <c r="D772" s="664"/>
      <c r="E772" s="2436"/>
      <c r="F772" s="2436"/>
      <c r="G772" s="2436"/>
      <c r="H772" s="2436"/>
      <c r="I772" s="2436"/>
      <c r="J772" s="2436"/>
      <c r="K772" s="2436"/>
      <c r="L772" s="2436"/>
      <c r="M772" s="2436"/>
      <c r="N772" s="2436"/>
      <c r="O772" s="2436"/>
      <c r="P772" s="2436"/>
      <c r="Q772" s="2436"/>
      <c r="R772" s="2436"/>
      <c r="S772" s="2436"/>
      <c r="T772" s="2436"/>
      <c r="U772" s="2436"/>
      <c r="V772" s="2436"/>
      <c r="W772" s="2436"/>
      <c r="X772" s="2436"/>
      <c r="Y772" s="2436"/>
      <c r="Z772" s="2436"/>
      <c r="AA772" s="2436"/>
      <c r="AB772" s="2436"/>
      <c r="AC772" s="2436"/>
      <c r="AD772" s="2436"/>
      <c r="AE772" s="595"/>
      <c r="AF772" s="595"/>
      <c r="AG772" s="595"/>
      <c r="AH772" s="595"/>
      <c r="AI772" s="595"/>
      <c r="AJ772" s="595"/>
      <c r="AK772" s="595"/>
      <c r="AL772" s="595"/>
      <c r="AM772" s="614"/>
      <c r="AN772" s="535"/>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row>
    <row r="773" spans="1:81" s="551" customFormat="1" ht="12.75" customHeight="1">
      <c r="B773" s="617"/>
      <c r="C773" s="941"/>
      <c r="D773" s="664"/>
      <c r="E773" s="909"/>
      <c r="F773" s="909"/>
      <c r="G773" s="909"/>
      <c r="H773" s="909"/>
      <c r="I773" s="909"/>
      <c r="J773" s="909"/>
      <c r="K773" s="909"/>
      <c r="L773" s="909"/>
      <c r="M773" s="909"/>
      <c r="N773" s="909"/>
      <c r="O773" s="909"/>
      <c r="P773" s="909"/>
      <c r="Q773" s="909"/>
      <c r="R773" s="909"/>
      <c r="S773" s="909"/>
      <c r="T773" s="909"/>
      <c r="U773" s="909"/>
      <c r="V773" s="909"/>
      <c r="W773" s="909"/>
      <c r="X773" s="909"/>
      <c r="Y773" s="909"/>
      <c r="Z773" s="909"/>
      <c r="AA773" s="909"/>
      <c r="AB773" s="909"/>
      <c r="AC773" s="909"/>
      <c r="AD773" s="909"/>
      <c r="AE773" s="595"/>
      <c r="AF773" s="537"/>
      <c r="AG773" s="537"/>
      <c r="AH773" s="537"/>
      <c r="AI773" s="537"/>
      <c r="AJ773" s="537"/>
      <c r="AK773" s="537"/>
      <c r="AL773" s="537"/>
      <c r="AM773" s="614"/>
      <c r="AN773" s="598"/>
    </row>
    <row r="774" spans="1:81" s="551" customFormat="1" ht="12.75" customHeight="1">
      <c r="B774" s="617"/>
      <c r="C774" s="941"/>
      <c r="D774" s="664" t="s">
        <v>509</v>
      </c>
      <c r="E774" s="2475" t="s">
        <v>1696</v>
      </c>
      <c r="F774" s="2475"/>
      <c r="G774" s="2475"/>
      <c r="H774" s="2475"/>
      <c r="I774" s="2475"/>
      <c r="J774" s="2475"/>
      <c r="K774" s="2475"/>
      <c r="L774" s="2475"/>
      <c r="M774" s="2475"/>
      <c r="N774" s="2475"/>
      <c r="O774" s="2475"/>
      <c r="P774" s="2475"/>
      <c r="Q774" s="2475"/>
      <c r="R774" s="2475"/>
      <c r="S774" s="2475"/>
      <c r="T774" s="2475"/>
      <c r="U774" s="2475"/>
      <c r="V774" s="2475"/>
      <c r="W774" s="2475"/>
      <c r="X774" s="2475"/>
      <c r="Y774" s="2475"/>
      <c r="Z774" s="2475"/>
      <c r="AA774" s="2475"/>
      <c r="AB774" s="2475"/>
      <c r="AC774" s="2475"/>
      <c r="AD774" s="2475"/>
      <c r="AE774" s="537"/>
      <c r="AF774" s="2381" t="s">
        <v>1351</v>
      </c>
      <c r="AG774" s="2381"/>
      <c r="AH774" s="2381"/>
      <c r="AI774" s="2381"/>
      <c r="AJ774" s="2381"/>
      <c r="AK774" s="2381"/>
      <c r="AL774" s="2381"/>
      <c r="AM774" s="614"/>
      <c r="AN774" s="598"/>
    </row>
    <row r="775" spans="1:81" s="551" customFormat="1" ht="12.75" customHeight="1">
      <c r="B775" s="617"/>
      <c r="C775" s="941"/>
      <c r="D775" s="664"/>
      <c r="E775" s="2475"/>
      <c r="F775" s="2475"/>
      <c r="G775" s="2475"/>
      <c r="H775" s="2475"/>
      <c r="I775" s="2475"/>
      <c r="J775" s="2475"/>
      <c r="K775" s="2475"/>
      <c r="L775" s="2475"/>
      <c r="M775" s="2475"/>
      <c r="N775" s="2475"/>
      <c r="O775" s="2475"/>
      <c r="P775" s="2475"/>
      <c r="Q775" s="2475"/>
      <c r="R775" s="2475"/>
      <c r="S775" s="2475"/>
      <c r="T775" s="2475"/>
      <c r="U775" s="2475"/>
      <c r="V775" s="2475"/>
      <c r="W775" s="2475"/>
      <c r="X775" s="2475"/>
      <c r="Y775" s="2475"/>
      <c r="Z775" s="2475"/>
      <c r="AA775" s="2475"/>
      <c r="AB775" s="2475"/>
      <c r="AC775" s="2475"/>
      <c r="AD775" s="2475"/>
      <c r="AE775" s="595"/>
      <c r="AF775" s="595"/>
      <c r="AG775" s="595"/>
      <c r="AH775" s="595"/>
      <c r="AI775" s="595"/>
      <c r="AJ775" s="595"/>
      <c r="AK775" s="595"/>
      <c r="AL775" s="595"/>
      <c r="AM775" s="614"/>
      <c r="AN775" s="598"/>
    </row>
    <row r="776" spans="1:81" s="551" customFormat="1" ht="12.75" customHeight="1">
      <c r="B776" s="617"/>
      <c r="C776" s="941"/>
      <c r="D776" s="664"/>
      <c r="E776" s="2475"/>
      <c r="F776" s="2475"/>
      <c r="G776" s="2475"/>
      <c r="H776" s="2475"/>
      <c r="I776" s="2475"/>
      <c r="J776" s="2475"/>
      <c r="K776" s="2475"/>
      <c r="L776" s="2475"/>
      <c r="M776" s="2475"/>
      <c r="N776" s="2475"/>
      <c r="O776" s="2475"/>
      <c r="P776" s="2475"/>
      <c r="Q776" s="2475"/>
      <c r="R776" s="2475"/>
      <c r="S776" s="2475"/>
      <c r="T776" s="2475"/>
      <c r="U776" s="2475"/>
      <c r="V776" s="2475"/>
      <c r="W776" s="2475"/>
      <c r="X776" s="2475"/>
      <c r="Y776" s="2475"/>
      <c r="Z776" s="2475"/>
      <c r="AA776" s="2475"/>
      <c r="AB776" s="2475"/>
      <c r="AC776" s="2475"/>
      <c r="AD776" s="2475"/>
      <c r="AE776" s="595"/>
      <c r="AF776" s="595"/>
      <c r="AG776" s="595"/>
      <c r="AH776" s="595"/>
      <c r="AI776" s="595"/>
      <c r="AJ776" s="595"/>
      <c r="AK776" s="595"/>
      <c r="AL776" s="595"/>
      <c r="AM776" s="614"/>
      <c r="AN776" s="598"/>
    </row>
    <row r="777" spans="1:81" s="551" customFormat="1" ht="12.75" customHeight="1">
      <c r="B777" s="617"/>
      <c r="C777" s="941"/>
      <c r="D777" s="664"/>
      <c r="E777" s="2475"/>
      <c r="F777" s="2475"/>
      <c r="G777" s="2475"/>
      <c r="H777" s="2475"/>
      <c r="I777" s="2475"/>
      <c r="J777" s="2475"/>
      <c r="K777" s="2475"/>
      <c r="L777" s="2475"/>
      <c r="M777" s="2475"/>
      <c r="N777" s="2475"/>
      <c r="O777" s="2475"/>
      <c r="P777" s="2475"/>
      <c r="Q777" s="2475"/>
      <c r="R777" s="2475"/>
      <c r="S777" s="2475"/>
      <c r="T777" s="2475"/>
      <c r="U777" s="2475"/>
      <c r="V777" s="2475"/>
      <c r="W777" s="2475"/>
      <c r="X777" s="2475"/>
      <c r="Y777" s="2475"/>
      <c r="Z777" s="2475"/>
      <c r="AA777" s="2475"/>
      <c r="AB777" s="2475"/>
      <c r="AC777" s="2475"/>
      <c r="AD777" s="2475"/>
      <c r="AE777" s="595"/>
      <c r="AF777" s="595"/>
      <c r="AG777" s="595"/>
      <c r="AH777" s="595"/>
      <c r="AI777" s="595"/>
      <c r="AJ777" s="595"/>
      <c r="AK777" s="595"/>
      <c r="AL777" s="595"/>
      <c r="AM777" s="614"/>
      <c r="AN777" s="598"/>
    </row>
    <row r="778" spans="1:81" s="551" customFormat="1" ht="12.75" customHeight="1">
      <c r="A778" s="571"/>
      <c r="B778" s="537"/>
      <c r="C778" s="537"/>
      <c r="D778" s="537"/>
      <c r="E778" s="537"/>
      <c r="F778" s="537"/>
      <c r="G778" s="537"/>
      <c r="H778" s="537"/>
      <c r="I778" s="537"/>
      <c r="J778" s="537"/>
      <c r="K778" s="537"/>
      <c r="L778" s="537"/>
      <c r="M778" s="537"/>
      <c r="N778" s="537"/>
      <c r="O778" s="537"/>
      <c r="P778" s="537"/>
      <c r="Q778" s="537"/>
      <c r="R778" s="537"/>
      <c r="S778" s="537"/>
      <c r="T778" s="537"/>
      <c r="U778" s="537"/>
      <c r="V778" s="537"/>
      <c r="W778" s="537"/>
      <c r="X778" s="537"/>
      <c r="Y778" s="537"/>
      <c r="Z778" s="537"/>
      <c r="AA778" s="537"/>
      <c r="AB778" s="537"/>
      <c r="AC778" s="537"/>
      <c r="AD778" s="537"/>
      <c r="AE778" s="537"/>
      <c r="AF778" s="537"/>
      <c r="AG778" s="537"/>
      <c r="AH778" s="537"/>
      <c r="AI778" s="537"/>
      <c r="AJ778" s="537"/>
      <c r="AK778" s="537"/>
      <c r="AL778" s="537"/>
      <c r="AM778" s="571"/>
      <c r="AN778" s="598"/>
    </row>
    <row r="779" spans="1:81" s="551" customFormat="1" ht="12.75" customHeight="1">
      <c r="B779" s="617"/>
      <c r="C779" s="941"/>
      <c r="D779" s="537" t="s">
        <v>1399</v>
      </c>
      <c r="E779" s="937"/>
      <c r="F779" s="937"/>
      <c r="G779" s="937"/>
      <c r="H779" s="2465" t="s">
        <v>591</v>
      </c>
      <c r="I779" s="2465"/>
      <c r="J779" s="644"/>
      <c r="K779" s="644"/>
      <c r="L779" s="644"/>
      <c r="M779" s="644"/>
      <c r="N779" s="644"/>
      <c r="O779" s="644"/>
      <c r="P779" s="644"/>
      <c r="Q779" s="644"/>
      <c r="R779" s="644"/>
      <c r="S779" s="644"/>
      <c r="T779" s="644"/>
      <c r="U779" s="644"/>
      <c r="V779" s="644"/>
      <c r="W779" s="644"/>
      <c r="X779" s="644"/>
      <c r="Y779" s="644"/>
      <c r="Z779" s="644"/>
      <c r="AA779" s="644"/>
      <c r="AB779" s="644"/>
      <c r="AC779" s="644"/>
      <c r="AD779" s="644"/>
      <c r="AE779" s="644"/>
      <c r="AF779" s="644"/>
      <c r="AG779" s="617"/>
      <c r="AH779" s="537"/>
      <c r="AI779" s="544"/>
      <c r="AJ779" s="596"/>
      <c r="AK779" s="596"/>
      <c r="AL779" s="596"/>
      <c r="AN779" s="598"/>
    </row>
    <row r="780" spans="1:81" s="551" customFormat="1" ht="12.75" customHeight="1">
      <c r="B780" s="617"/>
      <c r="C780" s="941"/>
      <c r="D780" s="617"/>
      <c r="E780" s="617"/>
      <c r="F780" s="617"/>
      <c r="G780" s="617"/>
      <c r="H780" s="617"/>
      <c r="I780" s="617"/>
      <c r="J780" s="617"/>
      <c r="K780" s="617"/>
      <c r="L780" s="617"/>
      <c r="M780" s="617"/>
      <c r="N780" s="617"/>
      <c r="O780" s="617"/>
      <c r="P780" s="617"/>
      <c r="Q780" s="617"/>
      <c r="R780" s="617"/>
      <c r="S780" s="617"/>
      <c r="T780" s="617"/>
      <c r="U780" s="617"/>
      <c r="V780" s="617"/>
      <c r="W780" s="617"/>
      <c r="X780" s="617"/>
      <c r="Y780" s="617"/>
      <c r="Z780" s="617"/>
      <c r="AA780" s="617"/>
      <c r="AB780" s="617"/>
      <c r="AC780" s="617"/>
      <c r="AD780" s="617"/>
      <c r="AE780" s="617"/>
      <c r="AF780" s="617"/>
      <c r="AG780" s="617"/>
      <c r="AH780" s="537"/>
      <c r="AI780" s="544"/>
      <c r="AJ780" s="596"/>
      <c r="AK780" s="596"/>
      <c r="AL780" s="596"/>
      <c r="AN780" s="598"/>
    </row>
    <row r="781" spans="1:81" s="551" customFormat="1" ht="12.75" customHeight="1">
      <c r="A781" s="607"/>
      <c r="B781" s="666"/>
      <c r="C781" s="956"/>
      <c r="D781" s="666"/>
      <c r="E781" s="666"/>
      <c r="F781" s="666"/>
      <c r="G781" s="666"/>
      <c r="H781" s="666"/>
      <c r="I781" s="666"/>
      <c r="J781" s="666"/>
      <c r="K781" s="666"/>
      <c r="L781" s="666"/>
      <c r="M781" s="666"/>
      <c r="N781" s="666"/>
      <c r="O781" s="666"/>
      <c r="P781" s="666"/>
      <c r="Q781" s="666"/>
      <c r="R781" s="666"/>
      <c r="S781" s="666"/>
      <c r="T781" s="666"/>
      <c r="U781" s="666"/>
      <c r="V781" s="666"/>
      <c r="W781" s="666"/>
      <c r="X781" s="666"/>
      <c r="Y781" s="666"/>
      <c r="Z781" s="666"/>
      <c r="AA781" s="666"/>
      <c r="AB781" s="666"/>
      <c r="AC781" s="666"/>
      <c r="AD781" s="666"/>
      <c r="AE781" s="666"/>
      <c r="AF781" s="666"/>
      <c r="AG781" s="666"/>
      <c r="AH781" s="602"/>
      <c r="AI781" s="566" t="s">
        <v>1447</v>
      </c>
      <c r="AJ781" s="2416">
        <f>VLOOKUP($H$779,$AO$769:$AP$771,2,FALSE)</f>
        <v>0</v>
      </c>
      <c r="AK781" s="2418"/>
      <c r="AL781" s="596"/>
      <c r="AN781" s="598"/>
    </row>
    <row r="782" spans="1:81" s="571" customFormat="1">
      <c r="A782" s="551"/>
      <c r="B782" s="617"/>
      <c r="C782" s="941"/>
      <c r="D782" s="617"/>
      <c r="E782" s="617"/>
      <c r="F782" s="617"/>
      <c r="G782" s="617"/>
      <c r="H782" s="617"/>
      <c r="I782" s="617"/>
      <c r="J782" s="617"/>
      <c r="K782" s="617"/>
      <c r="L782" s="617"/>
      <c r="M782" s="617"/>
      <c r="N782" s="617"/>
      <c r="O782" s="617"/>
      <c r="P782" s="617"/>
      <c r="Q782" s="617"/>
      <c r="R782" s="617"/>
      <c r="S782" s="617"/>
      <c r="T782" s="617"/>
      <c r="U782" s="617"/>
      <c r="V782" s="617"/>
      <c r="W782" s="617"/>
      <c r="X782" s="617"/>
      <c r="Y782" s="617"/>
      <c r="Z782" s="617"/>
      <c r="AA782" s="617"/>
      <c r="AB782" s="617"/>
      <c r="AC782" s="617"/>
      <c r="AD782" s="617"/>
      <c r="AE782" s="617"/>
      <c r="AF782" s="617"/>
      <c r="AG782" s="617"/>
      <c r="AH782" s="537"/>
      <c r="AI782" s="544"/>
      <c r="AJ782" s="596"/>
      <c r="AK782" s="596"/>
      <c r="AL782" s="596"/>
      <c r="AM782" s="551"/>
      <c r="AN782" s="685"/>
      <c r="AS782" s="675"/>
      <c r="AT782" s="675"/>
      <c r="AU782" s="675"/>
      <c r="AV782" s="675"/>
      <c r="AW782" s="675"/>
      <c r="AX782" s="675"/>
      <c r="AY782" s="675"/>
      <c r="AZ782" s="675"/>
      <c r="BA782" s="675"/>
      <c r="BB782" s="675"/>
      <c r="BC782" s="675"/>
      <c r="BD782" s="691"/>
      <c r="BE782" s="691"/>
      <c r="BF782" s="691"/>
      <c r="BG782" s="691"/>
      <c r="BH782" s="691"/>
      <c r="BI782" s="675"/>
      <c r="BJ782" s="675"/>
      <c r="BK782" s="675"/>
      <c r="BL782" s="675"/>
      <c r="BM782" s="675"/>
      <c r="BN782" s="675"/>
      <c r="BO782" s="675"/>
      <c r="BP782" s="675"/>
      <c r="BQ782" s="675"/>
      <c r="BR782" s="675"/>
      <c r="BS782" s="675"/>
      <c r="BT782" s="675"/>
      <c r="BU782" s="675"/>
      <c r="BV782" s="675"/>
      <c r="BW782" s="675"/>
      <c r="BX782" s="675"/>
      <c r="BY782" s="675"/>
      <c r="BZ782" s="675"/>
      <c r="CA782" s="675"/>
      <c r="CB782" s="675"/>
      <c r="CC782" s="675"/>
    </row>
    <row r="783" spans="1:81" s="571" customFormat="1">
      <c r="A783" s="551"/>
      <c r="B783" s="617"/>
      <c r="C783" s="540" t="s">
        <v>1448</v>
      </c>
      <c r="D783" s="617"/>
      <c r="E783" s="617"/>
      <c r="F783" s="617"/>
      <c r="G783" s="617"/>
      <c r="H783" s="617"/>
      <c r="I783" s="617"/>
      <c r="J783" s="617"/>
      <c r="K783" s="617"/>
      <c r="L783" s="617"/>
      <c r="M783" s="617"/>
      <c r="N783" s="617"/>
      <c r="O783" s="617"/>
      <c r="P783" s="617"/>
      <c r="Q783" s="617"/>
      <c r="R783" s="617"/>
      <c r="S783" s="617"/>
      <c r="T783" s="617"/>
      <c r="U783" s="617"/>
      <c r="V783" s="617"/>
      <c r="W783" s="617"/>
      <c r="X783" s="617"/>
      <c r="Y783" s="617"/>
      <c r="Z783" s="617"/>
      <c r="AA783" s="617"/>
      <c r="AB783" s="617"/>
      <c r="AC783" s="617"/>
      <c r="AD783" s="617"/>
      <c r="AE783" s="617"/>
      <c r="AF783" s="617"/>
      <c r="AG783" s="617"/>
      <c r="AH783" s="537"/>
      <c r="AI783" s="544"/>
      <c r="AJ783" s="596"/>
      <c r="AK783" s="596"/>
      <c r="AL783" s="596"/>
      <c r="AM783" s="551"/>
      <c r="AN783" s="685"/>
      <c r="AT783" s="675"/>
      <c r="AU783" s="675"/>
      <c r="AV783" s="675"/>
      <c r="AW783" s="675"/>
      <c r="AX783" s="675"/>
      <c r="AY783" s="675"/>
      <c r="AZ783" s="675"/>
    </row>
    <row r="784" spans="1:81" s="571" customFormat="1">
      <c r="A784" s="551"/>
      <c r="B784" s="617"/>
      <c r="C784" s="941"/>
      <c r="D784" s="617"/>
      <c r="E784" s="617"/>
      <c r="F784" s="617"/>
      <c r="G784" s="617"/>
      <c r="H784" s="617"/>
      <c r="I784" s="617"/>
      <c r="J784" s="617"/>
      <c r="K784" s="617"/>
      <c r="L784" s="617"/>
      <c r="M784" s="617"/>
      <c r="N784" s="617"/>
      <c r="O784" s="617"/>
      <c r="P784" s="617"/>
      <c r="Q784" s="617"/>
      <c r="R784" s="617"/>
      <c r="S784" s="617"/>
      <c r="T784" s="617"/>
      <c r="U784" s="617"/>
      <c r="V784" s="617"/>
      <c r="W784" s="617"/>
      <c r="X784" s="617"/>
      <c r="Y784" s="617"/>
      <c r="Z784" s="617"/>
      <c r="AA784" s="617"/>
      <c r="AB784" s="617"/>
      <c r="AC784" s="617"/>
      <c r="AD784" s="617"/>
      <c r="AE784" s="537"/>
      <c r="AF784" s="537"/>
      <c r="AG784" s="537"/>
      <c r="AH784" s="537"/>
      <c r="AI784" s="537"/>
      <c r="AJ784" s="537"/>
      <c r="AK784" s="537"/>
      <c r="AL784" s="596"/>
      <c r="AM784" s="551"/>
      <c r="AN784" s="685"/>
      <c r="AO784" s="551" t="s">
        <v>591</v>
      </c>
      <c r="AP784" s="681">
        <v>0</v>
      </c>
      <c r="AS784" s="675"/>
      <c r="AT784" s="675"/>
      <c r="AU784" s="675"/>
      <c r="AV784" s="675"/>
      <c r="AW784" s="675"/>
      <c r="AX784" s="675"/>
      <c r="AY784" s="675"/>
      <c r="AZ784" s="675"/>
      <c r="BA784" s="675"/>
      <c r="BB784" s="675"/>
      <c r="BC784" s="675"/>
      <c r="BD784" s="691"/>
      <c r="BE784" s="691"/>
      <c r="BF784" s="691"/>
      <c r="BG784" s="691"/>
      <c r="BH784" s="691"/>
      <c r="BI784" s="675"/>
      <c r="BJ784" s="675"/>
      <c r="BK784" s="675"/>
      <c r="BL784" s="675"/>
      <c r="BM784" s="675"/>
      <c r="BN784" s="675"/>
      <c r="BO784" s="675"/>
      <c r="BP784" s="675"/>
      <c r="BQ784" s="675"/>
      <c r="BR784" s="675"/>
      <c r="BS784" s="675"/>
      <c r="BT784" s="675"/>
      <c r="BU784" s="675"/>
      <c r="BV784" s="675"/>
      <c r="BW784" s="675"/>
      <c r="BX784" s="675"/>
      <c r="BY784" s="675"/>
      <c r="BZ784" s="675"/>
      <c r="CA784" s="675"/>
      <c r="CB784" s="675"/>
      <c r="CC784" s="675"/>
    </row>
    <row r="785" spans="1:81" s="571" customFormat="1" ht="13.7" customHeight="1">
      <c r="A785" s="551"/>
      <c r="B785" s="617"/>
      <c r="C785" s="941"/>
      <c r="D785" s="664" t="s">
        <v>687</v>
      </c>
      <c r="E785" s="2436" t="s">
        <v>2033</v>
      </c>
      <c r="F785" s="2436"/>
      <c r="G785" s="2436"/>
      <c r="H785" s="2436"/>
      <c r="I785" s="2436"/>
      <c r="J785" s="2436"/>
      <c r="K785" s="2436"/>
      <c r="L785" s="2436"/>
      <c r="M785" s="2436"/>
      <c r="N785" s="2436"/>
      <c r="O785" s="2436"/>
      <c r="P785" s="2436"/>
      <c r="Q785" s="2436"/>
      <c r="R785" s="2436"/>
      <c r="S785" s="2436"/>
      <c r="T785" s="2436"/>
      <c r="U785" s="2436"/>
      <c r="V785" s="2436"/>
      <c r="W785" s="2436"/>
      <c r="X785" s="2436"/>
      <c r="Y785" s="2436"/>
      <c r="Z785" s="2436"/>
      <c r="AA785" s="2436"/>
      <c r="AB785" s="2436"/>
      <c r="AC785" s="2436"/>
      <c r="AD785" s="2436"/>
      <c r="AE785" s="537"/>
      <c r="AF785" s="2381" t="s">
        <v>1351</v>
      </c>
      <c r="AG785" s="2381"/>
      <c r="AH785" s="2381"/>
      <c r="AI785" s="2381"/>
      <c r="AJ785" s="2381"/>
      <c r="AK785" s="2381"/>
      <c r="AL785" s="2381"/>
      <c r="AM785" s="614"/>
      <c r="AN785" s="685"/>
      <c r="AO785" s="612" t="s">
        <v>545</v>
      </c>
      <c r="AP785" s="551">
        <v>3</v>
      </c>
      <c r="AT785" s="675"/>
      <c r="AU785" s="675"/>
      <c r="AV785" s="675"/>
      <c r="AW785" s="675"/>
      <c r="AX785" s="675"/>
      <c r="AY785" s="675"/>
      <c r="AZ785" s="675"/>
    </row>
    <row r="786" spans="1:81" s="571" customFormat="1" ht="13.7" customHeight="1">
      <c r="A786" s="551"/>
      <c r="B786" s="617"/>
      <c r="C786" s="941"/>
      <c r="D786" s="664"/>
      <c r="E786" s="2436"/>
      <c r="F786" s="2436"/>
      <c r="G786" s="2436"/>
      <c r="H786" s="2436"/>
      <c r="I786" s="2436"/>
      <c r="J786" s="2436"/>
      <c r="K786" s="2436"/>
      <c r="L786" s="2436"/>
      <c r="M786" s="2436"/>
      <c r="N786" s="2436"/>
      <c r="O786" s="2436"/>
      <c r="P786" s="2436"/>
      <c r="Q786" s="2436"/>
      <c r="R786" s="2436"/>
      <c r="S786" s="2436"/>
      <c r="T786" s="2436"/>
      <c r="U786" s="2436"/>
      <c r="V786" s="2436"/>
      <c r="W786" s="2436"/>
      <c r="X786" s="2436"/>
      <c r="Y786" s="2436"/>
      <c r="Z786" s="2436"/>
      <c r="AA786" s="2436"/>
      <c r="AB786" s="2436"/>
      <c r="AC786" s="2436"/>
      <c r="AD786" s="2436"/>
      <c r="AE786" s="537"/>
      <c r="AF786" s="595"/>
      <c r="AG786" s="595"/>
      <c r="AH786" s="595"/>
      <c r="AI786" s="595"/>
      <c r="AJ786" s="595"/>
      <c r="AK786" s="595"/>
      <c r="AL786" s="595"/>
      <c r="AM786" s="614"/>
      <c r="AN786" s="685"/>
      <c r="AO786" s="612"/>
      <c r="AP786" s="551"/>
      <c r="AT786" s="675"/>
      <c r="AU786" s="675"/>
      <c r="AV786" s="675"/>
      <c r="AW786" s="675"/>
      <c r="AX786" s="675"/>
      <c r="AY786" s="675"/>
      <c r="AZ786" s="675"/>
    </row>
    <row r="787" spans="1:81" s="571" customFormat="1">
      <c r="A787" s="551"/>
      <c r="B787" s="617"/>
      <c r="C787" s="941"/>
      <c r="D787" s="664"/>
      <c r="E787" s="2436"/>
      <c r="F787" s="2436"/>
      <c r="G787" s="2436"/>
      <c r="H787" s="2436"/>
      <c r="I787" s="2436"/>
      <c r="J787" s="2436"/>
      <c r="K787" s="2436"/>
      <c r="L787" s="2436"/>
      <c r="M787" s="2436"/>
      <c r="N787" s="2436"/>
      <c r="O787" s="2436"/>
      <c r="P787" s="2436"/>
      <c r="Q787" s="2436"/>
      <c r="R787" s="2436"/>
      <c r="S787" s="2436"/>
      <c r="T787" s="2436"/>
      <c r="U787" s="2436"/>
      <c r="V787" s="2436"/>
      <c r="W787" s="2436"/>
      <c r="X787" s="2436"/>
      <c r="Y787" s="2436"/>
      <c r="Z787" s="2436"/>
      <c r="AA787" s="2436"/>
      <c r="AB787" s="2436"/>
      <c r="AC787" s="2436"/>
      <c r="AD787" s="2436"/>
      <c r="AE787" s="595"/>
      <c r="AF787" s="595"/>
      <c r="AG787" s="595"/>
      <c r="AH787" s="595"/>
      <c r="AI787" s="595"/>
      <c r="AJ787" s="595"/>
      <c r="AK787" s="595"/>
      <c r="AL787" s="595"/>
      <c r="AM787" s="614"/>
      <c r="AN787" s="685"/>
      <c r="AO787" s="612"/>
      <c r="AP787" s="551"/>
      <c r="AT787" s="675"/>
      <c r="AU787" s="675"/>
      <c r="AV787" s="675"/>
      <c r="AW787" s="675"/>
      <c r="AX787" s="675"/>
      <c r="AY787" s="675"/>
      <c r="AZ787" s="675"/>
    </row>
    <row r="788" spans="1:81" s="571" customFormat="1">
      <c r="A788" s="551"/>
      <c r="B788" s="617"/>
      <c r="C788" s="941"/>
      <c r="D788" s="664"/>
      <c r="E788" s="2436"/>
      <c r="F788" s="2436"/>
      <c r="G788" s="2436"/>
      <c r="H788" s="2436"/>
      <c r="I788" s="2436"/>
      <c r="J788" s="2436"/>
      <c r="K788" s="2436"/>
      <c r="L788" s="2436"/>
      <c r="M788" s="2436"/>
      <c r="N788" s="2436"/>
      <c r="O788" s="2436"/>
      <c r="P788" s="2436"/>
      <c r="Q788" s="2436"/>
      <c r="R788" s="2436"/>
      <c r="S788" s="2436"/>
      <c r="T788" s="2436"/>
      <c r="U788" s="2436"/>
      <c r="V788" s="2436"/>
      <c r="W788" s="2436"/>
      <c r="X788" s="2436"/>
      <c r="Y788" s="2436"/>
      <c r="Z788" s="2436"/>
      <c r="AA788" s="2436"/>
      <c r="AB788" s="2436"/>
      <c r="AC788" s="2436"/>
      <c r="AD788" s="2436"/>
      <c r="AE788" s="595"/>
      <c r="AF788" s="595"/>
      <c r="AG788" s="595"/>
      <c r="AH788" s="595"/>
      <c r="AI788" s="595"/>
      <c r="AJ788" s="595"/>
      <c r="AK788" s="595"/>
      <c r="AL788" s="595"/>
      <c r="AM788" s="614"/>
      <c r="AN788" s="685"/>
      <c r="AO788" s="692"/>
      <c r="AT788" s="675"/>
      <c r="AU788" s="675"/>
      <c r="AV788" s="675"/>
      <c r="AW788" s="675"/>
      <c r="AX788" s="675"/>
      <c r="AY788" s="675"/>
      <c r="AZ788" s="675"/>
    </row>
    <row r="789" spans="1:81" s="571" customFormat="1">
      <c r="A789" s="551"/>
      <c r="B789" s="617"/>
      <c r="C789" s="941"/>
      <c r="D789" s="664"/>
      <c r="E789" s="644"/>
      <c r="F789" s="644"/>
      <c r="G789" s="644"/>
      <c r="H789" s="644"/>
      <c r="I789" s="644"/>
      <c r="J789" s="644"/>
      <c r="K789" s="644"/>
      <c r="L789" s="644"/>
      <c r="M789" s="644"/>
      <c r="N789" s="644"/>
      <c r="O789" s="644"/>
      <c r="P789" s="644"/>
      <c r="Q789" s="644"/>
      <c r="R789" s="644"/>
      <c r="S789" s="644"/>
      <c r="T789" s="644"/>
      <c r="U789" s="644"/>
      <c r="V789" s="644"/>
      <c r="W789" s="644"/>
      <c r="X789" s="644"/>
      <c r="Y789" s="644"/>
      <c r="Z789" s="644"/>
      <c r="AA789" s="644"/>
      <c r="AB789" s="644"/>
      <c r="AC789" s="644"/>
      <c r="AD789" s="644"/>
      <c r="AE789" s="595"/>
      <c r="AF789" s="595"/>
      <c r="AG789" s="595"/>
      <c r="AH789" s="595"/>
      <c r="AI789" s="595"/>
      <c r="AJ789" s="595"/>
      <c r="AK789" s="595"/>
      <c r="AL789" s="595"/>
      <c r="AM789" s="614"/>
      <c r="AN789" s="685"/>
      <c r="AO789" s="692"/>
      <c r="AT789" s="675"/>
      <c r="AU789" s="675"/>
      <c r="AV789" s="675"/>
      <c r="AW789" s="675"/>
      <c r="AX789" s="675"/>
      <c r="AY789" s="675"/>
      <c r="AZ789" s="675"/>
    </row>
    <row r="790" spans="1:81" s="571" customFormat="1">
      <c r="A790" s="551"/>
      <c r="B790" s="617"/>
      <c r="C790" s="941"/>
      <c r="D790" s="537" t="s">
        <v>1399</v>
      </c>
      <c r="E790" s="937"/>
      <c r="F790" s="937"/>
      <c r="G790" s="937"/>
      <c r="H790" s="2465" t="s">
        <v>591</v>
      </c>
      <c r="I790" s="2465"/>
      <c r="J790" s="617"/>
      <c r="K790" s="617"/>
      <c r="L790" s="617"/>
      <c r="M790" s="617"/>
      <c r="N790" s="617"/>
      <c r="O790" s="617"/>
      <c r="P790" s="617"/>
      <c r="Q790" s="617"/>
      <c r="R790" s="617"/>
      <c r="S790" s="617"/>
      <c r="T790" s="617"/>
      <c r="U790" s="617"/>
      <c r="V790" s="617"/>
      <c r="W790" s="617"/>
      <c r="X790" s="617"/>
      <c r="Y790" s="617"/>
      <c r="Z790" s="617"/>
      <c r="AA790" s="617"/>
      <c r="AB790" s="617"/>
      <c r="AC790" s="617"/>
      <c r="AD790" s="617"/>
      <c r="AE790" s="617"/>
      <c r="AF790" s="617"/>
      <c r="AG790" s="617"/>
      <c r="AH790" s="537"/>
      <c r="AI790" s="544"/>
      <c r="AJ790" s="596"/>
      <c r="AK790" s="596"/>
      <c r="AL790" s="596"/>
      <c r="AM790" s="551"/>
      <c r="AN790" s="685"/>
      <c r="AS790" s="675"/>
      <c r="AT790" s="675"/>
      <c r="AU790" s="675"/>
      <c r="AV790" s="675"/>
      <c r="AW790" s="675"/>
      <c r="AX790" s="675"/>
      <c r="AY790" s="675"/>
      <c r="AZ790" s="675"/>
      <c r="BA790" s="675"/>
      <c r="BB790" s="675"/>
      <c r="BC790" s="675"/>
      <c r="BD790" s="691"/>
      <c r="BE790" s="691"/>
      <c r="BF790" s="691"/>
      <c r="BG790" s="691"/>
      <c r="BH790" s="691"/>
      <c r="BI790" s="675"/>
      <c r="BJ790" s="675"/>
      <c r="BK790" s="675"/>
      <c r="BL790" s="675"/>
      <c r="BM790" s="675"/>
      <c r="BN790" s="675"/>
      <c r="BO790" s="675"/>
      <c r="BP790" s="675"/>
      <c r="BQ790" s="675"/>
      <c r="BR790" s="675"/>
      <c r="BS790" s="675"/>
      <c r="BT790" s="675"/>
      <c r="BU790" s="675"/>
      <c r="BV790" s="675"/>
      <c r="BW790" s="675"/>
      <c r="BX790" s="675"/>
      <c r="BY790" s="675"/>
      <c r="BZ790" s="675"/>
      <c r="CA790" s="675"/>
      <c r="CB790" s="675"/>
      <c r="CC790" s="675"/>
    </row>
    <row r="791" spans="1:81" s="571" customFormat="1">
      <c r="A791" s="551"/>
      <c r="B791" s="617"/>
      <c r="C791" s="689"/>
      <c r="D791" s="552"/>
      <c r="E791" s="552"/>
      <c r="F791" s="552"/>
      <c r="G791" s="552"/>
      <c r="H791" s="552"/>
      <c r="I791" s="552"/>
      <c r="J791" s="552"/>
      <c r="K791" s="552"/>
      <c r="L791" s="552"/>
      <c r="M791" s="552"/>
      <c r="N791" s="552"/>
      <c r="O791" s="552"/>
      <c r="P791" s="552"/>
      <c r="Q791" s="552"/>
      <c r="R791" s="552"/>
      <c r="S791" s="552"/>
      <c r="T791" s="552"/>
      <c r="U791" s="552"/>
      <c r="V791" s="552"/>
      <c r="W791" s="552"/>
      <c r="X791" s="552"/>
      <c r="Y791" s="552"/>
      <c r="Z791" s="552"/>
      <c r="AA791" s="552"/>
      <c r="AB791" s="552"/>
      <c r="AC791" s="552"/>
      <c r="AD791" s="617"/>
      <c r="AE791" s="552"/>
      <c r="AF791" s="552"/>
      <c r="AG791" s="552"/>
      <c r="AH791" s="552"/>
      <c r="AI791" s="551"/>
      <c r="AJ791" s="551"/>
      <c r="AK791" s="551"/>
      <c r="AL791" s="551"/>
      <c r="AM791" s="551"/>
      <c r="AN791" s="685"/>
      <c r="AT791" s="675"/>
      <c r="AU791" s="675"/>
      <c r="AV791" s="675"/>
      <c r="AW791" s="675"/>
      <c r="AX791" s="675"/>
      <c r="AY791" s="675"/>
      <c r="AZ791" s="675"/>
    </row>
    <row r="792" spans="1:81" s="571" customFormat="1">
      <c r="A792" s="607"/>
      <c r="B792" s="666"/>
      <c r="C792" s="690"/>
      <c r="D792" s="665"/>
      <c r="E792" s="665"/>
      <c r="F792" s="665"/>
      <c r="G792" s="665"/>
      <c r="H792" s="665"/>
      <c r="I792" s="665"/>
      <c r="J792" s="665"/>
      <c r="K792" s="665"/>
      <c r="L792" s="665"/>
      <c r="M792" s="665"/>
      <c r="N792" s="665"/>
      <c r="O792" s="665"/>
      <c r="P792" s="665"/>
      <c r="Q792" s="665"/>
      <c r="R792" s="665"/>
      <c r="S792" s="665"/>
      <c r="T792" s="665"/>
      <c r="U792" s="665"/>
      <c r="V792" s="665"/>
      <c r="W792" s="665"/>
      <c r="X792" s="665"/>
      <c r="Y792" s="665"/>
      <c r="Z792" s="665"/>
      <c r="AA792" s="665"/>
      <c r="AB792" s="665"/>
      <c r="AC792" s="666"/>
      <c r="AD792" s="665"/>
      <c r="AE792" s="665"/>
      <c r="AF792" s="665"/>
      <c r="AG792" s="665"/>
      <c r="AH792" s="565"/>
      <c r="AI792" s="566" t="s">
        <v>1449</v>
      </c>
      <c r="AJ792" s="2416">
        <f>VLOOKUP($H$790,$AO$784:$AP$785,2,FALSE)</f>
        <v>0</v>
      </c>
      <c r="AK792" s="2418"/>
      <c r="AL792" s="596"/>
      <c r="AM792" s="551"/>
      <c r="AN792" s="685"/>
      <c r="AS792" s="675"/>
      <c r="AT792" s="675"/>
      <c r="AU792" s="675"/>
      <c r="AV792" s="675"/>
      <c r="AW792" s="675"/>
      <c r="AX792" s="675"/>
      <c r="AY792" s="675"/>
      <c r="AZ792" s="675"/>
      <c r="BA792" s="675"/>
      <c r="BB792" s="675"/>
      <c r="BC792" s="675"/>
      <c r="BD792" s="691"/>
      <c r="BE792" s="691"/>
      <c r="BF792" s="691"/>
      <c r="BG792" s="691"/>
      <c r="BH792" s="691"/>
      <c r="BI792" s="675"/>
      <c r="BJ792" s="675"/>
      <c r="BK792" s="675"/>
      <c r="BL792" s="675"/>
      <c r="BM792" s="675"/>
      <c r="BN792" s="675"/>
      <c r="BO792" s="675"/>
      <c r="BP792" s="675"/>
      <c r="BQ792" s="675"/>
      <c r="BR792" s="675"/>
      <c r="BS792" s="675"/>
      <c r="BT792" s="675"/>
      <c r="BU792" s="675"/>
      <c r="BV792" s="675"/>
      <c r="BW792" s="675"/>
      <c r="BX792" s="675"/>
      <c r="BY792" s="675"/>
      <c r="BZ792" s="675"/>
      <c r="CA792" s="675"/>
      <c r="CB792" s="675"/>
      <c r="CC792" s="675"/>
    </row>
    <row r="793" spans="1:81" s="551" customFormat="1" ht="12.75" customHeight="1">
      <c r="B793" s="617"/>
      <c r="C793" s="689"/>
      <c r="D793" s="552"/>
      <c r="E793" s="552"/>
      <c r="F793" s="552"/>
      <c r="G793" s="552"/>
      <c r="H793" s="552"/>
      <c r="I793" s="552"/>
      <c r="J793" s="552"/>
      <c r="K793" s="552"/>
      <c r="L793" s="552"/>
      <c r="M793" s="552"/>
      <c r="N793" s="552"/>
      <c r="O793" s="552"/>
      <c r="P793" s="552"/>
      <c r="Q793" s="552"/>
      <c r="R793" s="552"/>
      <c r="S793" s="552"/>
      <c r="T793" s="552"/>
      <c r="U793" s="552"/>
      <c r="V793" s="552"/>
      <c r="W793" s="552"/>
      <c r="X793" s="552"/>
      <c r="Y793" s="552"/>
      <c r="Z793" s="552"/>
      <c r="AA793" s="552"/>
      <c r="AB793" s="552"/>
      <c r="AC793" s="552"/>
      <c r="AD793" s="617"/>
      <c r="AE793" s="552"/>
      <c r="AF793" s="552"/>
      <c r="AG793" s="552"/>
      <c r="AH793" s="552"/>
      <c r="AN793" s="598"/>
    </row>
    <row r="794" spans="1:81" s="551" customFormat="1" ht="12.75" customHeight="1">
      <c r="A794" s="607"/>
      <c r="B794" s="665"/>
      <c r="C794" s="665"/>
      <c r="D794" s="665"/>
      <c r="E794" s="665"/>
      <c r="F794" s="665"/>
      <c r="G794" s="665"/>
      <c r="H794" s="665"/>
      <c r="I794" s="665"/>
      <c r="J794" s="665"/>
      <c r="K794" s="665"/>
      <c r="L794" s="665"/>
      <c r="M794" s="665"/>
      <c r="N794" s="665"/>
      <c r="O794" s="665"/>
      <c r="P794" s="665"/>
      <c r="Q794" s="665"/>
      <c r="R794" s="665"/>
      <c r="S794" s="665"/>
      <c r="T794" s="665"/>
      <c r="U794" s="665"/>
      <c r="V794" s="665"/>
      <c r="W794" s="665"/>
      <c r="X794" s="665"/>
      <c r="Y794" s="665"/>
      <c r="Z794" s="665"/>
      <c r="AA794" s="665"/>
      <c r="AB794" s="665"/>
      <c r="AC794" s="666"/>
      <c r="AD794" s="665"/>
      <c r="AE794" s="565"/>
      <c r="AF794" s="565"/>
      <c r="AG794" s="565"/>
      <c r="AH794" s="565"/>
      <c r="AI794" s="566"/>
      <c r="AJ794" s="566" t="s">
        <v>1450</v>
      </c>
      <c r="AK794" s="2416">
        <f>IF(($AJ$621+$AJ$640+$AJ$652+$AJ$687+$AJ$711+$AJ$725+$AJ$737+$AJ$753+$AJ$765+$AJ$781+AJ792)&gt;10,10,($AJ$621+$AJ$640+$AJ$652+$AJ$687+$AJ$711+$AJ$725+$AJ$737+$AJ$753+$AJ$765+$AJ$781+AJ792))</f>
        <v>10</v>
      </c>
      <c r="AL794" s="2417"/>
      <c r="AM794" s="2418"/>
      <c r="AN794" s="598"/>
    </row>
    <row r="795" spans="1:81" s="551" customFormat="1" ht="12.75" customHeight="1">
      <c r="B795" s="552"/>
      <c r="C795" s="552"/>
      <c r="D795" s="552"/>
      <c r="E795" s="552"/>
      <c r="F795" s="552"/>
      <c r="G795" s="552"/>
      <c r="H795" s="552"/>
      <c r="I795" s="552"/>
      <c r="J795" s="552"/>
      <c r="K795" s="552"/>
      <c r="L795" s="552"/>
      <c r="M795" s="552"/>
      <c r="N795" s="552"/>
      <c r="O795" s="552"/>
      <c r="P795" s="552"/>
      <c r="Q795" s="552"/>
      <c r="R795" s="552"/>
      <c r="S795" s="552"/>
      <c r="T795" s="552"/>
      <c r="U795" s="552"/>
      <c r="V795" s="552"/>
      <c r="W795" s="552"/>
      <c r="X795" s="552"/>
      <c r="Y795" s="552"/>
      <c r="Z795" s="552"/>
      <c r="AA795" s="552"/>
      <c r="AB795" s="552"/>
      <c r="AC795" s="617"/>
      <c r="AD795" s="552"/>
      <c r="AI795" s="544"/>
      <c r="AJ795" s="544"/>
      <c r="AK795" s="596"/>
      <c r="AL795" s="596"/>
      <c r="AM795" s="596"/>
      <c r="AN795" s="598"/>
    </row>
    <row r="796" spans="1:81">
      <c r="B796" s="551"/>
      <c r="C796" s="551"/>
      <c r="D796" s="551"/>
      <c r="E796" s="551"/>
      <c r="F796" s="551"/>
      <c r="G796" s="551"/>
      <c r="H796" s="551"/>
      <c r="I796" s="551"/>
      <c r="J796" s="551"/>
      <c r="K796" s="551"/>
      <c r="L796" s="551"/>
      <c r="M796" s="551"/>
      <c r="N796" s="551"/>
      <c r="O796" s="551"/>
      <c r="P796" s="551"/>
      <c r="Q796" s="551"/>
      <c r="R796" s="551"/>
      <c r="S796" s="551"/>
      <c r="T796" s="551"/>
      <c r="U796" s="551"/>
      <c r="V796" s="551"/>
      <c r="W796" s="551"/>
      <c r="X796" s="551"/>
      <c r="Y796" s="551"/>
      <c r="Z796" s="551"/>
      <c r="AA796" s="551"/>
      <c r="AB796" s="551"/>
      <c r="AC796" s="551"/>
      <c r="AD796" s="551"/>
      <c r="AE796" s="551"/>
      <c r="AF796" s="551"/>
      <c r="AG796" s="551"/>
      <c r="AH796" s="551"/>
      <c r="AI796" s="551"/>
      <c r="AJ796" s="551"/>
      <c r="AK796" s="551"/>
      <c r="AL796" s="551"/>
      <c r="AM796" s="551"/>
    </row>
    <row r="797" spans="1:81">
      <c r="A797" s="2509" t="s">
        <v>1567</v>
      </c>
      <c r="B797" s="2510"/>
      <c r="C797" s="2510"/>
      <c r="D797" s="2510"/>
      <c r="E797" s="2510"/>
      <c r="F797" s="2510"/>
      <c r="G797" s="2510"/>
      <c r="H797" s="2510"/>
      <c r="I797" s="2510"/>
      <c r="J797" s="2510"/>
      <c r="K797" s="2510"/>
      <c r="L797" s="2510"/>
      <c r="M797" s="2510"/>
      <c r="N797" s="2510"/>
      <c r="O797" s="2510"/>
      <c r="P797" s="2510"/>
      <c r="Q797" s="2510"/>
      <c r="R797" s="2510"/>
      <c r="S797" s="2510"/>
      <c r="T797" s="2510"/>
      <c r="U797" s="2510"/>
      <c r="V797" s="2510"/>
      <c r="W797" s="2510"/>
      <c r="X797" s="2510"/>
      <c r="Y797" s="2510"/>
      <c r="Z797" s="2510"/>
      <c r="AA797" s="2510"/>
      <c r="AB797" s="2510"/>
      <c r="AC797" s="2510"/>
      <c r="AD797" s="2510"/>
      <c r="AE797" s="2510"/>
      <c r="AF797" s="2510"/>
      <c r="AG797" s="2510"/>
      <c r="AH797" s="2510"/>
      <c r="AI797" s="2510"/>
      <c r="AJ797" s="2510"/>
      <c r="AK797" s="2510"/>
      <c r="AL797" s="2510"/>
      <c r="AM797" s="2510"/>
    </row>
    <row r="798" spans="1:81">
      <c r="A798" s="2511"/>
      <c r="B798" s="2511"/>
      <c r="C798" s="2511"/>
      <c r="D798" s="2511"/>
      <c r="E798" s="2511"/>
      <c r="F798" s="2511"/>
      <c r="G798" s="2511"/>
      <c r="H798" s="2511"/>
      <c r="I798" s="2511"/>
      <c r="J798" s="2511"/>
      <c r="K798" s="2511"/>
      <c r="L798" s="2511"/>
      <c r="M798" s="2511"/>
      <c r="N798" s="2511"/>
      <c r="O798" s="2511"/>
      <c r="P798" s="2511"/>
      <c r="Q798" s="2511"/>
      <c r="R798" s="2511"/>
      <c r="S798" s="2511"/>
      <c r="T798" s="2511"/>
      <c r="U798" s="2511"/>
      <c r="V798" s="2511"/>
      <c r="W798" s="2511"/>
      <c r="X798" s="2511"/>
      <c r="Y798" s="2511"/>
      <c r="Z798" s="2511"/>
      <c r="AA798" s="2511"/>
      <c r="AB798" s="2511"/>
      <c r="AC798" s="2511"/>
      <c r="AD798" s="2511"/>
      <c r="AE798" s="2511"/>
      <c r="AF798" s="2511"/>
      <c r="AG798" s="2511"/>
      <c r="AH798" s="2511"/>
      <c r="AI798" s="2511"/>
      <c r="AJ798" s="2511"/>
      <c r="AK798" s="2511"/>
      <c r="AL798" s="2511"/>
      <c r="AM798" s="2511"/>
      <c r="AO798" s="817"/>
      <c r="AP798" s="817"/>
      <c r="AQ798" s="817"/>
    </row>
    <row r="799" spans="1:81">
      <c r="A799" s="551"/>
      <c r="B799" s="572"/>
      <c r="C799" s="573"/>
      <c r="D799" s="573"/>
      <c r="E799" s="573"/>
      <c r="F799" s="573"/>
      <c r="G799" s="573"/>
      <c r="H799" s="573"/>
      <c r="I799" s="574"/>
      <c r="J799" s="574"/>
      <c r="K799" s="574"/>
      <c r="L799" s="574"/>
      <c r="M799" s="574"/>
      <c r="N799" s="574"/>
      <c r="O799" s="574"/>
      <c r="P799" s="574"/>
      <c r="Q799" s="574"/>
      <c r="S799" s="540"/>
      <c r="T799" s="540"/>
      <c r="U799" s="540"/>
      <c r="V799" s="540"/>
      <c r="W799" s="540"/>
      <c r="X799" s="540"/>
      <c r="Y799" s="540"/>
      <c r="Z799" s="540"/>
      <c r="AA799" s="540"/>
      <c r="AB799" s="540"/>
      <c r="AC799" s="540"/>
      <c r="AD799" s="540"/>
      <c r="AE799" s="540"/>
      <c r="AG799" s="540"/>
      <c r="AH799" s="540"/>
      <c r="AI799" s="540"/>
      <c r="AJ799" s="540"/>
      <c r="AK799" s="551"/>
      <c r="AL799" s="551"/>
      <c r="AM799" s="538"/>
      <c r="AO799" s="817"/>
      <c r="AP799" s="817"/>
      <c r="AQ799" s="817"/>
    </row>
    <row r="800" spans="1:81">
      <c r="A800" s="2457"/>
      <c r="B800" s="2457"/>
      <c r="C800" s="2457"/>
      <c r="D800" s="2457"/>
      <c r="E800" s="2457"/>
      <c r="F800" s="2457"/>
      <c r="G800" s="2457"/>
      <c r="H800" s="2457"/>
      <c r="I800" s="2457"/>
      <c r="J800" s="2457"/>
      <c r="K800" s="2457"/>
      <c r="L800" s="2457"/>
      <c r="M800" s="2457"/>
      <c r="N800" s="2457"/>
      <c r="O800" s="2457"/>
      <c r="P800" s="2457"/>
      <c r="Q800" s="2457"/>
      <c r="R800" s="2457"/>
      <c r="S800" s="2457"/>
      <c r="T800" s="2457"/>
      <c r="U800" s="2457"/>
      <c r="V800" s="2457"/>
      <c r="W800" s="2457"/>
      <c r="X800" s="2457"/>
      <c r="Y800" s="2457"/>
      <c r="Z800" s="2457"/>
      <c r="AA800" s="2457"/>
      <c r="AB800" s="2457"/>
      <c r="AC800" s="2457"/>
      <c r="AD800" s="2457"/>
      <c r="AE800" s="2457"/>
      <c r="AF800" s="2457"/>
      <c r="AG800" s="2457"/>
      <c r="AH800" s="2457"/>
      <c r="AI800" s="2457"/>
      <c r="AJ800" s="2457"/>
      <c r="AK800" s="2457"/>
      <c r="AL800" s="2457"/>
      <c r="AM800" s="2457"/>
      <c r="AP800" s="817"/>
      <c r="AQ800" s="817"/>
    </row>
    <row r="801" spans="1:81">
      <c r="A801" s="2457"/>
      <c r="B801" s="2457"/>
      <c r="C801" s="2457"/>
      <c r="D801" s="2457"/>
      <c r="E801" s="2457"/>
      <c r="F801" s="2457"/>
      <c r="G801" s="2457"/>
      <c r="H801" s="2457"/>
      <c r="I801" s="2457"/>
      <c r="J801" s="2457"/>
      <c r="K801" s="2457"/>
      <c r="L801" s="2457"/>
      <c r="M801" s="2457"/>
      <c r="N801" s="2457"/>
      <c r="O801" s="2457"/>
      <c r="P801" s="2457"/>
      <c r="Q801" s="2457"/>
      <c r="R801" s="2457"/>
      <c r="S801" s="2457"/>
      <c r="T801" s="2457"/>
      <c r="U801" s="2457"/>
      <c r="V801" s="2457"/>
      <c r="W801" s="2457"/>
      <c r="X801" s="2457"/>
      <c r="Y801" s="2457"/>
      <c r="Z801" s="2457"/>
      <c r="AA801" s="2457"/>
      <c r="AB801" s="2457"/>
      <c r="AC801" s="2457"/>
      <c r="AD801" s="2457"/>
      <c r="AE801" s="2457"/>
      <c r="AF801" s="2457"/>
      <c r="AG801" s="2457"/>
      <c r="AH801" s="2457"/>
      <c r="AI801" s="2457"/>
      <c r="AJ801" s="2457"/>
      <c r="AK801" s="2457"/>
      <c r="AL801" s="2457"/>
      <c r="AM801" s="2457"/>
      <c r="AO801" s="817"/>
      <c r="AQ801" s="817"/>
    </row>
    <row r="802" spans="1:81">
      <c r="A802" s="818"/>
      <c r="B802" s="668"/>
      <c r="C802" s="668"/>
      <c r="D802" s="668"/>
      <c r="E802" s="668"/>
      <c r="F802" s="668"/>
      <c r="G802" s="668"/>
      <c r="H802" s="668"/>
      <c r="I802" s="668"/>
      <c r="J802" s="668"/>
      <c r="K802" s="668"/>
      <c r="L802" s="668"/>
      <c r="M802" s="668"/>
      <c r="N802" s="668"/>
      <c r="O802" s="668"/>
      <c r="P802" s="668"/>
      <c r="Q802" s="668"/>
      <c r="R802" s="668"/>
      <c r="S802" s="670"/>
      <c r="T802" s="2512" t="s">
        <v>1568</v>
      </c>
      <c r="U802" s="2513"/>
      <c r="V802" s="2513"/>
      <c r="W802" s="2513"/>
      <c r="X802" s="2513"/>
      <c r="Y802" s="2514"/>
      <c r="Z802" s="2512" t="s">
        <v>1569</v>
      </c>
      <c r="AA802" s="2513"/>
      <c r="AB802" s="2513"/>
      <c r="AC802" s="2513"/>
      <c r="AD802" s="2513"/>
      <c r="AE802" s="2514"/>
      <c r="AF802" s="2512" t="s">
        <v>1570</v>
      </c>
      <c r="AG802" s="2513"/>
      <c r="AH802" s="2513"/>
      <c r="AI802" s="2513"/>
      <c r="AJ802" s="2513"/>
      <c r="AK802" s="2514"/>
      <c r="AL802" s="819"/>
      <c r="AM802" s="597"/>
      <c r="AO802" s="817"/>
      <c r="AP802" s="817"/>
      <c r="AQ802" s="817"/>
    </row>
    <row r="803" spans="1:81">
      <c r="A803" s="820"/>
      <c r="B803" s="695"/>
      <c r="C803" s="695"/>
      <c r="D803" s="695"/>
      <c r="E803" s="695"/>
      <c r="F803" s="695"/>
      <c r="G803" s="695"/>
      <c r="H803" s="695"/>
      <c r="I803" s="695"/>
      <c r="J803" s="695"/>
      <c r="K803" s="695"/>
      <c r="L803" s="695"/>
      <c r="M803" s="695"/>
      <c r="N803" s="695"/>
      <c r="O803" s="695"/>
      <c r="P803" s="695"/>
      <c r="Q803" s="695"/>
      <c r="R803" s="695"/>
      <c r="S803" s="709"/>
      <c r="T803" s="2515"/>
      <c r="U803" s="2516"/>
      <c r="V803" s="2516"/>
      <c r="W803" s="2516"/>
      <c r="X803" s="2516"/>
      <c r="Y803" s="2517"/>
      <c r="Z803" s="2515"/>
      <c r="AA803" s="2516"/>
      <c r="AB803" s="2516"/>
      <c r="AC803" s="2516"/>
      <c r="AD803" s="2516"/>
      <c r="AE803" s="2517"/>
      <c r="AF803" s="2515"/>
      <c r="AG803" s="2516"/>
      <c r="AH803" s="2516"/>
      <c r="AI803" s="2516"/>
      <c r="AJ803" s="2516"/>
      <c r="AK803" s="2517"/>
      <c r="AL803" s="819"/>
      <c r="AM803" s="597"/>
      <c r="AO803" s="817"/>
      <c r="AP803" s="817"/>
      <c r="AQ803" s="817"/>
    </row>
    <row r="804" spans="1:81">
      <c r="A804" s="820" t="s">
        <v>757</v>
      </c>
      <c r="B804" s="2492" t="s">
        <v>1303</v>
      </c>
      <c r="C804" s="2492"/>
      <c r="D804" s="2492"/>
      <c r="E804" s="2492"/>
      <c r="F804" s="2492"/>
      <c r="G804" s="2492"/>
      <c r="H804" s="2492"/>
      <c r="I804" s="2492"/>
      <c r="J804" s="2492"/>
      <c r="K804" s="2492"/>
      <c r="L804" s="2492"/>
      <c r="M804" s="2492"/>
      <c r="N804" s="2492"/>
      <c r="O804" s="2492"/>
      <c r="P804" s="2492"/>
      <c r="Q804" s="2492"/>
      <c r="R804" s="2492"/>
      <c r="S804" s="2493"/>
      <c r="T804" s="2494">
        <f>AK62</f>
        <v>0</v>
      </c>
      <c r="U804" s="2495"/>
      <c r="V804" s="2495"/>
      <c r="W804" s="2495"/>
      <c r="X804" s="2495"/>
      <c r="Y804" s="2496"/>
      <c r="Z804" s="2497">
        <v>20</v>
      </c>
      <c r="AA804" s="2495"/>
      <c r="AB804" s="2495"/>
      <c r="AC804" s="2495"/>
      <c r="AD804" s="2495"/>
      <c r="AE804" s="2496"/>
      <c r="AF804" s="2478">
        <f>IF(T804&gt;Z804,Z804,T804)</f>
        <v>0</v>
      </c>
      <c r="AG804" s="2478"/>
      <c r="AH804" s="2478"/>
      <c r="AI804" s="2478"/>
      <c r="AJ804" s="2478"/>
      <c r="AK804" s="2478"/>
      <c r="AL804" s="819"/>
      <c r="AM804" s="597"/>
      <c r="AO804" s="817"/>
      <c r="AP804" s="817"/>
      <c r="AQ804" s="817"/>
    </row>
    <row r="805" spans="1:81">
      <c r="A805" s="820" t="s">
        <v>1540</v>
      </c>
      <c r="B805" s="2492" t="s">
        <v>1312</v>
      </c>
      <c r="C805" s="2492"/>
      <c r="D805" s="2492"/>
      <c r="E805" s="2492"/>
      <c r="F805" s="2492"/>
      <c r="G805" s="2492"/>
      <c r="H805" s="2492"/>
      <c r="I805" s="2492"/>
      <c r="J805" s="2492"/>
      <c r="K805" s="2492"/>
      <c r="L805" s="2492"/>
      <c r="M805" s="2492"/>
      <c r="N805" s="2492"/>
      <c r="O805" s="2492"/>
      <c r="P805" s="2492"/>
      <c r="Q805" s="2492"/>
      <c r="R805" s="2492"/>
      <c r="S805" s="2493"/>
      <c r="T805" s="2494">
        <f>AK84</f>
        <v>10</v>
      </c>
      <c r="U805" s="2495"/>
      <c r="V805" s="2495"/>
      <c r="W805" s="2495"/>
      <c r="X805" s="2495"/>
      <c r="Y805" s="2496"/>
      <c r="Z805" s="2497">
        <v>10</v>
      </c>
      <c r="AA805" s="2495"/>
      <c r="AB805" s="2495"/>
      <c r="AC805" s="2495"/>
      <c r="AD805" s="2495"/>
      <c r="AE805" s="2496"/>
      <c r="AF805" s="2478">
        <f>IF(T805&gt;Z805,Z805,T805)</f>
        <v>10</v>
      </c>
      <c r="AG805" s="2478"/>
      <c r="AH805" s="2478"/>
      <c r="AI805" s="2478"/>
      <c r="AJ805" s="2478"/>
      <c r="AK805" s="2478"/>
      <c r="AL805" s="819"/>
      <c r="AM805" s="597"/>
      <c r="AO805" s="817"/>
      <c r="AP805" s="817"/>
      <c r="AQ805" s="817"/>
    </row>
    <row r="806" spans="1:81">
      <c r="A806" s="820" t="s">
        <v>1549</v>
      </c>
      <c r="B806" s="2492" t="s">
        <v>1322</v>
      </c>
      <c r="C806" s="2492"/>
      <c r="D806" s="2492"/>
      <c r="E806" s="2492"/>
      <c r="F806" s="2492"/>
      <c r="G806" s="2492"/>
      <c r="H806" s="2492"/>
      <c r="I806" s="2492"/>
      <c r="J806" s="2492"/>
      <c r="K806" s="2492"/>
      <c r="L806" s="2492"/>
      <c r="M806" s="2492"/>
      <c r="N806" s="2492"/>
      <c r="O806" s="2492"/>
      <c r="P806" s="2492"/>
      <c r="Q806" s="2492"/>
      <c r="R806" s="2492"/>
      <c r="S806" s="2493"/>
      <c r="T806" s="2494">
        <f ca="1">AK109</f>
        <v>20</v>
      </c>
      <c r="U806" s="2495"/>
      <c r="V806" s="2495"/>
      <c r="W806" s="2495"/>
      <c r="X806" s="2495"/>
      <c r="Y806" s="2496"/>
      <c r="Z806" s="2497">
        <v>20</v>
      </c>
      <c r="AA806" s="2495"/>
      <c r="AB806" s="2495"/>
      <c r="AC806" s="2495"/>
      <c r="AD806" s="2495"/>
      <c r="AE806" s="2496"/>
      <c r="AF806" s="2478">
        <f ca="1">IF(T806&gt;Z806,Z806,T806)</f>
        <v>20</v>
      </c>
      <c r="AG806" s="2478"/>
      <c r="AH806" s="2478"/>
      <c r="AI806" s="2478"/>
      <c r="AJ806" s="2478"/>
      <c r="AK806" s="2478"/>
      <c r="AL806" s="819"/>
      <c r="AM806" s="597"/>
      <c r="AO806" s="817"/>
      <c r="AP806" s="817"/>
      <c r="AQ806" s="817"/>
    </row>
    <row r="807" spans="1:81">
      <c r="A807" s="820" t="s">
        <v>1571</v>
      </c>
      <c r="B807" s="2492" t="s">
        <v>1332</v>
      </c>
      <c r="C807" s="2492"/>
      <c r="D807" s="2492"/>
      <c r="E807" s="2492"/>
      <c r="F807" s="2492"/>
      <c r="G807" s="2492"/>
      <c r="H807" s="2492"/>
      <c r="I807" s="2492"/>
      <c r="J807" s="2492"/>
      <c r="K807" s="2492"/>
      <c r="L807" s="2492"/>
      <c r="M807" s="2492"/>
      <c r="N807" s="2492"/>
      <c r="O807" s="2492"/>
      <c r="P807" s="2492"/>
      <c r="Q807" s="2492"/>
      <c r="R807" s="2492"/>
      <c r="S807" s="2493"/>
      <c r="T807" s="2494">
        <f>AK143</f>
        <v>10</v>
      </c>
      <c r="U807" s="2495"/>
      <c r="V807" s="2495"/>
      <c r="W807" s="2495"/>
      <c r="X807" s="2495"/>
      <c r="Y807" s="2496"/>
      <c r="Z807" s="2497">
        <v>10</v>
      </c>
      <c r="AA807" s="2495"/>
      <c r="AB807" s="2495"/>
      <c r="AC807" s="2495"/>
      <c r="AD807" s="2495"/>
      <c r="AE807" s="2496"/>
      <c r="AF807" s="2478">
        <f>IF(T807&gt;Z807,Z807,T807)</f>
        <v>10</v>
      </c>
      <c r="AG807" s="2478"/>
      <c r="AH807" s="2478"/>
      <c r="AI807" s="2478"/>
      <c r="AJ807" s="2478"/>
      <c r="AK807" s="2478"/>
      <c r="AL807" s="819"/>
      <c r="AM807" s="597"/>
      <c r="AO807" s="817"/>
      <c r="AP807" s="817"/>
      <c r="AQ807" s="817"/>
    </row>
    <row r="808" spans="1:81">
      <c r="A808" s="821" t="s">
        <v>1572</v>
      </c>
      <c r="B808" s="2492" t="s">
        <v>1573</v>
      </c>
      <c r="C808" s="2492"/>
      <c r="D808" s="2492"/>
      <c r="E808" s="2492"/>
      <c r="F808" s="2492"/>
      <c r="G808" s="2492"/>
      <c r="H808" s="2492"/>
      <c r="I808" s="2492"/>
      <c r="J808" s="2492"/>
      <c r="K808" s="2492"/>
      <c r="L808" s="2492"/>
      <c r="M808" s="2492"/>
      <c r="N808" s="2492"/>
      <c r="O808" s="2492"/>
      <c r="P808" s="2492"/>
      <c r="Q808" s="2492"/>
      <c r="R808" s="2492"/>
      <c r="S808" s="2493"/>
      <c r="T808" s="2518">
        <f>SUM(T809:Y810)</f>
        <v>10</v>
      </c>
      <c r="U808" s="2518"/>
      <c r="V808" s="2518"/>
      <c r="W808" s="2518"/>
      <c r="X808" s="2518"/>
      <c r="Y808" s="2518"/>
      <c r="Z808" s="2478">
        <v>10</v>
      </c>
      <c r="AA808" s="2478"/>
      <c r="AB808" s="2478"/>
      <c r="AC808" s="2478"/>
      <c r="AD808" s="2478"/>
      <c r="AE808" s="2478"/>
      <c r="AF808" s="2478">
        <f>IF(T808&gt;Z808,Z808,T808)</f>
        <v>10</v>
      </c>
      <c r="AG808" s="2478"/>
      <c r="AH808" s="2478"/>
      <c r="AI808" s="2478"/>
      <c r="AJ808" s="2478"/>
      <c r="AK808" s="2478"/>
      <c r="AL808" s="819"/>
      <c r="AM808" s="597"/>
    </row>
    <row r="809" spans="1:81">
      <c r="A809" s="536"/>
      <c r="B809" s="602"/>
      <c r="C809" s="2519" t="s">
        <v>1574</v>
      </c>
      <c r="D809" s="2519"/>
      <c r="E809" s="2519"/>
      <c r="F809" s="2519"/>
      <c r="G809" s="2519"/>
      <c r="H809" s="2519"/>
      <c r="I809" s="2519"/>
      <c r="J809" s="2519"/>
      <c r="K809" s="2519"/>
      <c r="L809" s="2519"/>
      <c r="M809" s="2519"/>
      <c r="N809" s="2519"/>
      <c r="O809" s="2519"/>
      <c r="P809" s="2519"/>
      <c r="Q809" s="2519"/>
      <c r="R809" s="2519"/>
      <c r="S809" s="2520"/>
      <c r="T809" s="2411">
        <f>AJ166</f>
        <v>7</v>
      </c>
      <c r="U809" s="2411"/>
      <c r="V809" s="2411"/>
      <c r="W809" s="2411"/>
      <c r="X809" s="2411"/>
      <c r="Y809" s="2411"/>
      <c r="Z809" s="2412">
        <v>7</v>
      </c>
      <c r="AA809" s="2412"/>
      <c r="AB809" s="2412"/>
      <c r="AC809" s="2412"/>
      <c r="AD809" s="2412"/>
      <c r="AE809" s="2412"/>
      <c r="AF809" s="2521"/>
      <c r="AG809" s="2521"/>
      <c r="AH809" s="2521"/>
      <c r="AI809" s="2521"/>
      <c r="AJ809" s="2521"/>
      <c r="AK809" s="2521"/>
      <c r="AL809" s="819"/>
      <c r="AM809" s="597"/>
    </row>
    <row r="810" spans="1:81">
      <c r="A810" s="601"/>
      <c r="B810" s="602"/>
      <c r="C810" s="2519" t="s">
        <v>1575</v>
      </c>
      <c r="D810" s="2519"/>
      <c r="E810" s="2519"/>
      <c r="F810" s="2519"/>
      <c r="G810" s="2519"/>
      <c r="H810" s="2519"/>
      <c r="I810" s="2519"/>
      <c r="J810" s="2519"/>
      <c r="K810" s="2519"/>
      <c r="L810" s="2519"/>
      <c r="M810" s="2519"/>
      <c r="N810" s="2519"/>
      <c r="O810" s="2519"/>
      <c r="P810" s="2519"/>
      <c r="Q810" s="2519"/>
      <c r="R810" s="2519"/>
      <c r="S810" s="2520"/>
      <c r="T810" s="2411">
        <f>AJ180</f>
        <v>3</v>
      </c>
      <c r="U810" s="2411"/>
      <c r="V810" s="2411"/>
      <c r="W810" s="2411"/>
      <c r="X810" s="2411"/>
      <c r="Y810" s="2411"/>
      <c r="Z810" s="2412">
        <v>3</v>
      </c>
      <c r="AA810" s="2412"/>
      <c r="AB810" s="2412"/>
      <c r="AC810" s="2412"/>
      <c r="AD810" s="2412"/>
      <c r="AE810" s="2412"/>
      <c r="AF810" s="2521"/>
      <c r="AG810" s="2521"/>
      <c r="AH810" s="2521"/>
      <c r="AI810" s="2521"/>
      <c r="AJ810" s="2521"/>
      <c r="AK810" s="2521"/>
      <c r="AL810" s="819"/>
      <c r="AM810" s="597"/>
      <c r="AO810" s="551"/>
    </row>
    <row r="811" spans="1:81">
      <c r="A811" s="821" t="s">
        <v>1360</v>
      </c>
      <c r="B811" s="2492" t="s">
        <v>1576</v>
      </c>
      <c r="C811" s="2492"/>
      <c r="D811" s="2492"/>
      <c r="E811" s="2492"/>
      <c r="F811" s="2492"/>
      <c r="G811" s="2492"/>
      <c r="H811" s="2492"/>
      <c r="I811" s="2492"/>
      <c r="J811" s="2492"/>
      <c r="K811" s="2492"/>
      <c r="L811" s="2492"/>
      <c r="M811" s="2492"/>
      <c r="N811" s="2492"/>
      <c r="O811" s="2492"/>
      <c r="P811" s="2492"/>
      <c r="Q811" s="2492"/>
      <c r="R811" s="2492"/>
      <c r="S811" s="2493"/>
      <c r="T811" s="2518">
        <f>AK191</f>
        <v>10</v>
      </c>
      <c r="U811" s="2518"/>
      <c r="V811" s="2518"/>
      <c r="W811" s="2518"/>
      <c r="X811" s="2518"/>
      <c r="Y811" s="2518"/>
      <c r="Z811" s="2478">
        <v>10</v>
      </c>
      <c r="AA811" s="2478"/>
      <c r="AB811" s="2478"/>
      <c r="AC811" s="2478"/>
      <c r="AD811" s="2478"/>
      <c r="AE811" s="2478"/>
      <c r="AF811" s="2478">
        <f>IF(T811&gt;Z811,Z811,T811)</f>
        <v>10</v>
      </c>
      <c r="AG811" s="2478"/>
      <c r="AH811" s="2478"/>
      <c r="AI811" s="2478"/>
      <c r="AJ811" s="2478"/>
      <c r="AK811" s="2478"/>
      <c r="AL811" s="819"/>
      <c r="AM811" s="597"/>
    </row>
    <row r="812" spans="1:81">
      <c r="A812" s="820" t="s">
        <v>1369</v>
      </c>
      <c r="B812" s="2492" t="s">
        <v>1370</v>
      </c>
      <c r="C812" s="2492"/>
      <c r="D812" s="2492"/>
      <c r="E812" s="2492"/>
      <c r="F812" s="2492"/>
      <c r="G812" s="2492"/>
      <c r="H812" s="2492"/>
      <c r="I812" s="2492"/>
      <c r="J812" s="2492"/>
      <c r="K812" s="2492"/>
      <c r="L812" s="2492"/>
      <c r="M812" s="2492"/>
      <c r="N812" s="2492"/>
      <c r="O812" s="2492"/>
      <c r="P812" s="2492"/>
      <c r="Q812" s="2492"/>
      <c r="R812" s="2492"/>
      <c r="S812" s="2493"/>
      <c r="T812" s="2518">
        <f>AK273</f>
        <v>8</v>
      </c>
      <c r="U812" s="2518"/>
      <c r="V812" s="2518"/>
      <c r="W812" s="2518"/>
      <c r="X812" s="2518"/>
      <c r="Y812" s="2518"/>
      <c r="Z812" s="2497">
        <v>8</v>
      </c>
      <c r="AA812" s="2495"/>
      <c r="AB812" s="2495"/>
      <c r="AC812" s="2495"/>
      <c r="AD812" s="2495"/>
      <c r="AE812" s="2496"/>
      <c r="AF812" s="2478">
        <f>IF(T812&gt;Z812,Z812,T812)</f>
        <v>8</v>
      </c>
      <c r="AG812" s="2478"/>
      <c r="AH812" s="2478"/>
      <c r="AI812" s="2478"/>
      <c r="AJ812" s="2478"/>
      <c r="AK812" s="2478"/>
      <c r="AL812" s="819"/>
      <c r="AM812" s="597"/>
    </row>
    <row r="813" spans="1:81" s="535" customFormat="1" hidden="1">
      <c r="A813" s="821" t="s">
        <v>589</v>
      </c>
      <c r="B813" s="2492" t="s">
        <v>1577</v>
      </c>
      <c r="C813" s="2492"/>
      <c r="D813" s="2492"/>
      <c r="E813" s="2492"/>
      <c r="F813" s="2492"/>
      <c r="G813" s="2492"/>
      <c r="H813" s="2492"/>
      <c r="I813" s="2492"/>
      <c r="J813" s="2492"/>
      <c r="K813" s="2492"/>
      <c r="L813" s="2492"/>
      <c r="M813" s="2492"/>
      <c r="N813" s="2492"/>
      <c r="O813" s="2492"/>
      <c r="P813" s="2492"/>
      <c r="Q813" s="2492"/>
      <c r="R813" s="2492"/>
      <c r="S813" s="2493"/>
      <c r="T813" s="2518">
        <f>IF(AK535&gt;5,5,AK535)</f>
        <v>0</v>
      </c>
      <c r="U813" s="2518"/>
      <c r="V813" s="2518"/>
      <c r="W813" s="2518"/>
      <c r="X813" s="2518"/>
      <c r="Y813" s="2518"/>
      <c r="Z813" s="2478">
        <v>5</v>
      </c>
      <c r="AA813" s="2478"/>
      <c r="AB813" s="2478"/>
      <c r="AC813" s="2478"/>
      <c r="AD813" s="2478"/>
      <c r="AE813" s="2478"/>
      <c r="AF813" s="2478">
        <f>IF(T813&gt;Z813,5,T813)</f>
        <v>0</v>
      </c>
      <c r="AG813" s="2478"/>
      <c r="AH813" s="2478"/>
      <c r="AI813" s="2478"/>
      <c r="AJ813" s="2478"/>
      <c r="AK813" s="2478"/>
      <c r="AL813" s="819"/>
      <c r="AM813" s="597"/>
      <c r="AO813" s="30"/>
      <c r="AP813" s="14"/>
      <c r="AQ813" s="14"/>
      <c r="AR813" s="14"/>
      <c r="AS813" s="14"/>
      <c r="AT813" s="14"/>
      <c r="AU813" s="14"/>
      <c r="AV813" s="14"/>
      <c r="AW813" s="14"/>
      <c r="AX813" s="14"/>
      <c r="AY813" s="14"/>
      <c r="AZ813" s="14"/>
      <c r="BA813" s="14"/>
      <c r="BB813" s="14"/>
      <c r="BC813" s="14"/>
      <c r="BD813" s="32"/>
      <c r="BE813" s="32"/>
      <c r="BF813" s="32"/>
      <c r="BG813" s="32"/>
      <c r="BH813" s="32"/>
      <c r="BI813" s="14"/>
      <c r="BJ813" s="14"/>
      <c r="BK813" s="14"/>
      <c r="BL813" s="14"/>
      <c r="BM813" s="14"/>
      <c r="BN813" s="14"/>
      <c r="BO813" s="14"/>
      <c r="BP813" s="14"/>
      <c r="BQ813" s="14"/>
      <c r="BR813" s="14"/>
      <c r="BS813" s="14"/>
      <c r="BT813" s="14"/>
      <c r="BU813" s="14"/>
      <c r="BV813" s="14"/>
      <c r="BW813" s="14"/>
      <c r="BX813" s="14"/>
      <c r="BY813" s="14"/>
      <c r="BZ813" s="14"/>
      <c r="CA813" s="14"/>
      <c r="CB813" s="14"/>
      <c r="CC813" s="14"/>
    </row>
    <row r="814" spans="1:81" s="535" customFormat="1">
      <c r="A814" s="820" t="s">
        <v>1375</v>
      </c>
      <c r="B814" s="2492" t="s">
        <v>1578</v>
      </c>
      <c r="C814" s="2492"/>
      <c r="D814" s="2492"/>
      <c r="E814" s="2492"/>
      <c r="F814" s="2492"/>
      <c r="G814" s="2492"/>
      <c r="H814" s="2492"/>
      <c r="I814" s="2492"/>
      <c r="J814" s="2492"/>
      <c r="K814" s="2492"/>
      <c r="L814" s="2492"/>
      <c r="M814" s="2492"/>
      <c r="N814" s="2492"/>
      <c r="O814" s="2492"/>
      <c r="P814" s="2492"/>
      <c r="Q814" s="2492"/>
      <c r="R814" s="2492"/>
      <c r="S814" s="2493"/>
      <c r="T814" s="2518">
        <f>AK285</f>
        <v>10</v>
      </c>
      <c r="U814" s="2518"/>
      <c r="V814" s="2518"/>
      <c r="W814" s="2518"/>
      <c r="X814" s="2518"/>
      <c r="Y814" s="2518"/>
      <c r="Z814" s="2478">
        <v>10</v>
      </c>
      <c r="AA814" s="2478"/>
      <c r="AB814" s="2478"/>
      <c r="AC814" s="2478"/>
      <c r="AD814" s="2478"/>
      <c r="AE814" s="2478"/>
      <c r="AF814" s="2524">
        <f>IF(T814&gt;Z814,Z814,T814)</f>
        <v>10</v>
      </c>
      <c r="AG814" s="2525"/>
      <c r="AH814" s="2525"/>
      <c r="AI814" s="2525"/>
      <c r="AJ814" s="2525"/>
      <c r="AK814" s="2526"/>
      <c r="AL814" s="819"/>
      <c r="AM814" s="597"/>
      <c r="AO814" s="30"/>
      <c r="AP814" s="14"/>
      <c r="AQ814" s="14"/>
      <c r="AR814" s="14"/>
      <c r="AS814" s="14"/>
      <c r="AT814" s="14"/>
      <c r="AU814" s="14"/>
      <c r="AV814" s="14"/>
      <c r="AW814" s="14"/>
      <c r="AX814" s="14"/>
      <c r="AY814" s="14"/>
      <c r="AZ814" s="14"/>
      <c r="BA814" s="14"/>
      <c r="BB814" s="14"/>
      <c r="BC814" s="14"/>
      <c r="BD814" s="32"/>
      <c r="BE814" s="32"/>
      <c r="BF814" s="32"/>
      <c r="BG814" s="32"/>
      <c r="BH814" s="32"/>
      <c r="BI814" s="14"/>
      <c r="BJ814" s="14"/>
      <c r="BK814" s="14"/>
      <c r="BL814" s="14"/>
      <c r="BM814" s="14"/>
      <c r="BN814" s="14"/>
      <c r="BO814" s="14"/>
      <c r="BP814" s="14"/>
      <c r="BQ814" s="14"/>
      <c r="BR814" s="14"/>
      <c r="BS814" s="14"/>
      <c r="BT814" s="14"/>
      <c r="BU814" s="14"/>
      <c r="BV814" s="14"/>
      <c r="BW814" s="14"/>
      <c r="BX814" s="14"/>
      <c r="BY814" s="14"/>
      <c r="BZ814" s="14"/>
      <c r="CA814" s="14"/>
      <c r="CB814" s="14"/>
      <c r="CC814" s="14"/>
    </row>
    <row r="815" spans="1:81" s="535" customFormat="1">
      <c r="A815" s="821" t="s">
        <v>1379</v>
      </c>
      <c r="B815" s="2492" t="s">
        <v>1380</v>
      </c>
      <c r="C815" s="2492"/>
      <c r="D815" s="2492"/>
      <c r="E815" s="2492"/>
      <c r="F815" s="2492"/>
      <c r="G815" s="2492"/>
      <c r="H815" s="2492"/>
      <c r="I815" s="2492"/>
      <c r="J815" s="2492"/>
      <c r="K815" s="2492"/>
      <c r="L815" s="2492"/>
      <c r="M815" s="2492"/>
      <c r="N815" s="2492"/>
      <c r="O815" s="2492"/>
      <c r="P815" s="2492"/>
      <c r="Q815" s="2492"/>
      <c r="R815" s="2492"/>
      <c r="S815" s="2493"/>
      <c r="T815" s="2518">
        <f>AK338</f>
        <v>9</v>
      </c>
      <c r="U815" s="2518"/>
      <c r="V815" s="2518"/>
      <c r="W815" s="2518"/>
      <c r="X815" s="2518"/>
      <c r="Y815" s="2518"/>
      <c r="Z815" s="2524">
        <v>10</v>
      </c>
      <c r="AA815" s="2525"/>
      <c r="AB815" s="2525"/>
      <c r="AC815" s="2525"/>
      <c r="AD815" s="2525"/>
      <c r="AE815" s="2526"/>
      <c r="AF815" s="2524">
        <f>IF(T815&gt;Z815,Z815,T815)</f>
        <v>9</v>
      </c>
      <c r="AG815" s="2525"/>
      <c r="AH815" s="2525"/>
      <c r="AI815" s="2525"/>
      <c r="AJ815" s="2525"/>
      <c r="AK815" s="2526"/>
      <c r="AL815" s="540"/>
      <c r="AM815" s="597"/>
      <c r="AO815" s="30"/>
      <c r="AP815" s="14"/>
      <c r="AQ815" s="14"/>
      <c r="AR815" s="14"/>
      <c r="AS815" s="14"/>
      <c r="AT815" s="14"/>
      <c r="AU815" s="14"/>
      <c r="AV815" s="14"/>
      <c r="AW815" s="14"/>
      <c r="AX815" s="14"/>
      <c r="AY815" s="14"/>
      <c r="AZ815" s="14"/>
      <c r="BA815" s="14"/>
      <c r="BB815" s="14"/>
      <c r="BC815" s="14"/>
      <c r="BD815" s="32"/>
      <c r="BE815" s="32"/>
      <c r="BF815" s="32"/>
      <c r="BG815" s="32"/>
      <c r="BH815" s="32"/>
      <c r="BI815" s="14"/>
      <c r="BJ815" s="14"/>
      <c r="BK815" s="14"/>
      <c r="BL815" s="14"/>
      <c r="BM815" s="14"/>
      <c r="BN815" s="14"/>
      <c r="BO815" s="14"/>
      <c r="BP815" s="14"/>
      <c r="BQ815" s="14"/>
      <c r="BR815" s="14"/>
      <c r="BS815" s="14"/>
      <c r="BT815" s="14"/>
      <c r="BU815" s="14"/>
      <c r="BV815" s="14"/>
      <c r="BW815" s="14"/>
      <c r="BX815" s="14"/>
      <c r="BY815" s="14"/>
      <c r="BZ815" s="14"/>
      <c r="CA815" s="14"/>
      <c r="CB815" s="14"/>
      <c r="CC815" s="14"/>
    </row>
    <row r="816" spans="1:81" s="535" customFormat="1" hidden="1">
      <c r="A816" s="821"/>
      <c r="B816" s="822"/>
      <c r="C816" s="823" t="s">
        <v>1579</v>
      </c>
      <c r="D816" s="824"/>
      <c r="E816" s="824"/>
      <c r="F816" s="824"/>
      <c r="G816" s="824"/>
      <c r="H816" s="824"/>
      <c r="I816" s="824"/>
      <c r="J816" s="824"/>
      <c r="K816" s="824"/>
      <c r="L816" s="824"/>
      <c r="M816" s="824"/>
      <c r="N816" s="824"/>
      <c r="O816" s="824"/>
      <c r="P816" s="824"/>
      <c r="Q816" s="824"/>
      <c r="R816" s="822"/>
      <c r="S816" s="825"/>
      <c r="T816" s="2411">
        <f>AK338</f>
        <v>9</v>
      </c>
      <c r="U816" s="2411"/>
      <c r="V816" s="2411"/>
      <c r="W816" s="2411"/>
      <c r="X816" s="2411"/>
      <c r="Y816" s="2411"/>
      <c r="Z816" s="2416">
        <v>20</v>
      </c>
      <c r="AA816" s="2417"/>
      <c r="AB816" s="2417"/>
      <c r="AC816" s="2417"/>
      <c r="AD816" s="2417"/>
      <c r="AE816" s="2418"/>
      <c r="AF816" s="2521"/>
      <c r="AG816" s="2521"/>
      <c r="AH816" s="2521"/>
      <c r="AI816" s="2521"/>
      <c r="AJ816" s="2521"/>
      <c r="AK816" s="2521"/>
      <c r="AL816" s="540"/>
      <c r="AM816" s="597"/>
      <c r="AO816" s="30"/>
      <c r="AP816" s="14"/>
      <c r="AQ816" s="14"/>
      <c r="AR816" s="14"/>
      <c r="AS816" s="14"/>
      <c r="AT816" s="14"/>
      <c r="AU816" s="14"/>
      <c r="AV816" s="14"/>
      <c r="AW816" s="14"/>
      <c r="AX816" s="14"/>
      <c r="AY816" s="14"/>
      <c r="AZ816" s="14"/>
      <c r="BA816" s="14"/>
      <c r="BB816" s="14"/>
      <c r="BC816" s="14"/>
      <c r="BD816" s="32"/>
      <c r="BE816" s="32"/>
      <c r="BF816" s="32"/>
      <c r="BG816" s="32"/>
      <c r="BH816" s="32"/>
      <c r="BI816" s="14"/>
      <c r="BJ816" s="14"/>
      <c r="BK816" s="14"/>
      <c r="BL816" s="14"/>
      <c r="BM816" s="14"/>
      <c r="BN816" s="14"/>
      <c r="BO816" s="14"/>
      <c r="BP816" s="14"/>
      <c r="BQ816" s="14"/>
      <c r="BR816" s="14"/>
      <c r="BS816" s="14"/>
      <c r="BT816" s="14"/>
      <c r="BU816" s="14"/>
      <c r="BV816" s="14"/>
      <c r="BW816" s="14"/>
      <c r="BX816" s="14"/>
      <c r="BY816" s="14"/>
      <c r="BZ816" s="14"/>
      <c r="CA816" s="14"/>
      <c r="CB816" s="14"/>
      <c r="CC816" s="14"/>
    </row>
    <row r="817" spans="1:81" s="535" customFormat="1">
      <c r="A817" s="821" t="s">
        <v>1452</v>
      </c>
      <c r="B817" s="2492" t="s">
        <v>845</v>
      </c>
      <c r="C817" s="2492"/>
      <c r="D817" s="2492"/>
      <c r="E817" s="2492"/>
      <c r="F817" s="2492"/>
      <c r="G817" s="2492"/>
      <c r="H817" s="2492"/>
      <c r="I817" s="2492"/>
      <c r="J817" s="2492"/>
      <c r="K817" s="2492"/>
      <c r="L817" s="2492"/>
      <c r="M817" s="2492"/>
      <c r="N817" s="2492"/>
      <c r="O817" s="2492"/>
      <c r="P817" s="2492"/>
      <c r="Q817" s="2492"/>
      <c r="R817" s="2492"/>
      <c r="S817" s="2493"/>
      <c r="T817" s="2518">
        <f>AK469</f>
        <v>10</v>
      </c>
      <c r="U817" s="2518"/>
      <c r="V817" s="2518"/>
      <c r="W817" s="2518"/>
      <c r="X817" s="2518"/>
      <c r="Y817" s="2518"/>
      <c r="Z817" s="2524">
        <v>10</v>
      </c>
      <c r="AA817" s="2525"/>
      <c r="AB817" s="2525"/>
      <c r="AC817" s="2525"/>
      <c r="AD817" s="2525"/>
      <c r="AE817" s="2526"/>
      <c r="AF817" s="2478">
        <f>IF(T817&gt;Z817,Z817,T817)</f>
        <v>10</v>
      </c>
      <c r="AG817" s="2478"/>
      <c r="AH817" s="2478"/>
      <c r="AI817" s="2478"/>
      <c r="AJ817" s="2478"/>
      <c r="AK817" s="2478"/>
      <c r="AL817" s="540"/>
      <c r="AM817" s="597"/>
      <c r="AO817" s="30"/>
      <c r="AP817" s="14"/>
      <c r="AQ817" s="14"/>
      <c r="AR817" s="14"/>
      <c r="AS817" s="14"/>
      <c r="AT817" s="14"/>
      <c r="AU817" s="14"/>
      <c r="AV817" s="14"/>
      <c r="AW817" s="14"/>
      <c r="AX817" s="14"/>
      <c r="AY817" s="14"/>
      <c r="AZ817" s="14"/>
      <c r="BA817" s="14"/>
      <c r="BB817" s="14"/>
      <c r="BC817" s="14"/>
      <c r="BD817" s="32"/>
      <c r="BE817" s="32"/>
      <c r="BF817" s="32"/>
      <c r="BG817" s="32"/>
      <c r="BH817" s="32"/>
      <c r="BI817" s="14"/>
      <c r="BJ817" s="14"/>
      <c r="BK817" s="14"/>
      <c r="BL817" s="14"/>
      <c r="BM817" s="14"/>
      <c r="BN817" s="14"/>
      <c r="BO817" s="14"/>
      <c r="BP817" s="14"/>
      <c r="BQ817" s="14"/>
      <c r="BR817" s="14"/>
      <c r="BS817" s="14"/>
      <c r="BT817" s="14"/>
      <c r="BU817" s="14"/>
      <c r="BV817" s="14"/>
      <c r="BW817" s="14"/>
      <c r="BX817" s="14"/>
      <c r="BY817" s="14"/>
      <c r="BZ817" s="14"/>
      <c r="CA817" s="14"/>
      <c r="CB817" s="14"/>
      <c r="CC817" s="14"/>
    </row>
    <row r="818" spans="1:81" s="535" customFormat="1">
      <c r="A818" s="821" t="s">
        <v>1557</v>
      </c>
      <c r="B818" s="2492" t="s">
        <v>1558</v>
      </c>
      <c r="C818" s="2492"/>
      <c r="D818" s="2492"/>
      <c r="E818" s="2492"/>
      <c r="F818" s="2492"/>
      <c r="G818" s="2492"/>
      <c r="H818" s="2492"/>
      <c r="I818" s="2492"/>
      <c r="J818" s="2492"/>
      <c r="K818" s="2492"/>
      <c r="L818" s="2492"/>
      <c r="M818" s="2492"/>
      <c r="N818" s="2492"/>
      <c r="O818" s="2492"/>
      <c r="P818" s="2492"/>
      <c r="Q818" s="2492"/>
      <c r="R818" s="2492"/>
      <c r="S818" s="2493"/>
      <c r="T818" s="2518">
        <f>AK559</f>
        <v>12</v>
      </c>
      <c r="U818" s="2518"/>
      <c r="V818" s="2518"/>
      <c r="W818" s="2518"/>
      <c r="X818" s="2518"/>
      <c r="Y818" s="2518"/>
      <c r="Z818" s="2524">
        <v>12</v>
      </c>
      <c r="AA818" s="2525"/>
      <c r="AB818" s="2525"/>
      <c r="AC818" s="2525"/>
      <c r="AD818" s="2525"/>
      <c r="AE818" s="2526"/>
      <c r="AF818" s="2478">
        <f>IF(T818&gt;Z818,Z818,T818)</f>
        <v>12</v>
      </c>
      <c r="AG818" s="2478"/>
      <c r="AH818" s="2478"/>
      <c r="AI818" s="2478"/>
      <c r="AJ818" s="2478"/>
      <c r="AK818" s="2478"/>
      <c r="AL818" s="540"/>
      <c r="AM818" s="597"/>
      <c r="AO818" s="30"/>
      <c r="AP818" s="14"/>
      <c r="AQ818" s="14"/>
      <c r="AR818" s="14"/>
      <c r="AS818" s="14"/>
      <c r="AT818" s="14"/>
      <c r="AU818" s="14"/>
      <c r="AV818" s="14"/>
      <c r="AW818" s="14"/>
      <c r="AX818" s="14"/>
      <c r="AY818" s="14"/>
      <c r="AZ818" s="14"/>
      <c r="BA818" s="14"/>
      <c r="BB818" s="14"/>
      <c r="BC818" s="14"/>
      <c r="BD818" s="32"/>
      <c r="BE818" s="32"/>
      <c r="BF818" s="32"/>
      <c r="BG818" s="32"/>
      <c r="BH818" s="32"/>
      <c r="BI818" s="14"/>
      <c r="BJ818" s="14"/>
      <c r="BK818" s="14"/>
      <c r="BL818" s="14"/>
      <c r="BM818" s="14"/>
      <c r="BN818" s="14"/>
      <c r="BO818" s="14"/>
      <c r="BP818" s="14"/>
      <c r="BQ818" s="14"/>
      <c r="BR818" s="14"/>
      <c r="BS818" s="14"/>
      <c r="BT818" s="14"/>
      <c r="BU818" s="14"/>
      <c r="BV818" s="14"/>
      <c r="BW818" s="14"/>
      <c r="BX818" s="14"/>
      <c r="BY818" s="14"/>
      <c r="BZ818" s="14"/>
      <c r="CA818" s="14"/>
      <c r="CB818" s="14"/>
      <c r="CC818" s="14"/>
    </row>
    <row r="819" spans="1:81" s="535" customFormat="1">
      <c r="A819" s="821" t="s">
        <v>2021</v>
      </c>
      <c r="B819" s="2492" t="s">
        <v>1580</v>
      </c>
      <c r="C819" s="2492"/>
      <c r="D819" s="2492"/>
      <c r="E819" s="2492"/>
      <c r="F819" s="2492"/>
      <c r="G819" s="2492"/>
      <c r="H819" s="2492"/>
      <c r="I819" s="2492"/>
      <c r="J819" s="2492"/>
      <c r="K819" s="2492"/>
      <c r="L819" s="2492"/>
      <c r="M819" s="2492"/>
      <c r="N819" s="2492"/>
      <c r="O819" s="2492"/>
      <c r="P819" s="2492"/>
      <c r="Q819" s="2492"/>
      <c r="R819" s="2492"/>
      <c r="S819" s="2493"/>
      <c r="T819" s="2518">
        <f>AK794</f>
        <v>10</v>
      </c>
      <c r="U819" s="2518"/>
      <c r="V819" s="2518"/>
      <c r="W819" s="2518"/>
      <c r="X819" s="2518"/>
      <c r="Y819" s="2518"/>
      <c r="Z819" s="2524">
        <v>10</v>
      </c>
      <c r="AA819" s="2525"/>
      <c r="AB819" s="2525"/>
      <c r="AC819" s="2525"/>
      <c r="AD819" s="2525"/>
      <c r="AE819" s="2526"/>
      <c r="AF819" s="2478">
        <f>IF(T819&gt;Z819,Z819,T819)</f>
        <v>10</v>
      </c>
      <c r="AG819" s="2478"/>
      <c r="AH819" s="2478"/>
      <c r="AI819" s="2478"/>
      <c r="AJ819" s="2478"/>
      <c r="AK819" s="2478"/>
      <c r="AL819" s="540"/>
      <c r="AM819" s="597"/>
      <c r="AO819" s="30"/>
      <c r="AP819" s="14"/>
      <c r="AQ819" s="14"/>
      <c r="AR819" s="14"/>
      <c r="AS819" s="14"/>
      <c r="AT819" s="14"/>
      <c r="AU819" s="14"/>
      <c r="AV819" s="14"/>
      <c r="AW819" s="14"/>
      <c r="AX819" s="14"/>
      <c r="AY819" s="14"/>
      <c r="AZ819" s="14"/>
      <c r="BA819" s="14"/>
      <c r="BB819" s="14"/>
      <c r="BC819" s="14"/>
      <c r="BD819" s="32"/>
      <c r="BE819" s="32"/>
      <c r="BF819" s="32"/>
      <c r="BG819" s="32"/>
      <c r="BH819" s="32"/>
      <c r="BI819" s="14"/>
      <c r="BJ819" s="14"/>
      <c r="BK819" s="14"/>
      <c r="BL819" s="14"/>
      <c r="BM819" s="14"/>
      <c r="BN819" s="14"/>
      <c r="BO819" s="14"/>
      <c r="BP819" s="14"/>
      <c r="BQ819" s="14"/>
      <c r="BR819" s="14"/>
      <c r="BS819" s="14"/>
      <c r="BT819" s="14"/>
      <c r="BU819" s="14"/>
      <c r="BV819" s="14"/>
      <c r="BW819" s="14"/>
      <c r="BX819" s="14"/>
      <c r="BY819" s="14"/>
      <c r="BZ819" s="14"/>
      <c r="CA819" s="14"/>
      <c r="CB819" s="14"/>
      <c r="CC819" s="14"/>
    </row>
    <row r="820" spans="1:81" s="535" customFormat="1">
      <c r="A820" s="2522" t="s">
        <v>1581</v>
      </c>
      <c r="B820" s="2492"/>
      <c r="C820" s="2492"/>
      <c r="D820" s="2492"/>
      <c r="E820" s="2492"/>
      <c r="F820" s="2492"/>
      <c r="G820" s="2492"/>
      <c r="H820" s="2492"/>
      <c r="I820" s="2492"/>
      <c r="J820" s="2492"/>
      <c r="K820" s="2492"/>
      <c r="L820" s="2492"/>
      <c r="M820" s="2492"/>
      <c r="N820" s="2492"/>
      <c r="O820" s="2492"/>
      <c r="P820" s="2492"/>
      <c r="Q820" s="2492"/>
      <c r="R820" s="2492"/>
      <c r="S820" s="2493"/>
      <c r="T820" s="2523"/>
      <c r="U820" s="2523"/>
      <c r="V820" s="2523"/>
      <c r="W820" s="2523"/>
      <c r="X820" s="2523"/>
      <c r="Y820" s="2523"/>
      <c r="Z820" s="2412" t="s">
        <v>1582</v>
      </c>
      <c r="AA820" s="2412"/>
      <c r="AB820" s="2412"/>
      <c r="AC820" s="2412"/>
      <c r="AD820" s="2412"/>
      <c r="AE820" s="2412"/>
      <c r="AF820" s="2524">
        <f>IF(T820&gt;0,T820,0)</f>
        <v>0</v>
      </c>
      <c r="AG820" s="2525"/>
      <c r="AH820" s="2525"/>
      <c r="AI820" s="2525"/>
      <c r="AJ820" s="2525"/>
      <c r="AK820" s="2526"/>
      <c r="AL820" s="592"/>
      <c r="AM820" s="597"/>
      <c r="AO820" s="30"/>
      <c r="AP820" s="14"/>
      <c r="AQ820" s="14"/>
      <c r="AR820" s="14"/>
      <c r="AS820" s="14"/>
      <c r="AT820" s="14"/>
      <c r="AU820" s="14"/>
      <c r="AV820" s="14"/>
      <c r="AW820" s="14"/>
      <c r="AX820" s="14"/>
      <c r="AY820" s="14"/>
      <c r="AZ820" s="14"/>
      <c r="BA820" s="14"/>
      <c r="BB820" s="14"/>
      <c r="BC820" s="14"/>
      <c r="BD820" s="32"/>
      <c r="BE820" s="32"/>
      <c r="BF820" s="32"/>
      <c r="BG820" s="32"/>
      <c r="BH820" s="32"/>
      <c r="BI820" s="14"/>
      <c r="BJ820" s="14"/>
      <c r="BK820" s="14"/>
      <c r="BL820" s="14"/>
      <c r="BM820" s="14"/>
      <c r="BN820" s="14"/>
      <c r="BO820" s="14"/>
      <c r="BP820" s="14"/>
      <c r="BQ820" s="14"/>
      <c r="BR820" s="14"/>
      <c r="BS820" s="14"/>
      <c r="BT820" s="14"/>
      <c r="BU820" s="14"/>
      <c r="BV820" s="14"/>
      <c r="BW820" s="14"/>
      <c r="BX820" s="14"/>
      <c r="BY820" s="14"/>
      <c r="BZ820" s="14"/>
      <c r="CA820" s="14"/>
      <c r="CB820" s="14"/>
      <c r="CC820" s="14"/>
    </row>
    <row r="821" spans="1:81" s="535" customFormat="1" ht="15.75">
      <c r="A821" s="2527" t="s">
        <v>1583</v>
      </c>
      <c r="B821" s="2528"/>
      <c r="C821" s="2528"/>
      <c r="D821" s="2528"/>
      <c r="E821" s="2528"/>
      <c r="F821" s="2528"/>
      <c r="G821" s="2528"/>
      <c r="H821" s="2528"/>
      <c r="I821" s="2528"/>
      <c r="J821" s="2528"/>
      <c r="K821" s="2528"/>
      <c r="L821" s="2528"/>
      <c r="M821" s="2528"/>
      <c r="N821" s="2528"/>
      <c r="O821" s="2528"/>
      <c r="P821" s="2528"/>
      <c r="Q821" s="2528"/>
      <c r="R821" s="2528"/>
      <c r="S821" s="2528"/>
      <c r="T821" s="2528"/>
      <c r="U821" s="2528"/>
      <c r="V821" s="2528"/>
      <c r="W821" s="2528"/>
      <c r="X821" s="2528"/>
      <c r="Y821" s="2528"/>
      <c r="Z821" s="2528"/>
      <c r="AA821" s="2528"/>
      <c r="AB821" s="2528"/>
      <c r="AC821" s="2528"/>
      <c r="AD821" s="2528"/>
      <c r="AE821" s="2529"/>
      <c r="AF821" s="2533">
        <f ca="1">SUM(AF804:AK819)-AF820</f>
        <v>119</v>
      </c>
      <c r="AG821" s="2534"/>
      <c r="AH821" s="2534"/>
      <c r="AI821" s="2534"/>
      <c r="AJ821" s="2534"/>
      <c r="AK821" s="2535"/>
      <c r="AL821" s="826"/>
      <c r="AM821" s="551"/>
      <c r="AO821" s="30"/>
      <c r="AP821" s="14"/>
      <c r="AQ821" s="14"/>
      <c r="AR821" s="14"/>
      <c r="AS821" s="14"/>
      <c r="AT821" s="14"/>
      <c r="AU821" s="14"/>
      <c r="AV821" s="14"/>
      <c r="AW821" s="14"/>
      <c r="AX821" s="14"/>
      <c r="AY821" s="14"/>
      <c r="AZ821" s="14"/>
      <c r="BA821" s="14"/>
      <c r="BB821" s="14"/>
      <c r="BC821" s="14"/>
      <c r="BD821" s="32"/>
      <c r="BE821" s="32"/>
      <c r="BF821" s="32"/>
      <c r="BG821" s="32"/>
      <c r="BH821" s="32"/>
      <c r="BI821" s="14"/>
      <c r="BJ821" s="14"/>
      <c r="BK821" s="14"/>
      <c r="BL821" s="14"/>
      <c r="BM821" s="14"/>
      <c r="BN821" s="14"/>
      <c r="BO821" s="14"/>
      <c r="BP821" s="14"/>
      <c r="BQ821" s="14"/>
      <c r="BR821" s="14"/>
      <c r="BS821" s="14"/>
      <c r="BT821" s="14"/>
      <c r="BU821" s="14"/>
      <c r="BV821" s="14"/>
      <c r="BW821" s="14"/>
      <c r="BX821" s="14"/>
      <c r="BY821" s="14"/>
      <c r="BZ821" s="14"/>
      <c r="CA821" s="14"/>
      <c r="CB821" s="14"/>
      <c r="CC821" s="14"/>
    </row>
    <row r="822" spans="1:81" s="535" customFormat="1" ht="15.75">
      <c r="A822" s="2530"/>
      <c r="B822" s="2531"/>
      <c r="C822" s="2531"/>
      <c r="D822" s="2531"/>
      <c r="E822" s="2531"/>
      <c r="F822" s="2531"/>
      <c r="G822" s="2531"/>
      <c r="H822" s="2531"/>
      <c r="I822" s="2531"/>
      <c r="J822" s="2531"/>
      <c r="K822" s="2531"/>
      <c r="L822" s="2531"/>
      <c r="M822" s="2531"/>
      <c r="N822" s="2531"/>
      <c r="O822" s="2531"/>
      <c r="P822" s="2531"/>
      <c r="Q822" s="2531"/>
      <c r="R822" s="2531"/>
      <c r="S822" s="2531"/>
      <c r="T822" s="2531"/>
      <c r="U822" s="2531"/>
      <c r="V822" s="2531"/>
      <c r="W822" s="2531"/>
      <c r="X822" s="2531"/>
      <c r="Y822" s="2531"/>
      <c r="Z822" s="2531"/>
      <c r="AA822" s="2531"/>
      <c r="AB822" s="2531"/>
      <c r="AC822" s="2531"/>
      <c r="AD822" s="2531"/>
      <c r="AE822" s="2532"/>
      <c r="AF822" s="2536"/>
      <c r="AG822" s="2537"/>
      <c r="AH822" s="2537"/>
      <c r="AI822" s="2537"/>
      <c r="AJ822" s="2537"/>
      <c r="AK822" s="2538"/>
      <c r="AL822" s="826"/>
      <c r="AM822" s="551"/>
      <c r="AO822" s="30"/>
      <c r="AP822" s="14"/>
      <c r="AQ822" s="14"/>
      <c r="AR822" s="14"/>
      <c r="AS822" s="14"/>
      <c r="AT822" s="14"/>
      <c r="AU822" s="14"/>
      <c r="AV822" s="14"/>
      <c r="AW822" s="14"/>
      <c r="AX822" s="14"/>
      <c r="AY822" s="14"/>
      <c r="AZ822" s="14"/>
      <c r="BA822" s="14"/>
      <c r="BB822" s="14"/>
      <c r="BC822" s="14"/>
      <c r="BD822" s="32"/>
      <c r="BE822" s="32"/>
      <c r="BF822" s="32"/>
      <c r="BG822" s="32"/>
      <c r="BH822" s="32"/>
      <c r="BI822" s="14"/>
      <c r="BJ822" s="14"/>
      <c r="BK822" s="14"/>
      <c r="BL822" s="14"/>
      <c r="BM822" s="14"/>
      <c r="BN822" s="14"/>
      <c r="BO822" s="14"/>
      <c r="BP822" s="14"/>
      <c r="BQ822" s="14"/>
      <c r="BR822" s="14"/>
      <c r="BS822" s="14"/>
      <c r="BT822" s="14"/>
      <c r="BU822" s="14"/>
      <c r="BV822" s="14"/>
      <c r="BW822" s="14"/>
      <c r="BX822" s="14"/>
      <c r="BY822" s="14"/>
      <c r="BZ822" s="14"/>
      <c r="CA822" s="14"/>
      <c r="CB822" s="14"/>
      <c r="CC822" s="14"/>
    </row>
    <row r="823" spans="1:81" s="535" customFormat="1">
      <c r="A823" s="664"/>
      <c r="B823" s="664"/>
      <c r="C823" s="664"/>
      <c r="D823" s="664"/>
      <c r="E823" s="664"/>
      <c r="F823" s="664"/>
      <c r="G823" s="664"/>
      <c r="H823" s="664"/>
      <c r="I823" s="664"/>
      <c r="J823" s="664"/>
      <c r="K823" s="664"/>
      <c r="L823" s="664"/>
      <c r="M823" s="664"/>
      <c r="N823" s="664"/>
      <c r="O823" s="664"/>
      <c r="P823" s="664"/>
      <c r="Q823" s="664"/>
      <c r="R823" s="664"/>
      <c r="S823" s="664"/>
      <c r="T823" s="664"/>
      <c r="U823" s="664"/>
      <c r="V823" s="664"/>
      <c r="W823" s="664"/>
      <c r="X823" s="664"/>
      <c r="Y823" s="664"/>
      <c r="Z823" s="664"/>
      <c r="AA823" s="664"/>
      <c r="AB823" s="664"/>
      <c r="AC823" s="664"/>
      <c r="AD823" s="664"/>
      <c r="AE823" s="664"/>
      <c r="AF823" s="664"/>
      <c r="AG823" s="664"/>
      <c r="AH823" s="664"/>
      <c r="AI823" s="664"/>
      <c r="AJ823" s="664"/>
      <c r="AK823" s="664"/>
      <c r="AL823" s="664"/>
      <c r="AM823" s="827"/>
      <c r="AO823" s="30"/>
      <c r="AP823" s="14"/>
      <c r="AQ823" s="14"/>
      <c r="AR823" s="14"/>
      <c r="AS823" s="14"/>
      <c r="AT823" s="14"/>
      <c r="AU823" s="14"/>
      <c r="AV823" s="14"/>
      <c r="AW823" s="14"/>
      <c r="AX823" s="14"/>
      <c r="AY823" s="14"/>
      <c r="AZ823" s="14"/>
      <c r="BA823" s="14"/>
      <c r="BB823" s="14"/>
      <c r="BC823" s="14"/>
      <c r="BD823" s="32"/>
      <c r="BE823" s="32"/>
      <c r="BF823" s="32"/>
      <c r="BG823" s="32"/>
      <c r="BH823" s="32"/>
      <c r="BI823" s="14"/>
      <c r="BJ823" s="14"/>
      <c r="BK823" s="14"/>
      <c r="BL823" s="14"/>
      <c r="BM823" s="14"/>
      <c r="BN823" s="14"/>
      <c r="BO823" s="14"/>
      <c r="BP823" s="14"/>
      <c r="BQ823" s="14"/>
      <c r="BR823" s="14"/>
      <c r="BS823" s="14"/>
      <c r="BT823" s="14"/>
      <c r="BU823" s="14"/>
      <c r="BV823" s="14"/>
      <c r="BW823" s="14"/>
      <c r="BX823" s="14"/>
      <c r="BY823" s="14"/>
      <c r="BZ823" s="14"/>
      <c r="CA823" s="14"/>
      <c r="CB823" s="14"/>
      <c r="CC823" s="14"/>
    </row>
    <row r="824" spans="1:81"/>
    <row r="825" spans="1:81"/>
    <row r="826" spans="1:81"/>
    <row r="827" spans="1:81"/>
  </sheetData>
  <sheetProtection algorithmName="SHA-512" hashValue="KdRTBoctiREnKegPHE3Zd2TPXM73PlcQSXZFUFdCQ1aQGb1ZhWpp271Avv3FPdk7xtI8+zAS6ZgBL+BqqyQ0IA==" saltValue="1GCRWMz8Ql8mbZdFAIpEmQ==" spinCount="100000" sheet="1" objects="1" scenarios="1"/>
  <mergeCells count="506">
    <mergeCell ref="B161:AJ162"/>
    <mergeCell ref="C163:AJ163"/>
    <mergeCell ref="C164:Z164"/>
    <mergeCell ref="AJ164:AK164"/>
    <mergeCell ref="F278:AD282"/>
    <mergeCell ref="AS362:AT362"/>
    <mergeCell ref="AP559:AR559"/>
    <mergeCell ref="E133:H133"/>
    <mergeCell ref="J133:M133"/>
    <mergeCell ref="O133:R133"/>
    <mergeCell ref="T133:W133"/>
    <mergeCell ref="Y133:AB133"/>
    <mergeCell ref="AD133:AG133"/>
    <mergeCell ref="E138:H138"/>
    <mergeCell ref="AB244:AG244"/>
    <mergeCell ref="AB226:AG226"/>
    <mergeCell ref="AB227:AG227"/>
    <mergeCell ref="AB228:AG228"/>
    <mergeCell ref="AB229:AG229"/>
    <mergeCell ref="T222:Y222"/>
    <mergeCell ref="T225:Y225"/>
    <mergeCell ref="T226:Y226"/>
    <mergeCell ref="T227:Y227"/>
    <mergeCell ref="N231:R231"/>
    <mergeCell ref="AP553:AR553"/>
    <mergeCell ref="I225:K225"/>
    <mergeCell ref="AB250:AG250"/>
    <mergeCell ref="AB234:AG234"/>
    <mergeCell ref="AB230:AG230"/>
    <mergeCell ref="AB231:AG231"/>
    <mergeCell ref="AB232:AG232"/>
    <mergeCell ref="AB233:AG233"/>
    <mergeCell ref="T230:Y230"/>
    <mergeCell ref="T231:Y231"/>
    <mergeCell ref="T232:Y232"/>
    <mergeCell ref="T233:Y233"/>
    <mergeCell ref="AB245:AG245"/>
    <mergeCell ref="AP550:AR550"/>
    <mergeCell ref="F545:AL546"/>
    <mergeCell ref="F548:AK549"/>
    <mergeCell ref="AF551:AJ551"/>
    <mergeCell ref="AF552:AJ552"/>
    <mergeCell ref="AF553:AJ553"/>
    <mergeCell ref="AK469:AM469"/>
    <mergeCell ref="N225:R225"/>
    <mergeCell ref="N226:R226"/>
    <mergeCell ref="AK535:AM535"/>
    <mergeCell ref="F453:AE455"/>
    <mergeCell ref="AK794:AM794"/>
    <mergeCell ref="AP554:AR554"/>
    <mergeCell ref="AP557:AR557"/>
    <mergeCell ref="AP556:AR556"/>
    <mergeCell ref="N228:R228"/>
    <mergeCell ref="N229:R229"/>
    <mergeCell ref="V485:X485"/>
    <mergeCell ref="V487:X487"/>
    <mergeCell ref="V492:X492"/>
    <mergeCell ref="C369:AJ371"/>
    <mergeCell ref="U373:W373"/>
    <mergeCell ref="U374:W374"/>
    <mergeCell ref="AQ375:AR375"/>
    <mergeCell ref="F377:AF380"/>
    <mergeCell ref="C381:D381"/>
    <mergeCell ref="AF381:AL381"/>
    <mergeCell ref="C350:AJ352"/>
    <mergeCell ref="C353:AJ361"/>
    <mergeCell ref="H779:I779"/>
    <mergeCell ref="AJ781:AK781"/>
    <mergeCell ref="N232:R232"/>
    <mergeCell ref="N233:R233"/>
    <mergeCell ref="T228:Y228"/>
    <mergeCell ref="AP552:AR552"/>
    <mergeCell ref="C544:D544"/>
    <mergeCell ref="AB247:AG247"/>
    <mergeCell ref="B210:AB210"/>
    <mergeCell ref="T224:Y224"/>
    <mergeCell ref="T223:Y223"/>
    <mergeCell ref="AB240:AG240"/>
    <mergeCell ref="AB243:AG243"/>
    <mergeCell ref="F503:Z503"/>
    <mergeCell ref="C505:D505"/>
    <mergeCell ref="F505:AE506"/>
    <mergeCell ref="F508:H508"/>
    <mergeCell ref="D495:E495"/>
    <mergeCell ref="V496:X496"/>
    <mergeCell ref="V498:X498"/>
    <mergeCell ref="F480:Z480"/>
    <mergeCell ref="C482:D482"/>
    <mergeCell ref="C457:D457"/>
    <mergeCell ref="F457:AE460"/>
    <mergeCell ref="AF457:AL457"/>
    <mergeCell ref="F462:AF465"/>
    <mergeCell ref="AE472:AK472"/>
    <mergeCell ref="F384:AF388"/>
    <mergeCell ref="T229:Y229"/>
    <mergeCell ref="AE341:AK341"/>
    <mergeCell ref="AB223:AG223"/>
    <mergeCell ref="I226:K226"/>
    <mergeCell ref="I227:K227"/>
    <mergeCell ref="N230:R230"/>
    <mergeCell ref="N227:R227"/>
    <mergeCell ref="E785:AD788"/>
    <mergeCell ref="I228:K228"/>
    <mergeCell ref="I229:K229"/>
    <mergeCell ref="I230:K230"/>
    <mergeCell ref="B230:G230"/>
    <mergeCell ref="B231:G231"/>
    <mergeCell ref="B232:G232"/>
    <mergeCell ref="B233:G233"/>
    <mergeCell ref="B226:G226"/>
    <mergeCell ref="B227:G227"/>
    <mergeCell ref="B224:G224"/>
    <mergeCell ref="B225:G225"/>
    <mergeCell ref="B228:G228"/>
    <mergeCell ref="AE538:AK538"/>
    <mergeCell ref="C541:D541"/>
    <mergeCell ref="F541:AL542"/>
    <mergeCell ref="C510:D510"/>
    <mergeCell ref="C512:D512"/>
    <mergeCell ref="G513:AF513"/>
    <mergeCell ref="B812:S812"/>
    <mergeCell ref="T812:Y812"/>
    <mergeCell ref="Z812:AE812"/>
    <mergeCell ref="AF812:AK812"/>
    <mergeCell ref="B813:S813"/>
    <mergeCell ref="T813:Y813"/>
    <mergeCell ref="Z813:AE813"/>
    <mergeCell ref="AF813:AK813"/>
    <mergeCell ref="C810:S810"/>
    <mergeCell ref="T810:Y810"/>
    <mergeCell ref="Z810:AE810"/>
    <mergeCell ref="AF810:AK810"/>
    <mergeCell ref="B811:S811"/>
    <mergeCell ref="T811:Y811"/>
    <mergeCell ref="Z811:AE811"/>
    <mergeCell ref="AF811:AK811"/>
    <mergeCell ref="B814:S814"/>
    <mergeCell ref="T814:Y814"/>
    <mergeCell ref="Z814:AE814"/>
    <mergeCell ref="AF814:AK814"/>
    <mergeCell ref="B815:S815"/>
    <mergeCell ref="T815:Y815"/>
    <mergeCell ref="Z815:AE815"/>
    <mergeCell ref="AF815:AK815"/>
    <mergeCell ref="T816:Y816"/>
    <mergeCell ref="Z816:AE816"/>
    <mergeCell ref="AF816:AK816"/>
    <mergeCell ref="A820:S820"/>
    <mergeCell ref="T820:Y820"/>
    <mergeCell ref="Z820:AE820"/>
    <mergeCell ref="AF820:AK820"/>
    <mergeCell ref="A821:AE822"/>
    <mergeCell ref="AF821:AK822"/>
    <mergeCell ref="B817:S817"/>
    <mergeCell ref="T817:Y817"/>
    <mergeCell ref="Z817:AE817"/>
    <mergeCell ref="AF817:AK817"/>
    <mergeCell ref="B818:S818"/>
    <mergeCell ref="T818:Y818"/>
    <mergeCell ref="Z818:AE818"/>
    <mergeCell ref="AF818:AK818"/>
    <mergeCell ref="T819:Y819"/>
    <mergeCell ref="Z819:AE819"/>
    <mergeCell ref="AF819:AK819"/>
    <mergeCell ref="B819:S819"/>
    <mergeCell ref="B808:S808"/>
    <mergeCell ref="T808:Y808"/>
    <mergeCell ref="Z808:AE808"/>
    <mergeCell ref="AF808:AK808"/>
    <mergeCell ref="C809:S809"/>
    <mergeCell ref="T809:Y809"/>
    <mergeCell ref="Z809:AE809"/>
    <mergeCell ref="AF809:AK809"/>
    <mergeCell ref="B806:S806"/>
    <mergeCell ref="T806:Y806"/>
    <mergeCell ref="Z806:AE806"/>
    <mergeCell ref="AF806:AK806"/>
    <mergeCell ref="B807:S807"/>
    <mergeCell ref="T807:Y807"/>
    <mergeCell ref="Z807:AE807"/>
    <mergeCell ref="AF807:AK807"/>
    <mergeCell ref="B804:S804"/>
    <mergeCell ref="T804:Y804"/>
    <mergeCell ref="Z804:AE804"/>
    <mergeCell ref="AF804:AK804"/>
    <mergeCell ref="B805:S805"/>
    <mergeCell ref="T805:Y805"/>
    <mergeCell ref="Z805:AE805"/>
    <mergeCell ref="AF805:AK805"/>
    <mergeCell ref="B555:AJ557"/>
    <mergeCell ref="AK559:AM559"/>
    <mergeCell ref="A797:AM798"/>
    <mergeCell ref="A800:AM800"/>
    <mergeCell ref="A801:AM801"/>
    <mergeCell ref="T802:Y803"/>
    <mergeCell ref="Z802:AE803"/>
    <mergeCell ref="AF802:AK803"/>
    <mergeCell ref="E694:AB697"/>
    <mergeCell ref="AF694:AL694"/>
    <mergeCell ref="E665:AC667"/>
    <mergeCell ref="AF665:AL665"/>
    <mergeCell ref="AE666:AK666"/>
    <mergeCell ref="E669:AC671"/>
    <mergeCell ref="AF669:AL669"/>
    <mergeCell ref="E673:AC675"/>
    <mergeCell ref="C515:D515"/>
    <mergeCell ref="C519:D519"/>
    <mergeCell ref="G519:AF520"/>
    <mergeCell ref="C523:D523"/>
    <mergeCell ref="F524:AF525"/>
    <mergeCell ref="C466:D466"/>
    <mergeCell ref="AF466:AL466"/>
    <mergeCell ref="C501:D501"/>
    <mergeCell ref="F501:AE502"/>
    <mergeCell ref="AF453:AL453"/>
    <mergeCell ref="C423:D423"/>
    <mergeCell ref="AF423:AL423"/>
    <mergeCell ref="F427:AE429"/>
    <mergeCell ref="C430:D430"/>
    <mergeCell ref="AF430:AL430"/>
    <mergeCell ref="F433:AE441"/>
    <mergeCell ref="C478:D478"/>
    <mergeCell ref="F478:AE479"/>
    <mergeCell ref="AS358:AT358"/>
    <mergeCell ref="AS360:AT360"/>
    <mergeCell ref="C362:AJ367"/>
    <mergeCell ref="AQ366:AR366"/>
    <mergeCell ref="C412:D412"/>
    <mergeCell ref="F412:AE415"/>
    <mergeCell ref="AF413:AL413"/>
    <mergeCell ref="F417:AE420"/>
    <mergeCell ref="C421:D421"/>
    <mergeCell ref="AF421:AL421"/>
    <mergeCell ref="C399:D399"/>
    <mergeCell ref="AF399:AL399"/>
    <mergeCell ref="F403:AF406"/>
    <mergeCell ref="C407:D407"/>
    <mergeCell ref="AF407:AL407"/>
    <mergeCell ref="C409:D409"/>
    <mergeCell ref="AF409:AL409"/>
    <mergeCell ref="H751:I751"/>
    <mergeCell ref="AJ753:AK753"/>
    <mergeCell ref="E757:AB758"/>
    <mergeCell ref="AF757:AL757"/>
    <mergeCell ref="E760:AB761"/>
    <mergeCell ref="AF760:AL760"/>
    <mergeCell ref="H735:I735"/>
    <mergeCell ref="AJ737:AK737"/>
    <mergeCell ref="E741:AB744"/>
    <mergeCell ref="AF741:AL741"/>
    <mergeCell ref="E746:AA749"/>
    <mergeCell ref="AF746:AL746"/>
    <mergeCell ref="AF785:AL785"/>
    <mergeCell ref="H790:I790"/>
    <mergeCell ref="AJ792:AK792"/>
    <mergeCell ref="H763:I763"/>
    <mergeCell ref="AJ765:AK765"/>
    <mergeCell ref="E769:AD772"/>
    <mergeCell ref="AF769:AL769"/>
    <mergeCell ref="E774:AD777"/>
    <mergeCell ref="AF774:AL774"/>
    <mergeCell ref="AP725:AQ725"/>
    <mergeCell ref="E729:AB730"/>
    <mergeCell ref="AF729:AL729"/>
    <mergeCell ref="E732:AB733"/>
    <mergeCell ref="AF732:AL732"/>
    <mergeCell ref="AJ711:AK711"/>
    <mergeCell ref="E715:AB717"/>
    <mergeCell ref="AF715:AL715"/>
    <mergeCell ref="E719:AB721"/>
    <mergeCell ref="AF719:AL719"/>
    <mergeCell ref="H723:I723"/>
    <mergeCell ref="AJ725:AK725"/>
    <mergeCell ref="AO695:AP695"/>
    <mergeCell ref="E699:AB703"/>
    <mergeCell ref="AF699:AL699"/>
    <mergeCell ref="H709:I709"/>
    <mergeCell ref="E705:AB707"/>
    <mergeCell ref="E677:AC679"/>
    <mergeCell ref="AF677:AL677"/>
    <mergeCell ref="E681:AC683"/>
    <mergeCell ref="AF681:AL681"/>
    <mergeCell ref="H685:I685"/>
    <mergeCell ref="AJ687:AK687"/>
    <mergeCell ref="E691:AB692"/>
    <mergeCell ref="AF691:AL691"/>
    <mergeCell ref="AF673:AL673"/>
    <mergeCell ref="H650:I650"/>
    <mergeCell ref="AJ652:AK652"/>
    <mergeCell ref="E657:AC659"/>
    <mergeCell ref="AF657:AL657"/>
    <mergeCell ref="E661:AC663"/>
    <mergeCell ref="AF661:AL661"/>
    <mergeCell ref="X634:Y634"/>
    <mergeCell ref="AF636:AL636"/>
    <mergeCell ref="H638:I638"/>
    <mergeCell ref="AJ640:AK640"/>
    <mergeCell ref="AF644:AL644"/>
    <mergeCell ref="AF647:AL647"/>
    <mergeCell ref="E644:AD645"/>
    <mergeCell ref="B564:AJ572"/>
    <mergeCell ref="B616:C616"/>
    <mergeCell ref="E616:AG619"/>
    <mergeCell ref="AJ621:AK621"/>
    <mergeCell ref="E625:AD632"/>
    <mergeCell ref="AF625:AL625"/>
    <mergeCell ref="AF578:AL578"/>
    <mergeCell ref="AF585:AL585"/>
    <mergeCell ref="AF591:AL591"/>
    <mergeCell ref="AF597:AL597"/>
    <mergeCell ref="AF603:AL603"/>
    <mergeCell ref="H606:I606"/>
    <mergeCell ref="I614:AE614"/>
    <mergeCell ref="O601:AB601"/>
    <mergeCell ref="R606:W606"/>
    <mergeCell ref="Y607:AM608"/>
    <mergeCell ref="A333:B333"/>
    <mergeCell ref="C333:D333"/>
    <mergeCell ref="F333:AD335"/>
    <mergeCell ref="AK338:AM338"/>
    <mergeCell ref="AE562:AK562"/>
    <mergeCell ref="A310:B310"/>
    <mergeCell ref="C310:D310"/>
    <mergeCell ref="F316:AD320"/>
    <mergeCell ref="I324:AD327"/>
    <mergeCell ref="I329:AD331"/>
    <mergeCell ref="F311:AD312"/>
    <mergeCell ref="C343:AJ347"/>
    <mergeCell ref="C348:AJ348"/>
    <mergeCell ref="C389:D389"/>
    <mergeCell ref="AF389:AL389"/>
    <mergeCell ref="F392:AF396"/>
    <mergeCell ref="C397:D397"/>
    <mergeCell ref="AF397:AL397"/>
    <mergeCell ref="C442:D442"/>
    <mergeCell ref="AF442:AL442"/>
    <mergeCell ref="F445:AE448"/>
    <mergeCell ref="C449:D449"/>
    <mergeCell ref="AF449:AL449"/>
    <mergeCell ref="C453:D453"/>
    <mergeCell ref="F299:AD300"/>
    <mergeCell ref="A302:B302"/>
    <mergeCell ref="C302:D302"/>
    <mergeCell ref="AK285:AM285"/>
    <mergeCell ref="A292:B292"/>
    <mergeCell ref="C292:D292"/>
    <mergeCell ref="F292:AD294"/>
    <mergeCell ref="F295:AD296"/>
    <mergeCell ref="F297:AD298"/>
    <mergeCell ref="AG292:AK292"/>
    <mergeCell ref="F303:AD306"/>
    <mergeCell ref="C278:D278"/>
    <mergeCell ref="AG278:AJ278"/>
    <mergeCell ref="C282:D282"/>
    <mergeCell ref="AG282:AJ282"/>
    <mergeCell ref="AK191:AM191"/>
    <mergeCell ref="AE194:AK194"/>
    <mergeCell ref="AG268:AK268"/>
    <mergeCell ref="AG269:AK269"/>
    <mergeCell ref="AG270:AK270"/>
    <mergeCell ref="AK273:AM273"/>
    <mergeCell ref="AD209:AJ209"/>
    <mergeCell ref="AD210:AJ210"/>
    <mergeCell ref="AD208:AJ208"/>
    <mergeCell ref="AD201:AJ201"/>
    <mergeCell ref="AD200:AJ200"/>
    <mergeCell ref="AD199:AJ199"/>
    <mergeCell ref="AB260:AG260"/>
    <mergeCell ref="AD211:AJ211"/>
    <mergeCell ref="AB266:AG266"/>
    <mergeCell ref="AB251:AG251"/>
    <mergeCell ref="AB252:AG252"/>
    <mergeCell ref="B208:AB208"/>
    <mergeCell ref="AB257:AG257"/>
    <mergeCell ref="AB258:AG258"/>
    <mergeCell ref="E139:H139"/>
    <mergeCell ref="AK183:AM183"/>
    <mergeCell ref="AE186:AK186"/>
    <mergeCell ref="B188:AC188"/>
    <mergeCell ref="AF188:AL188"/>
    <mergeCell ref="B189:S189"/>
    <mergeCell ref="T189:AC189"/>
    <mergeCell ref="C170:AI170"/>
    <mergeCell ref="AF172:AG172"/>
    <mergeCell ref="C174:AD174"/>
    <mergeCell ref="C178:AD178"/>
    <mergeCell ref="AJ180:AK180"/>
    <mergeCell ref="B153:AI153"/>
    <mergeCell ref="AB155:AC155"/>
    <mergeCell ref="B158:AJ158"/>
    <mergeCell ref="AJ166:AK166"/>
    <mergeCell ref="AB222:AG222"/>
    <mergeCell ref="AB224:AG224"/>
    <mergeCell ref="B199:AB199"/>
    <mergeCell ref="B205:AB205"/>
    <mergeCell ref="B206:AB206"/>
    <mergeCell ref="B207:AB207"/>
    <mergeCell ref="AB254:AG254"/>
    <mergeCell ref="AB256:AG256"/>
    <mergeCell ref="B200:AB200"/>
    <mergeCell ref="B201:AB201"/>
    <mergeCell ref="B202:AB202"/>
    <mergeCell ref="AD207:AJ207"/>
    <mergeCell ref="AD206:AJ206"/>
    <mergeCell ref="AD205:AJ205"/>
    <mergeCell ref="AD204:AJ204"/>
    <mergeCell ref="AD203:AJ203"/>
    <mergeCell ref="AD202:AJ202"/>
    <mergeCell ref="B223:G223"/>
    <mergeCell ref="I223:K223"/>
    <mergeCell ref="I222:K222"/>
    <mergeCell ref="I224:K224"/>
    <mergeCell ref="B203:AB203"/>
    <mergeCell ref="B204:AB204"/>
    <mergeCell ref="B229:G229"/>
    <mergeCell ref="AB225:AG225"/>
    <mergeCell ref="I231:K231"/>
    <mergeCell ref="I232:K232"/>
    <mergeCell ref="I233:K233"/>
    <mergeCell ref="N223:R223"/>
    <mergeCell ref="N224:R224"/>
    <mergeCell ref="B209:AB209"/>
    <mergeCell ref="E106:H106"/>
    <mergeCell ref="AK109:AM109"/>
    <mergeCell ref="E124:H124"/>
    <mergeCell ref="E127:H127"/>
    <mergeCell ref="J127:M127"/>
    <mergeCell ref="O127:R127"/>
    <mergeCell ref="T127:W127"/>
    <mergeCell ref="Y127:AB127"/>
    <mergeCell ref="AD127:AG127"/>
    <mergeCell ref="E115:AJ122"/>
    <mergeCell ref="J124:M124"/>
    <mergeCell ref="O124:R124"/>
    <mergeCell ref="T124:W124"/>
    <mergeCell ref="Y124:AB124"/>
    <mergeCell ref="AD124:AG124"/>
    <mergeCell ref="AF168:AL168"/>
    <mergeCell ref="AK143:AM143"/>
    <mergeCell ref="AE146:AK146"/>
    <mergeCell ref="AF148:AL148"/>
    <mergeCell ref="B150:AC150"/>
    <mergeCell ref="E130:H130"/>
    <mergeCell ref="J130:M130"/>
    <mergeCell ref="O130:R130"/>
    <mergeCell ref="B81:C81"/>
    <mergeCell ref="E81:AJ82"/>
    <mergeCell ref="E136:H136"/>
    <mergeCell ref="J136:M136"/>
    <mergeCell ref="O136:R136"/>
    <mergeCell ref="T136:W136"/>
    <mergeCell ref="Y136:AB136"/>
    <mergeCell ref="AD136:AG136"/>
    <mergeCell ref="T130:W130"/>
    <mergeCell ref="Y130:AB130"/>
    <mergeCell ref="AD130:AG130"/>
    <mergeCell ref="B115:C115"/>
    <mergeCell ref="AE112:AK112"/>
    <mergeCell ref="AK84:AM84"/>
    <mergeCell ref="AE87:AK87"/>
    <mergeCell ref="B90:C90"/>
    <mergeCell ref="E95:H95"/>
    <mergeCell ref="B98:C98"/>
    <mergeCell ref="E98:AJ101"/>
    <mergeCell ref="E103:H103"/>
    <mergeCell ref="E104:H104"/>
    <mergeCell ref="E105:H105"/>
    <mergeCell ref="A1:AM2"/>
    <mergeCell ref="AE7:AK7"/>
    <mergeCell ref="B13:C13"/>
    <mergeCell ref="AG13:AJ13"/>
    <mergeCell ref="B16:C16"/>
    <mergeCell ref="E16:AJ18"/>
    <mergeCell ref="AK62:AM62"/>
    <mergeCell ref="B45:C45"/>
    <mergeCell ref="B52:C52"/>
    <mergeCell ref="B33:C33"/>
    <mergeCell ref="E33:AJ34"/>
    <mergeCell ref="E45:AJ47"/>
    <mergeCell ref="E52:AJ54"/>
    <mergeCell ref="B56:C56"/>
    <mergeCell ref="E20:AJ20"/>
    <mergeCell ref="B22:C22"/>
    <mergeCell ref="E22:AJ23"/>
    <mergeCell ref="E90:AJ91"/>
    <mergeCell ref="E93:H93"/>
    <mergeCell ref="E94:H94"/>
    <mergeCell ref="E76:F76"/>
    <mergeCell ref="E77:F77"/>
    <mergeCell ref="B25:C25"/>
    <mergeCell ref="E25:AJ26"/>
    <mergeCell ref="B36:C36"/>
    <mergeCell ref="E36:AJ38"/>
    <mergeCell ref="AE65:AK65"/>
    <mergeCell ref="B68:C68"/>
    <mergeCell ref="E68:AJ72"/>
    <mergeCell ref="B74:C74"/>
    <mergeCell ref="E75:F75"/>
    <mergeCell ref="B58:C58"/>
    <mergeCell ref="E56:AJ56"/>
    <mergeCell ref="E58:AJ59"/>
    <mergeCell ref="E79:F79"/>
    <mergeCell ref="B28:C28"/>
    <mergeCell ref="E28:AJ28"/>
    <mergeCell ref="B40:C40"/>
    <mergeCell ref="E40:AJ41"/>
  </mergeCells>
  <conditionalFormatting sqref="E705:AB707">
    <cfRule type="expression" dxfId="18" priority="1">
      <formula>AND(NOT($AO$695),OR($H$709="(ii)",$H$709="(iii)"))</formula>
    </cfRule>
  </conditionalFormatting>
  <conditionalFormatting sqref="Q606">
    <cfRule type="expression" dxfId="17" priority="2">
      <formula>$H$606="(iv)"</formula>
    </cfRule>
  </conditionalFormatting>
  <conditionalFormatting sqref="R606:W606">
    <cfRule type="expression" dxfId="16" priority="3">
      <formula>$H$606="(iv)"</formula>
    </cfRule>
  </conditionalFormatting>
  <conditionalFormatting sqref="T812:Y812">
    <cfRule type="expression" dxfId="15" priority="10" stopIfTrue="1">
      <formula>ISERROR(T812)</formula>
    </cfRule>
  </conditionalFormatting>
  <conditionalFormatting sqref="T817:Z819">
    <cfRule type="expression" dxfId="14" priority="4" stopIfTrue="1">
      <formula>ISERROR(T817)</formula>
    </cfRule>
  </conditionalFormatting>
  <conditionalFormatting sqref="AF804:AK807">
    <cfRule type="expression" dxfId="13" priority="6" stopIfTrue="1">
      <formula>ISERROR(AF804)</formula>
    </cfRule>
  </conditionalFormatting>
  <conditionalFormatting sqref="AF812:AK812">
    <cfRule type="expression" dxfId="12" priority="11" stopIfTrue="1">
      <formula>ISERROR(AF812)</formula>
    </cfRule>
  </conditionalFormatting>
  <conditionalFormatting sqref="AF817:AK819">
    <cfRule type="expression" dxfId="11" priority="12" stopIfTrue="1">
      <formula>ISERROR(AF817)</formula>
    </cfRule>
  </conditionalFormatting>
  <conditionalFormatting sqref="AN455:AN459 AU471 AV472:AV474 T808:AK808 T809:AF811 AG811:AK811 T813:AK815 T816:AF816 AF819:AF821 T820:AE820 AG820:AL820">
    <cfRule type="expression" dxfId="10" priority="16" stopIfTrue="1">
      <formula>ISERROR(T455)</formula>
    </cfRule>
  </conditionalFormatting>
  <conditionalFormatting sqref="AP471">
    <cfRule type="expression" dxfId="9" priority="15" stopIfTrue="1">
      <formula>ISERROR(AP471)</formula>
    </cfRule>
  </conditionalFormatting>
  <dataValidations count="35">
    <dataValidation type="list" showInputMessage="1" showErrorMessage="1" sqref="T189:AC189" xr:uid="{00000000-0002-0000-0800-000006000000}">
      <formula1>$AS$189:$AS$191</formula1>
    </dataValidation>
    <dataValidation type="list" allowBlank="1" showInputMessage="1" showErrorMessage="1" sqref="B153:AI153" xr:uid="{00000000-0002-0000-0800-000008000000}">
      <formula1>$AO$151:$AO$154</formula1>
    </dataValidation>
    <dataValidation type="list" allowBlank="1" showInputMessage="1" showErrorMessage="1" sqref="C282:D282 C544:D544 C333:D333 C310:D310 C302:D302 C278:D278 B98:C98 C523:D523 C449:D449 C515:D515 C541:D541 C466:D466 C501:D501 C510:D510 C457:D457 C482:D482 C519:D519 C505:D505 C478:D478 C453:D453 C442:D442 C430:D430 C397:D397 C381:D381 C389:D389 C423:D423 C412:D412 C409:D409 C407:D407 C399:D399 C421:D421 X634:Y634 B13:C13 B16:C16 B22:C22 B25:C25 B36:C36 B45:C45 B33:C33 E79:F79 B52:C52 B56:C56 B58:C58 E75:F77 B68:C68 B74:C74 B81:C81 B115:C115 B90:C90 B28:C28 B40:C40" xr:uid="{00000000-0002-0000-0800-000009000000}">
      <formula1>"N/A, Yes"</formula1>
    </dataValidation>
    <dataValidation type="list" allowBlank="1" showInputMessage="1" showErrorMessage="1" sqref="G513:AF513" xr:uid="{00000000-0002-0000-0800-00000A000000}">
      <formula1>$AO$488:$AO$491</formula1>
    </dataValidation>
    <dataValidation type="list" allowBlank="1" showInputMessage="1" showErrorMessage="1" sqref="H763:I763 H751:I751 H735:I735 H723:I723 H638:I638 H650:I650" xr:uid="{00000000-0002-0000-0800-00000B000000}">
      <formula1>$AO$586:$AO$588</formula1>
    </dataValidation>
    <dataValidation type="list" allowBlank="1" showInputMessage="1" showErrorMessage="1" sqref="H650:I650" xr:uid="{00000000-0002-0000-0800-00000C000000}">
      <formula1>$AO$586:$AO$587</formula1>
    </dataValidation>
    <dataValidation type="list" showInputMessage="1" showErrorMessage="1" sqref="B616:C616" xr:uid="{00000000-0002-0000-0800-00000D000000}">
      <formula1>$AP$574:$AP$575</formula1>
    </dataValidation>
    <dataValidation type="list" allowBlank="1" showInputMessage="1" showErrorMessage="1" sqref="AB155:AC155 AF172:AG172 AJ164:AK164" xr:uid="{00000000-0002-0000-0800-00000E000000}">
      <formula1>"N/A,Yes,"</formula1>
    </dataValidation>
    <dataValidation type="list" allowBlank="1" showInputMessage="1" showErrorMessage="1" sqref="B158" xr:uid="{00000000-0002-0000-0800-00000F000000}">
      <formula1>$AO$156:$AO$158</formula1>
    </dataValidation>
    <dataValidation type="list" allowBlank="1" showInputMessage="1" showErrorMessage="1" sqref="F503:Z503" xr:uid="{00000000-0002-0000-0800-000010000000}">
      <formula1>$AO$471:$AO$479</formula1>
    </dataValidation>
    <dataValidation type="list" allowBlank="1" showInputMessage="1" showErrorMessage="1" sqref="F508:H508" xr:uid="{00000000-0002-0000-0800-000011000000}">
      <formula1>$AO$481:$AO$483</formula1>
    </dataValidation>
    <dataValidation type="list" allowBlank="1" showInputMessage="1" showErrorMessage="1" sqref="F524" xr:uid="{00000000-0002-0000-0800-000012000000}">
      <formula1>$AO$494:$AO$497</formula1>
    </dataValidation>
    <dataValidation type="list" allowBlank="1" showInputMessage="1" showErrorMessage="1" sqref="H790:I790" xr:uid="{00000000-0002-0000-0800-000013000000}">
      <formula1>$AO$784:$AO$785</formula1>
    </dataValidation>
    <dataValidation type="list" allowBlank="1" showInputMessage="1" showErrorMessage="1" sqref="B224:G233" xr:uid="{00000000-0002-0000-0800-000014000000}">
      <formula1>"(select),SRO/Studio,1 bedroom,2 bedroom,3 bedroom,4 bedroom,5 bedroom"</formula1>
    </dataValidation>
    <dataValidation type="list" allowBlank="1" showInputMessage="1" showErrorMessage="1" sqref="I329:AD331" xr:uid="{00000000-0002-0000-0800-000015000000}">
      <formula1>$AP$330:$AP$332</formula1>
    </dataValidation>
    <dataValidation type="list" allowBlank="1" showInputMessage="1" showErrorMessage="1" sqref="I324" xr:uid="{00000000-0002-0000-0800-000016000000}">
      <formula1>$AP$323:$AP$327</formula1>
    </dataValidation>
    <dataValidation type="list" allowBlank="1" showInputMessage="1" showErrorMessage="1" sqref="O601" xr:uid="{00000000-0002-0000-0800-000017000000}">
      <formula1>"(select),Dial-a-ride service,Project-operated van service"</formula1>
    </dataValidation>
    <dataValidation type="list" allowBlank="1" showInputMessage="1" showErrorMessage="1" sqref="C174:AD174" xr:uid="{00000000-0002-0000-0800-000018000000}">
      <formula1>$AO$177:$AO$179</formula1>
    </dataValidation>
    <dataValidation type="list" allowBlank="1" showInputMessage="1" showErrorMessage="1" sqref="C170:AI170" xr:uid="{00000000-0002-0000-0800-000019000000}">
      <formula1>$AO$170:$AO$173</formula1>
    </dataValidation>
    <dataValidation type="list" allowBlank="1" showInputMessage="1" showErrorMessage="1" sqref="C171:AD171" xr:uid="{00000000-0002-0000-0800-00001A000000}">
      <formula1>$AO$170:$AO$175</formula1>
    </dataValidation>
    <dataValidation type="list" allowBlank="1" showInputMessage="1" showErrorMessage="1" sqref="H606:I606 H608:I612" xr:uid="{00000000-0002-0000-0800-00001C000000}">
      <formula1>$AO$586:$AO$591</formula1>
    </dataValidation>
    <dataValidation type="list" allowBlank="1" showInputMessage="1" showErrorMessage="1" sqref="I614" xr:uid="{00000000-0002-0000-0800-00001D000000}">
      <formula1>$AO$613:$AO$615</formula1>
    </dataValidation>
    <dataValidation type="list" allowBlank="1" showInputMessage="1" showErrorMessage="1" sqref="F316:AD320" xr:uid="{00000000-0002-0000-0800-00001E000000}">
      <formula1>$AP$311:$AP$314</formula1>
    </dataValidation>
    <dataValidation type="list" allowBlank="1" showInputMessage="1" showErrorMessage="1" sqref="H685:I685" xr:uid="{00000000-0002-0000-0800-00001F000000}">
      <formula1>$AO$633:$AO$640</formula1>
    </dataValidation>
    <dataValidation type="list" allowBlank="1" showInputMessage="1" showErrorMessage="1" sqref="C292:D292" xr:uid="{68BBA6C5-CDA3-4BE1-9DAC-7CD27DB68D23}">
      <formula1>"N/A, Yes, 50% Met"</formula1>
    </dataValidation>
    <dataValidation type="list" showInputMessage="1" showErrorMessage="1" sqref="B188:AC188" xr:uid="{00000000-0002-0000-0800-000007000000}">
      <formula1>$AP$185:$AP$191</formula1>
    </dataValidation>
    <dataValidation type="list" allowBlank="1" showInputMessage="1" showErrorMessage="1" sqref="V487:X487" xr:uid="{00000000-0002-0000-0800-000000000000}">
      <formula1>$AT$481:$AT$483</formula1>
    </dataValidation>
    <dataValidation type="list" allowBlank="1" showInputMessage="1" showErrorMessage="1" sqref="V496:X496" xr:uid="{00000000-0002-0000-0800-000001000000}">
      <formula1>$BB$481:$BB$484</formula1>
    </dataValidation>
    <dataValidation type="list" allowBlank="1" showInputMessage="1" showErrorMessage="1" sqref="V498:X498" xr:uid="{00000000-0002-0000-0800-000002000000}">
      <formula1>$BF$481:$BF$483</formula1>
    </dataValidation>
    <dataValidation type="list" allowBlank="1" showInputMessage="1" showErrorMessage="1" sqref="F480:Z480" xr:uid="{00000000-0002-0000-0800-000003000000}">
      <formula1>$AT$471:$AT$479</formula1>
    </dataValidation>
    <dataValidation type="list" allowBlank="1" showInputMessage="1" showErrorMessage="1" sqref="V492:X492" xr:uid="{00000000-0002-0000-0800-000004000000}">
      <formula1>$AT$485:$AT$487</formula1>
    </dataValidation>
    <dataValidation type="list" allowBlank="1" showInputMessage="1" showErrorMessage="1" sqref="V485:X485" xr:uid="{00000000-0002-0000-0800-000005000000}">
      <formula1>$AW$481:$AW$483</formula1>
    </dataValidation>
    <dataValidation type="list" allowBlank="1" showInputMessage="1" showErrorMessage="1" sqref="R606:W606" xr:uid="{A3E65FF6-96AE-443D-AFEF-E3A195C0059C}">
      <formula1>$AO$593:$AO$595</formula1>
    </dataValidation>
    <dataValidation type="list" allowBlank="1" showInputMessage="1" showErrorMessage="1" sqref="H779:I779" xr:uid="{00000000-0002-0000-0800-00001B000000}">
      <formula1>$AO$769:$AO$771</formula1>
    </dataValidation>
    <dataValidation type="list" allowBlank="1" showInputMessage="1" showErrorMessage="1" sqref="H709:I709" xr:uid="{A32E3DED-F73B-45CE-8CA1-108E6498C33A}">
      <formula1>$AO$703:$AO$706</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3" max="38" man="1"/>
    <brk id="110" max="38" man="1"/>
    <brk id="286" max="38" man="1"/>
    <brk id="560" max="38" man="1"/>
    <brk id="680" max="38" man="1"/>
    <brk id="738" max="38" man="1"/>
    <brk id="391" max="38" man="1"/>
    <brk id="796" max="38" man="1"/>
  </rowBreaks>
  <ignoredErrors>
    <ignoredError sqref="E377 E384 E392 E403 E412" numberStoredAsText="1"/>
  </ignoredError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44"/>
  <sheetViews>
    <sheetView showGridLines="0" topLeftCell="A5" workbookViewId="0">
      <selection activeCell="O21" sqref="O21"/>
    </sheetView>
  </sheetViews>
  <sheetFormatPr defaultColWidth="9.140625" defaultRowHeight="14.25"/>
  <cols>
    <col min="1" max="1" width="2.42578125" style="1045" customWidth="1"/>
    <col min="2" max="9" width="14.7109375" style="1045" customWidth="1"/>
    <col min="10" max="10" width="2.28515625" style="1045" customWidth="1"/>
    <col min="11" max="11" width="11.85546875" style="1046" customWidth="1"/>
    <col min="12" max="12" width="10.7109375" style="1045" customWidth="1"/>
    <col min="13" max="13" width="10.42578125" style="1045" customWidth="1"/>
    <col min="14" max="14" width="10.85546875" style="1045" customWidth="1"/>
    <col min="15" max="18" width="9.140625" style="1045"/>
    <col min="19" max="19" width="9.42578125" style="1045" bestFit="1" customWidth="1"/>
    <col min="20" max="16384" width="9.140625" style="1045"/>
  </cols>
  <sheetData>
    <row r="1" spans="1:13" ht="30" customHeight="1">
      <c r="A1" s="2597" t="s">
        <v>1584</v>
      </c>
      <c r="B1" s="2597"/>
      <c r="C1" s="2597"/>
      <c r="D1" s="2597"/>
      <c r="E1" s="2597"/>
      <c r="F1" s="2597"/>
      <c r="G1" s="2597"/>
      <c r="H1" s="2597"/>
      <c r="I1" s="2597"/>
      <c r="J1" s="2597"/>
    </row>
    <row r="2" spans="1:13" ht="15" customHeight="1" thickBot="1">
      <c r="A2" s="1047"/>
      <c r="B2" s="1047"/>
      <c r="I2" s="1048"/>
      <c r="K2" s="1049"/>
    </row>
    <row r="3" spans="1:13" s="1052" customFormat="1" ht="20.100000000000001" customHeight="1">
      <c r="A3" s="1102"/>
      <c r="B3" s="1103"/>
      <c r="C3" s="1104"/>
      <c r="D3" s="1109"/>
      <c r="E3" s="1104"/>
      <c r="F3" s="1105" t="s">
        <v>1990</v>
      </c>
      <c r="G3" s="1104"/>
      <c r="H3" s="1106">
        <f>E18</f>
        <v>57738930</v>
      </c>
      <c r="I3" s="1107"/>
    </row>
    <row r="4" spans="1:13" s="1052" customFormat="1" ht="20.100000000000001" customHeight="1">
      <c r="B4" s="1096"/>
      <c r="D4" s="1110"/>
      <c r="F4" s="1094" t="s">
        <v>1992</v>
      </c>
      <c r="G4" s="1093" t="s">
        <v>1991</v>
      </c>
      <c r="H4" s="1095">
        <f>I18</f>
        <v>37343627.450980395</v>
      </c>
      <c r="I4" s="1097"/>
      <c r="K4" s="1056"/>
    </row>
    <row r="5" spans="1:13" s="1052" customFormat="1" ht="20.100000000000001" customHeight="1" thickBot="1">
      <c r="B5" s="1098"/>
      <c r="C5" s="1099"/>
      <c r="D5" s="1111"/>
      <c r="E5" s="1100"/>
      <c r="F5" s="1111" t="s">
        <v>1941</v>
      </c>
      <c r="G5" s="1112"/>
      <c r="H5" s="1108">
        <f>IFERROR(H3/H4,0)</f>
        <v>1.5461521534240821</v>
      </c>
      <c r="I5" s="1101"/>
      <c r="K5" s="1056"/>
    </row>
    <row r="6" spans="1:13" s="1052" customFormat="1" ht="15" customHeight="1">
      <c r="B6" s="1053"/>
      <c r="C6" s="1054"/>
      <c r="F6" s="1055"/>
      <c r="K6" s="1056"/>
    </row>
    <row r="7" spans="1:13" s="1052" customFormat="1" ht="15" customHeight="1">
      <c r="E7" s="1057"/>
      <c r="F7" s="1055"/>
      <c r="K7" s="1058"/>
    </row>
    <row r="8" spans="1:13" s="1052" customFormat="1" ht="15" customHeight="1">
      <c r="A8" s="1059"/>
      <c r="B8" s="2600" t="s">
        <v>1939</v>
      </c>
      <c r="C8" s="2601"/>
      <c r="D8" s="2601"/>
      <c r="E8" s="2602"/>
      <c r="G8" s="2603" t="s">
        <v>1940</v>
      </c>
      <c r="H8" s="2604"/>
      <c r="I8" s="2605"/>
      <c r="K8" s="1058"/>
    </row>
    <row r="9" spans="1:13" ht="15" customHeight="1">
      <c r="A9" s="1047"/>
      <c r="B9" s="2598" t="s">
        <v>1973</v>
      </c>
      <c r="C9" s="2598"/>
      <c r="D9" s="2598"/>
      <c r="E9" s="1060">
        <f>G33</f>
        <v>12157500</v>
      </c>
      <c r="G9" s="2606" t="s">
        <v>1971</v>
      </c>
      <c r="H9" s="2606"/>
      <c r="I9" s="1061">
        <f>Application!AM554</f>
        <v>42000000</v>
      </c>
      <c r="K9" s="1062"/>
      <c r="M9" s="1063"/>
    </row>
    <row r="10" spans="1:13" ht="15" customHeight="1" thickBot="1">
      <c r="A10" s="1047"/>
      <c r="B10" s="2598" t="s">
        <v>1974</v>
      </c>
      <c r="C10" s="2598"/>
      <c r="D10" s="2598"/>
      <c r="E10" s="1061">
        <f>G47</f>
        <v>21029580</v>
      </c>
      <c r="G10" s="2610" t="s">
        <v>1942</v>
      </c>
      <c r="H10" s="2610"/>
      <c r="I10" s="1142">
        <f>'Basis &amp; Credits'!AB78</f>
        <v>0</v>
      </c>
      <c r="M10" s="1063"/>
    </row>
    <row r="11" spans="1:13" ht="15" customHeight="1">
      <c r="A11" s="1047"/>
      <c r="B11" s="2614" t="s">
        <v>2265</v>
      </c>
      <c r="C11" s="2615"/>
      <c r="D11" s="2616"/>
      <c r="E11" s="1061">
        <f>SUM(E12,E13)</f>
        <v>480000</v>
      </c>
      <c r="G11" s="2613" t="s">
        <v>1982</v>
      </c>
      <c r="H11" s="2613"/>
      <c r="I11" s="1141">
        <f>I9+I10</f>
        <v>42000000</v>
      </c>
      <c r="M11" s="1063"/>
    </row>
    <row r="12" spans="1:13" ht="15" customHeight="1">
      <c r="A12" s="1064"/>
      <c r="B12" s="2599" t="s">
        <v>2267</v>
      </c>
      <c r="C12" s="2599"/>
      <c r="D12" s="2599"/>
      <c r="E12" s="1167">
        <f>G56</f>
        <v>0</v>
      </c>
      <c r="M12" s="1063"/>
    </row>
    <row r="13" spans="1:13" ht="15" customHeight="1">
      <c r="A13" s="1050"/>
      <c r="B13" s="2599" t="s">
        <v>2268</v>
      </c>
      <c r="C13" s="2599"/>
      <c r="D13" s="2599"/>
      <c r="E13" s="1167">
        <f>G65</f>
        <v>480000</v>
      </c>
      <c r="G13" s="2620" t="s">
        <v>2006</v>
      </c>
      <c r="H13" s="2621"/>
      <c r="I13" s="2622"/>
      <c r="M13" s="1063"/>
    </row>
    <row r="14" spans="1:13" ht="15" customHeight="1">
      <c r="A14" s="1050"/>
      <c r="B14" s="2614" t="s">
        <v>2266</v>
      </c>
      <c r="C14" s="2615"/>
      <c r="D14" s="2616"/>
      <c r="E14" s="1168">
        <f>MAX(E15,E16)+E17</f>
        <v>24071850</v>
      </c>
      <c r="G14" s="2606" t="s">
        <v>139</v>
      </c>
      <c r="H14" s="2606"/>
      <c r="I14" s="1065">
        <f>15%*(AND(G120="Yes",G122&lt;&gt;""))</f>
        <v>0</v>
      </c>
      <c r="M14" s="1063"/>
    </row>
    <row r="15" spans="1:13" ht="15" customHeight="1">
      <c r="A15" s="1050"/>
      <c r="B15" s="2617" t="s">
        <v>2272</v>
      </c>
      <c r="C15" s="2618"/>
      <c r="D15" s="2619"/>
      <c r="E15" s="1167">
        <f>G80</f>
        <v>7294500</v>
      </c>
      <c r="G15" s="1139" t="s">
        <v>1983</v>
      </c>
      <c r="H15" s="1139"/>
      <c r="I15" s="1065">
        <f>IF(Application!AJ1032&gt;0,10%,IF(Application!AJ1036&gt;0,5%,0))</f>
        <v>0.05</v>
      </c>
      <c r="M15" s="1063"/>
    </row>
    <row r="16" spans="1:13" ht="15" customHeight="1">
      <c r="A16" s="1050"/>
      <c r="B16" s="2617" t="s">
        <v>2271</v>
      </c>
      <c r="C16" s="2618"/>
      <c r="D16" s="2619"/>
      <c r="E16" s="1167">
        <f>G90</f>
        <v>0</v>
      </c>
      <c r="G16" s="2606" t="s">
        <v>1984</v>
      </c>
      <c r="H16" s="2606"/>
      <c r="I16" s="1065">
        <f>G132</f>
        <v>6.0866013071895424E-2</v>
      </c>
    </row>
    <row r="17" spans="1:21" ht="15" customHeight="1" thickBot="1">
      <c r="A17" s="1050"/>
      <c r="B17" s="2617" t="s">
        <v>2270</v>
      </c>
      <c r="C17" s="2618"/>
      <c r="D17" s="2619"/>
      <c r="E17" s="1167">
        <f>G115</f>
        <v>16777350</v>
      </c>
      <c r="G17" s="2606" t="s">
        <v>2280</v>
      </c>
      <c r="H17" s="2606"/>
      <c r="I17" s="1065">
        <f>IF(AND(G139="Yes",OR(G136,G137)),IF(G143&gt;15%,15%,G143),0)</f>
        <v>0</v>
      </c>
    </row>
    <row r="18" spans="1:21" ht="15" customHeight="1">
      <c r="A18" s="1047"/>
      <c r="B18" s="2609" t="s">
        <v>1938</v>
      </c>
      <c r="C18" s="2609"/>
      <c r="D18" s="2609"/>
      <c r="E18" s="1113">
        <f>SUM(E9:E11,E14)</f>
        <v>57738930</v>
      </c>
      <c r="G18" s="1140" t="s">
        <v>1972</v>
      </c>
      <c r="H18" s="1140"/>
      <c r="I18" s="1114">
        <f>I11-((I11*I14)+(I11*I15)+(I11*I16)+(I11*I17))</f>
        <v>37343627.450980395</v>
      </c>
      <c r="M18" s="1066">
        <f>SUM(Cdlac[Quantity])</f>
        <v>230</v>
      </c>
      <c r="O18" s="1086" t="s">
        <v>582</v>
      </c>
      <c r="P18" s="1045">
        <f>MATCH(Application!T189,Application!CB160:CB217,0)</f>
        <v>19</v>
      </c>
      <c r="T18" s="1066">
        <f>SUM(Cdlac[Population])</f>
        <v>0</v>
      </c>
    </row>
    <row r="19" spans="1:21" ht="15" customHeight="1">
      <c r="A19" s="1047"/>
      <c r="B19" s="1047"/>
      <c r="C19" s="1047"/>
      <c r="D19" s="1047"/>
      <c r="E19" s="1047"/>
      <c r="L19" s="1045" t="s">
        <v>1934</v>
      </c>
      <c r="M19" s="1045" t="s">
        <v>1933</v>
      </c>
      <c r="N19" s="1045" t="s">
        <v>1945</v>
      </c>
      <c r="O19" s="1045" t="s">
        <v>1946</v>
      </c>
      <c r="P19" s="1045" t="s">
        <v>1935</v>
      </c>
      <c r="Q19" s="1045" t="s">
        <v>2263</v>
      </c>
      <c r="R19" s="1045" t="s">
        <v>1936</v>
      </c>
      <c r="S19" s="1045" t="s">
        <v>1947</v>
      </c>
      <c r="T19" s="1045" t="s">
        <v>1953</v>
      </c>
      <c r="U19" s="1045" t="s">
        <v>384</v>
      </c>
    </row>
    <row r="20" spans="1:21" ht="15" customHeight="1">
      <c r="B20" s="1067" t="str">
        <f>B9</f>
        <v>A. Unit Production Benefit</v>
      </c>
      <c r="C20" s="1068"/>
      <c r="D20" s="1068"/>
      <c r="E20" s="1068"/>
      <c r="F20" s="1068"/>
      <c r="G20" s="1068"/>
      <c r="H20" s="1068"/>
      <c r="I20" s="1069"/>
      <c r="L20" s="1045">
        <f>IFERROR(MIN(4,MATCH(Application!B718,UnitSizes,0)-1),"")</f>
        <v>0</v>
      </c>
      <c r="M20" s="1066">
        <f>Application!G718</f>
        <v>24</v>
      </c>
      <c r="N20" s="1072">
        <f>Application!AC718</f>
        <v>0.3</v>
      </c>
      <c r="O20" s="1072">
        <f>IF(Cdlac[[#This Row],[Quantity]]&gt;0,IF(Cdlac[[#This Row],[Federal]],30%,IF(AND(OR(NOT($G$38),$G$38=""),$G$43),40%,Cdlac[[#This Row],[iAMI]])),"")</f>
        <v>0.3</v>
      </c>
      <c r="P20" s="1066" cm="1">
        <f t="array" ref="P20">IF(Cdlac[[#This Row],[Quantity]]&gt;0,INDEX(TcacRents,$P$18,Cdlac[[#This Row],[Bedrooms]]+1)*Cdlac[[#This Row],[AMI]],"")</f>
        <v>727.8</v>
      </c>
      <c r="Q20" s="1166"/>
      <c r="R20" s="1066" cm="1">
        <f t="array" ref="R20">IF(Cdlac[[#This Row],[Quantity]]&gt;0,INDEX(HudFmrs,$P$18,Cdlac[[#This Row],[Bedrooms]]+1),"")</f>
        <v>1777</v>
      </c>
      <c r="S20" s="1066">
        <f>IF(Cdlac[[#This Row],[Quantity]]&gt;0,MAX(0,Cdlac[[#This Row],[Fair Market Rent]]-IF(AND($G$37,$G$38,$G$38&lt;&gt;"",NOT(Cdlac[[#This Row],[Federal]]),Cdlac[[#This Row],[Preservation Rent]]&lt;&gt;""),Cdlac[[#This Row],[Preservation Rent]],Cdlac[[#This Row],[Restricted Rent]])),"")</f>
        <v>1049.2</v>
      </c>
      <c r="T20" s="1045">
        <f>IF(Cdlac[[#This Row],[Quantity]]&gt;0,AND(Application!AK718&lt;&gt;"N/A",Application!AK718&lt;&gt;"")*Cdlac[[#This Row],[Quantity]],"")</f>
        <v>0</v>
      </c>
      <c r="U20" s="1045" t="b">
        <f>AND('Subsidy Contract Calculation'!F4&gt;0,OR('Subsidy Contract Calculation'!C4="Federal",'Subsidy Contract Calculation'!C4="Local - Approved by ED"),Cdlac[[#This Row],[Quantity]]&gt;0)</f>
        <v>0</v>
      </c>
    </row>
    <row r="21" spans="1:21" ht="15" customHeight="1">
      <c r="A21" s="1047"/>
      <c r="B21" s="1047"/>
      <c r="I21" s="1070"/>
      <c r="L21" s="1045">
        <f>IFERROR(MIN(4,MATCH(Application!B719,UnitSizes,0)-1),"")</f>
        <v>0</v>
      </c>
      <c r="M21" s="1066">
        <f>Application!G719</f>
        <v>24</v>
      </c>
      <c r="N21" s="1072">
        <f>Application!AC719</f>
        <v>0.5</v>
      </c>
      <c r="O21" s="1072">
        <f>IF(Cdlac[[#This Row],[Quantity]]&gt;0,IF(Cdlac[[#This Row],[Federal]],30%,IF(AND(OR(NOT($G$38),$G$38=""),$G$43),40%,Cdlac[[#This Row],[iAMI]])),"")</f>
        <v>0.5</v>
      </c>
      <c r="P21" s="1066" cm="1">
        <f t="array" ref="P21">IF(Cdlac[[#This Row],[Quantity]]&gt;0,INDEX(TcacRents,$P$18,Cdlac[[#This Row],[Bedrooms]]+1)*Cdlac[[#This Row],[AMI]],"")</f>
        <v>1213</v>
      </c>
      <c r="Q21" s="1166"/>
      <c r="R21" s="1066" cm="1">
        <f t="array" ref="R21">IF(Cdlac[[#This Row],[Quantity]]&gt;0,INDEX(HudFmrs,$P$18,Cdlac[[#This Row],[Bedrooms]]+1),"")</f>
        <v>1777</v>
      </c>
      <c r="S21" s="1066">
        <f>IF(Cdlac[[#This Row],[Quantity]]&gt;0,MAX(0,Cdlac[[#This Row],[Fair Market Rent]]-IF(AND($G$37,$G$38,$G$38&lt;&gt;"",NOT(Cdlac[[#This Row],[Federal]]),Cdlac[[#This Row],[Preservation Rent]]&lt;&gt;""),Cdlac[[#This Row],[Preservation Rent]],Cdlac[[#This Row],[Restricted Rent]])),"")</f>
        <v>564</v>
      </c>
      <c r="T21" s="1045">
        <f>IF(Cdlac[[#This Row],[Quantity]]&gt;0,AND(Application!AK719&lt;&gt;"N/A",Application!AK719&lt;&gt;"")*Cdlac[[#This Row],[Quantity]],"")</f>
        <v>0</v>
      </c>
      <c r="U21" s="1045" t="b">
        <f>AND('Subsidy Contract Calculation'!F5&gt;0,OR('Subsidy Contract Calculation'!C5="Federal",'Subsidy Contract Calculation'!C5="Local - Approved by ED"),Cdlac[[#This Row],[Quantity]]&gt;0)</f>
        <v>0</v>
      </c>
    </row>
    <row r="22" spans="1:21" ht="15" customHeight="1">
      <c r="A22" s="1050"/>
      <c r="C22" s="2607" t="s">
        <v>1986</v>
      </c>
      <c r="D22" s="2607" t="s">
        <v>1987</v>
      </c>
      <c r="E22" s="2607" t="s">
        <v>1988</v>
      </c>
      <c r="F22" s="2607" t="s">
        <v>1989</v>
      </c>
      <c r="G22" s="2607" t="s">
        <v>1985</v>
      </c>
      <c r="H22" s="1071"/>
      <c r="I22" s="1070"/>
      <c r="L22" s="1045">
        <f>IFERROR(MIN(4,MATCH(Application!B720,UnitSizes,0)-1),"")</f>
        <v>0</v>
      </c>
      <c r="M22" s="1066">
        <f>Application!G720</f>
        <v>53</v>
      </c>
      <c r="N22" s="1072">
        <f>Application!AC720</f>
        <v>0.6</v>
      </c>
      <c r="O22" s="1072">
        <f>IF(Cdlac[[#This Row],[Quantity]]&gt;0,IF(Cdlac[[#This Row],[Federal]],30%,IF(AND(OR(NOT($G$38),$G$38=""),$G$43),40%,Cdlac[[#This Row],[iAMI]])),"")</f>
        <v>0.6</v>
      </c>
      <c r="P22" s="1066" cm="1">
        <f t="array" ref="P22">IF(Cdlac[[#This Row],[Quantity]]&gt;0,INDEX(TcacRents,$P$18,Cdlac[[#This Row],[Bedrooms]]+1)*Cdlac[[#This Row],[AMI]],"")</f>
        <v>1455.6</v>
      </c>
      <c r="Q22" s="1166"/>
      <c r="R22" s="1066" cm="1">
        <f t="array" ref="R22">IF(Cdlac[[#This Row],[Quantity]]&gt;0,INDEX(HudFmrs,$P$18,Cdlac[[#This Row],[Bedrooms]]+1),"")</f>
        <v>1777</v>
      </c>
      <c r="S22" s="1066">
        <f>IF(Cdlac[[#This Row],[Quantity]]&gt;0,MAX(0,Cdlac[[#This Row],[Fair Market Rent]]-IF(AND($G$37,$G$38,$G$38&lt;&gt;"",NOT(Cdlac[[#This Row],[Federal]]),Cdlac[[#This Row],[Preservation Rent]]&lt;&gt;""),Cdlac[[#This Row],[Preservation Rent]],Cdlac[[#This Row],[Restricted Rent]])),"")</f>
        <v>321.40000000000009</v>
      </c>
      <c r="T22" s="1045">
        <f>IF(Cdlac[[#This Row],[Quantity]]&gt;0,AND(Application!AK720&lt;&gt;"N/A",Application!AK720&lt;&gt;"")*Cdlac[[#This Row],[Quantity]],"")</f>
        <v>0</v>
      </c>
      <c r="U22" s="1045" t="b">
        <f>AND('Subsidy Contract Calculation'!F6&gt;0,OR('Subsidy Contract Calculation'!C6="Federal",'Subsidy Contract Calculation'!C6="Local - Approved by ED"),Cdlac[[#This Row],[Quantity]]&gt;0)</f>
        <v>0</v>
      </c>
    </row>
    <row r="23" spans="1:21" ht="15" customHeight="1">
      <c r="A23" s="1050"/>
      <c r="C23" s="2608"/>
      <c r="D23" s="2608"/>
      <c r="E23" s="2608"/>
      <c r="F23" s="2608"/>
      <c r="G23" s="2608"/>
      <c r="H23" s="1071"/>
      <c r="I23" s="1070"/>
      <c r="L23" s="1045">
        <f>IFERROR(MIN(4,MATCH(Application!B721,UnitSizes,0)-1),"")</f>
        <v>1</v>
      </c>
      <c r="M23" s="1066">
        <f>Application!G721</f>
        <v>36</v>
      </c>
      <c r="N23" s="1072">
        <f>Application!AC721</f>
        <v>0.6</v>
      </c>
      <c r="O23" s="1072">
        <f>IF(Cdlac[[#This Row],[Quantity]]&gt;0,IF(Cdlac[[#This Row],[Federal]],30%,IF(AND(OR(NOT($G$38),$G$38=""),$G$43),40%,Cdlac[[#This Row],[iAMI]])),"")</f>
        <v>0.6</v>
      </c>
      <c r="P23" s="1066" cm="1">
        <f t="array" ref="P23">IF(Cdlac[[#This Row],[Quantity]]&gt;0,INDEX(TcacRents,$P$18,Cdlac[[#This Row],[Bedrooms]]+1)*Cdlac[[#This Row],[AMI]],"")</f>
        <v>1560</v>
      </c>
      <c r="Q23" s="1166"/>
      <c r="R23" s="1066" cm="1">
        <f t="array" ref="R23">IF(Cdlac[[#This Row],[Quantity]]&gt;0,INDEX(HudFmrs,$P$18,Cdlac[[#This Row],[Bedrooms]]+1),"")</f>
        <v>2006</v>
      </c>
      <c r="S23" s="1066">
        <f>IF(Cdlac[[#This Row],[Quantity]]&gt;0,MAX(0,Cdlac[[#This Row],[Fair Market Rent]]-IF(AND($G$37,$G$38,$G$38&lt;&gt;"",NOT(Cdlac[[#This Row],[Federal]]),Cdlac[[#This Row],[Preservation Rent]]&lt;&gt;""),Cdlac[[#This Row],[Preservation Rent]],Cdlac[[#This Row],[Restricted Rent]])),"")</f>
        <v>446</v>
      </c>
      <c r="T23" s="1045">
        <f>IF(Cdlac[[#This Row],[Quantity]]&gt;0,AND(Application!AK721&lt;&gt;"N/A",Application!AK721&lt;&gt;"")*Cdlac[[#This Row],[Quantity]],"")</f>
        <v>0</v>
      </c>
      <c r="U23" s="1045" t="b">
        <f>AND('Subsidy Contract Calculation'!F7&gt;0,OR('Subsidy Contract Calculation'!C7="Federal",'Subsidy Contract Calculation'!C7="Local - Approved by ED"),Cdlac[[#This Row],[Quantity]]&gt;0)</f>
        <v>0</v>
      </c>
    </row>
    <row r="24" spans="1:21" ht="15" customHeight="1">
      <c r="C24" s="1073">
        <v>0</v>
      </c>
      <c r="D24" s="1074">
        <v>0.9</v>
      </c>
      <c r="E24" s="1073">
        <f>SUMIFS(Cdlac[Quantity],Cdlac[Bedrooms],C24)</f>
        <v>101</v>
      </c>
      <c r="F24" s="1073">
        <f>E24</f>
        <v>101</v>
      </c>
      <c r="G24" s="1073">
        <f>D24*F24</f>
        <v>90.9</v>
      </c>
      <c r="L24" s="1045">
        <f>IFERROR(MIN(4,MATCH(Application!B722,UnitSizes,0)-1),"")</f>
        <v>2</v>
      </c>
      <c r="M24" s="1066">
        <f>Application!G722</f>
        <v>37</v>
      </c>
      <c r="N24" s="1072">
        <f>Application!AC722</f>
        <v>0.6</v>
      </c>
      <c r="O24" s="1072">
        <f>IF(Cdlac[[#This Row],[Quantity]]&gt;0,IF(Cdlac[[#This Row],[Federal]],30%,IF(AND(OR(NOT($G$38),$G$38=""),$G$43),40%,Cdlac[[#This Row],[iAMI]])),"")</f>
        <v>0.6</v>
      </c>
      <c r="P24" s="1066" cm="1">
        <f t="array" ref="P24">IF(Cdlac[[#This Row],[Quantity]]&gt;0,INDEX(TcacRents,$P$18,Cdlac[[#This Row],[Bedrooms]]+1)*Cdlac[[#This Row],[AMI]],"")</f>
        <v>1872</v>
      </c>
      <c r="Q24" s="1166"/>
      <c r="R24" s="1066" cm="1">
        <f t="array" ref="R24">IF(Cdlac[[#This Row],[Quantity]]&gt;0,INDEX(HudFmrs,$P$18,Cdlac[[#This Row],[Bedrooms]]+1),"")</f>
        <v>2544</v>
      </c>
      <c r="S24" s="1066">
        <f>IF(Cdlac[[#This Row],[Quantity]]&gt;0,MAX(0,Cdlac[[#This Row],[Fair Market Rent]]-IF(AND($G$37,$G$38,$G$38&lt;&gt;"",NOT(Cdlac[[#This Row],[Federal]]),Cdlac[[#This Row],[Preservation Rent]]&lt;&gt;""),Cdlac[[#This Row],[Preservation Rent]],Cdlac[[#This Row],[Restricted Rent]])),"")</f>
        <v>672</v>
      </c>
      <c r="T24" s="1045">
        <f>IF(Cdlac[[#This Row],[Quantity]]&gt;0,AND(Application!AK722&lt;&gt;"N/A",Application!AK722&lt;&gt;"")*Cdlac[[#This Row],[Quantity]],"")</f>
        <v>0</v>
      </c>
      <c r="U24" s="1045" t="b">
        <f>AND('Subsidy Contract Calculation'!F8&gt;0,OR('Subsidy Contract Calculation'!C8="Federal",'Subsidy Contract Calculation'!C8="Local - Approved by ED"),Cdlac[[#This Row],[Quantity]]&gt;0)</f>
        <v>0</v>
      </c>
    </row>
    <row r="25" spans="1:21" ht="15" customHeight="1">
      <c r="C25" s="1073">
        <v>1</v>
      </c>
      <c r="D25" s="1074">
        <v>1</v>
      </c>
      <c r="E25" s="1073">
        <f>SUMIFS(Cdlac[Quantity],Cdlac[Bedrooms],C25)</f>
        <v>36</v>
      </c>
      <c r="F25" s="1073">
        <f>E25</f>
        <v>36</v>
      </c>
      <c r="G25" s="1073">
        <f>D25*F25</f>
        <v>36</v>
      </c>
      <c r="L25" s="1045">
        <f>IFERROR(MIN(4,MATCH(Application!B723,UnitSizes,0)-1),"")</f>
        <v>2</v>
      </c>
      <c r="M25" s="1066">
        <f>Application!G723</f>
        <v>56</v>
      </c>
      <c r="N25" s="1072">
        <f>Application!AC723</f>
        <v>0.7</v>
      </c>
      <c r="O25" s="1072">
        <f>IF(Cdlac[[#This Row],[Quantity]]&gt;0,IF(Cdlac[[#This Row],[Federal]],30%,IF(AND(OR(NOT($G$38),$G$38=""),$G$43),40%,Cdlac[[#This Row],[iAMI]])),"")</f>
        <v>0.7</v>
      </c>
      <c r="P25" s="1066" cm="1">
        <f t="array" ref="P25">IF(Cdlac[[#This Row],[Quantity]]&gt;0,INDEX(TcacRents,$P$18,Cdlac[[#This Row],[Bedrooms]]+1)*Cdlac[[#This Row],[AMI]],"")</f>
        <v>2184</v>
      </c>
      <c r="Q25" s="1166"/>
      <c r="R25" s="1066" cm="1">
        <f t="array" ref="R25">IF(Cdlac[[#This Row],[Quantity]]&gt;0,INDEX(HudFmrs,$P$18,Cdlac[[#This Row],[Bedrooms]]+1),"")</f>
        <v>2544</v>
      </c>
      <c r="S25" s="1066">
        <f>IF(Cdlac[[#This Row],[Quantity]]&gt;0,MAX(0,Cdlac[[#This Row],[Fair Market Rent]]-IF(AND($G$37,$G$38,$G$38&lt;&gt;"",NOT(Cdlac[[#This Row],[Federal]]),Cdlac[[#This Row],[Preservation Rent]]&lt;&gt;""),Cdlac[[#This Row],[Preservation Rent]],Cdlac[[#This Row],[Restricted Rent]])),"")</f>
        <v>360</v>
      </c>
      <c r="T25" s="1045">
        <f>IF(Cdlac[[#This Row],[Quantity]]&gt;0,AND(Application!AK723&lt;&gt;"N/A",Application!AK723&lt;&gt;"")*Cdlac[[#This Row],[Quantity]],"")</f>
        <v>0</v>
      </c>
      <c r="U25" s="1045" t="b">
        <f>AND('Subsidy Contract Calculation'!F9&gt;0,OR('Subsidy Contract Calculation'!C9="Federal",'Subsidy Contract Calculation'!C9="Local - Approved by ED"),Cdlac[[#This Row],[Quantity]]&gt;0)</f>
        <v>0</v>
      </c>
    </row>
    <row r="26" spans="1:21" ht="15" customHeight="1">
      <c r="A26" s="1075"/>
      <c r="C26" s="1076">
        <v>2</v>
      </c>
      <c r="D26" s="1074">
        <v>1.25</v>
      </c>
      <c r="E26" s="1073">
        <f>SUMIFS(Cdlac[Quantity],Cdlac[Bedrooms],C26)</f>
        <v>93</v>
      </c>
      <c r="F26" s="1076">
        <f>SUM(E26:E28)-SUM(F27:F28)</f>
        <v>93</v>
      </c>
      <c r="G26" s="1073">
        <f>D26*F26</f>
        <v>116.25</v>
      </c>
      <c r="H26" s="1075"/>
      <c r="I26" s="1075"/>
      <c r="L26" s="1045" t="str">
        <f>IFERROR(MIN(4,MATCH(Application!B724,UnitSizes,0)-1),"")</f>
        <v/>
      </c>
      <c r="M26" s="1066">
        <f>Application!G724</f>
        <v>0</v>
      </c>
      <c r="N26" s="1072">
        <f>Application!AC724</f>
        <v>0</v>
      </c>
      <c r="O26" s="1072" t="str">
        <f>IF(Cdlac[[#This Row],[Quantity]]&gt;0,IF(Cdlac[[#This Row],[Federal]],30%,IF(AND(OR(NOT($G$38),$G$38=""),$G$43),40%,Cdlac[[#This Row],[iAMI]])),"")</f>
        <v/>
      </c>
      <c r="P26" s="1066" t="str" cm="1">
        <f t="array" ref="P26">IF(Cdlac[[#This Row],[Quantity]]&gt;0,INDEX(TcacRents,$P$18,Cdlac[[#This Row],[Bedrooms]]+1)*Cdlac[[#This Row],[AMI]],"")</f>
        <v/>
      </c>
      <c r="Q26" s="1166"/>
      <c r="R26" s="1066" t="str" cm="1">
        <f t="array" ref="R26">IF(Cdlac[[#This Row],[Quantity]]&gt;0,INDEX(HudFmrs,$P$18,Cdlac[[#This Row],[Bedrooms]]+1),"")</f>
        <v/>
      </c>
      <c r="S26" s="1066" t="str">
        <f>IF(Cdlac[[#This Row],[Quantity]]&gt;0,MAX(0,Cdlac[[#This Row],[Fair Market Rent]]-IF(AND($G$37,$G$38,$G$38&lt;&gt;"",NOT(Cdlac[[#This Row],[Federal]]),Cdlac[[#This Row],[Preservation Rent]]&lt;&gt;""),Cdlac[[#This Row],[Preservation Rent]],Cdlac[[#This Row],[Restricted Rent]])),"")</f>
        <v/>
      </c>
      <c r="T26" s="1045" t="str">
        <f>IF(Cdlac[[#This Row],[Quantity]]&gt;0,AND(Application!AK724&lt;&gt;"N/A",Application!AK724&lt;&gt;"")*Cdlac[[#This Row],[Quantity]],"")</f>
        <v/>
      </c>
      <c r="U26" s="1045" t="b">
        <f>AND('Subsidy Contract Calculation'!F10&gt;0,OR('Subsidy Contract Calculation'!C10="Federal",'Subsidy Contract Calculation'!C10="Local - Approved by ED"),Cdlac[[#This Row],[Quantity]]&gt;0)</f>
        <v>0</v>
      </c>
    </row>
    <row r="27" spans="1:21" ht="15" customHeight="1">
      <c r="A27" s="1075"/>
      <c r="C27" s="1076">
        <v>3</v>
      </c>
      <c r="D27" s="1074">
        <f>1.5+0.25*0</f>
        <v>1.5</v>
      </c>
      <c r="E27" s="1073">
        <f>SUMIFS(Cdlac[Quantity],Cdlac[Bedrooms],C27)</f>
        <v>0</v>
      </c>
      <c r="F27" s="1076">
        <f>MIN(E27,ROUNDDOWN(E29*30%,0))</f>
        <v>0</v>
      </c>
      <c r="G27" s="1073">
        <f>D27*F27</f>
        <v>0</v>
      </c>
      <c r="H27" s="1075"/>
      <c r="I27" s="1075"/>
      <c r="L27" s="1045" t="str">
        <f>IFERROR(MIN(4,MATCH(Application!B725,UnitSizes,0)-1),"")</f>
        <v/>
      </c>
      <c r="M27" s="1066">
        <f>Application!G725</f>
        <v>0</v>
      </c>
      <c r="N27" s="1072">
        <f>Application!AC725</f>
        <v>0</v>
      </c>
      <c r="O27" s="1072" t="str">
        <f>IF(Cdlac[[#This Row],[Quantity]]&gt;0,IF(Cdlac[[#This Row],[Federal]],30%,IF(AND(OR(NOT($G$38),$G$38=""),$G$43),40%,Cdlac[[#This Row],[iAMI]])),"")</f>
        <v/>
      </c>
      <c r="P27" s="1066" t="str" cm="1">
        <f t="array" ref="P27">IF(Cdlac[[#This Row],[Quantity]]&gt;0,INDEX(TcacRents,$P$18,Cdlac[[#This Row],[Bedrooms]]+1)*Cdlac[[#This Row],[AMI]],"")</f>
        <v/>
      </c>
      <c r="Q27" s="1166"/>
      <c r="R27" s="1066" t="str" cm="1">
        <f t="array" ref="R27">IF(Cdlac[[#This Row],[Quantity]]&gt;0,INDEX(HudFmrs,$P$18,Cdlac[[#This Row],[Bedrooms]]+1),"")</f>
        <v/>
      </c>
      <c r="S27" s="1066" t="str">
        <f>IF(Cdlac[[#This Row],[Quantity]]&gt;0,MAX(0,Cdlac[[#This Row],[Fair Market Rent]]-IF(AND($G$37,$G$38,$G$38&lt;&gt;"",NOT(Cdlac[[#This Row],[Federal]]),Cdlac[[#This Row],[Preservation Rent]]&lt;&gt;""),Cdlac[[#This Row],[Preservation Rent]],Cdlac[[#This Row],[Restricted Rent]])),"")</f>
        <v/>
      </c>
      <c r="T27" s="1045" t="str">
        <f>IF(Cdlac[[#This Row],[Quantity]]&gt;0,AND(Application!AK725&lt;&gt;"N/A",Application!AK725&lt;&gt;"")*Cdlac[[#This Row],[Quantity]],"")</f>
        <v/>
      </c>
      <c r="U27" s="1045" t="b">
        <f>AND('Subsidy Contract Calculation'!F11&gt;0,OR('Subsidy Contract Calculation'!C11="Federal",'Subsidy Contract Calculation'!C11="Local - Approved by ED"),Cdlac[[#This Row],[Quantity]]&gt;0)</f>
        <v>0</v>
      </c>
    </row>
    <row r="28" spans="1:21" ht="15" customHeight="1" thickBot="1">
      <c r="A28" s="1075"/>
      <c r="C28" s="1088">
        <v>4</v>
      </c>
      <c r="D28" s="1089">
        <f>1.75+0.25*0</f>
        <v>1.75</v>
      </c>
      <c r="E28" s="1090">
        <f>SUMIFS(Cdlac[Quantity],Cdlac[Bedrooms],C28)</f>
        <v>0</v>
      </c>
      <c r="F28" s="1088">
        <f>MIN(E28,ROUNDDOWN(E29*10%,0))</f>
        <v>0</v>
      </c>
      <c r="G28" s="1090">
        <f>D28*F28</f>
        <v>0</v>
      </c>
      <c r="H28" s="1075"/>
      <c r="I28" s="1075"/>
      <c r="L28" s="1045" t="str">
        <f>IFERROR(MIN(4,MATCH(Application!B726,UnitSizes,0)-1),"")</f>
        <v/>
      </c>
      <c r="M28" s="1066">
        <f>Application!G726</f>
        <v>0</v>
      </c>
      <c r="N28" s="1072">
        <f>Application!AC726</f>
        <v>0</v>
      </c>
      <c r="O28" s="1072" t="str">
        <f>IF(Cdlac[[#This Row],[Quantity]]&gt;0,IF(Cdlac[[#This Row],[Federal]],30%,IF(AND(OR(NOT($G$38),$G$38=""),$G$43),40%,Cdlac[[#This Row],[iAMI]])),"")</f>
        <v/>
      </c>
      <c r="P28" s="1066" t="str" cm="1">
        <f t="array" ref="P28">IF(Cdlac[[#This Row],[Quantity]]&gt;0,INDEX(TcacRents,$P$18,Cdlac[[#This Row],[Bedrooms]]+1)*Cdlac[[#This Row],[AMI]],"")</f>
        <v/>
      </c>
      <c r="Q28" s="1166"/>
      <c r="R28" s="1066" t="str" cm="1">
        <f t="array" ref="R28">IF(Cdlac[[#This Row],[Quantity]]&gt;0,INDEX(HudFmrs,$P$18,Cdlac[[#This Row],[Bedrooms]]+1),"")</f>
        <v/>
      </c>
      <c r="S28" s="1066" t="str">
        <f>IF(Cdlac[[#This Row],[Quantity]]&gt;0,MAX(0,Cdlac[[#This Row],[Fair Market Rent]]-IF(AND($G$37,$G$38,$G$38&lt;&gt;"",NOT(Cdlac[[#This Row],[Federal]]),Cdlac[[#This Row],[Preservation Rent]]&lt;&gt;""),Cdlac[[#This Row],[Preservation Rent]],Cdlac[[#This Row],[Restricted Rent]])),"")</f>
        <v/>
      </c>
      <c r="T28" s="1045" t="str">
        <f>IF(Cdlac[[#This Row],[Quantity]]&gt;0,AND(Application!AK726&lt;&gt;"N/A",Application!AK726&lt;&gt;"")*Cdlac[[#This Row],[Quantity]],"")</f>
        <v/>
      </c>
      <c r="U28" s="1045" t="b">
        <f>AND('Subsidy Contract Calculation'!F12&gt;0,OR('Subsidy Contract Calculation'!C12="Federal",'Subsidy Contract Calculation'!C12="Local - Approved by ED"),Cdlac[[#This Row],[Quantity]]&gt;0)</f>
        <v>0</v>
      </c>
    </row>
    <row r="29" spans="1:21" ht="15" customHeight="1">
      <c r="A29" s="1075"/>
      <c r="C29" s="2624" t="s">
        <v>1585</v>
      </c>
      <c r="D29" s="2625"/>
      <c r="E29" s="1091">
        <f>SUM(E24:E28)</f>
        <v>230</v>
      </c>
      <c r="F29" s="1091">
        <f>SUM(F24:F28)</f>
        <v>230</v>
      </c>
      <c r="G29" s="1092">
        <f>SUMPRODUCT(D24:D28,F24:F28)</f>
        <v>243.15</v>
      </c>
      <c r="H29" s="1075"/>
      <c r="I29" s="1075"/>
      <c r="L29" s="1045" t="str">
        <f>IFERROR(MIN(4,MATCH(Application!B727,UnitSizes,0)-1),"")</f>
        <v/>
      </c>
      <c r="M29" s="1066">
        <f>Application!G727</f>
        <v>0</v>
      </c>
      <c r="N29" s="1072">
        <f>Application!AC727</f>
        <v>0</v>
      </c>
      <c r="O29" s="1072" t="str">
        <f>IF(Cdlac[[#This Row],[Quantity]]&gt;0,IF(Cdlac[[#This Row],[Federal]],30%,IF(AND(OR(NOT($G$38),$G$38=""),$G$43),40%,Cdlac[[#This Row],[iAMI]])),"")</f>
        <v/>
      </c>
      <c r="P29" s="1066" t="str" cm="1">
        <f t="array" ref="P29">IF(Cdlac[[#This Row],[Quantity]]&gt;0,INDEX(TcacRents,$P$18,Cdlac[[#This Row],[Bedrooms]]+1)*Cdlac[[#This Row],[AMI]],"")</f>
        <v/>
      </c>
      <c r="Q29" s="1166"/>
      <c r="R29" s="1066" t="str" cm="1">
        <f t="array" ref="R29">IF(Cdlac[[#This Row],[Quantity]]&gt;0,INDEX(HudFmrs,$P$18,Cdlac[[#This Row],[Bedrooms]]+1),"")</f>
        <v/>
      </c>
      <c r="S29" s="1066" t="str">
        <f>IF(Cdlac[[#This Row],[Quantity]]&gt;0,MAX(0,Cdlac[[#This Row],[Fair Market Rent]]-IF(AND($G$37,$G$38,$G$38&lt;&gt;"",NOT(Cdlac[[#This Row],[Federal]]),Cdlac[[#This Row],[Preservation Rent]]&lt;&gt;""),Cdlac[[#This Row],[Preservation Rent]],Cdlac[[#This Row],[Restricted Rent]])),"")</f>
        <v/>
      </c>
      <c r="T29" s="1045" t="str">
        <f>IF(Cdlac[[#This Row],[Quantity]]&gt;0,AND(Application!AK727&lt;&gt;"N/A",Application!AK727&lt;&gt;"")*Cdlac[[#This Row],[Quantity]],"")</f>
        <v/>
      </c>
      <c r="U29" s="1045" t="b">
        <f>AND('Subsidy Contract Calculation'!F13&gt;0,OR('Subsidy Contract Calculation'!C13="Federal",'Subsidy Contract Calculation'!C13="Local - Approved by ED"),Cdlac[[#This Row],[Quantity]]&gt;0)</f>
        <v>0</v>
      </c>
    </row>
    <row r="30" spans="1:21" ht="15" customHeight="1">
      <c r="A30" s="1075"/>
      <c r="C30" s="1075"/>
      <c r="D30" s="1075"/>
      <c r="E30" s="1075"/>
      <c r="F30" s="1075"/>
      <c r="G30" s="1075"/>
      <c r="H30" s="1075"/>
      <c r="I30" s="1075"/>
      <c r="L30" s="1045" t="str">
        <f>IFERROR(MIN(4,MATCH(Application!B728,UnitSizes,0)-1),"")</f>
        <v/>
      </c>
      <c r="M30" s="1066">
        <f>Application!G728</f>
        <v>0</v>
      </c>
      <c r="N30" s="1072">
        <f>Application!AC728</f>
        <v>0</v>
      </c>
      <c r="O30" s="1072" t="str">
        <f>IF(Cdlac[[#This Row],[Quantity]]&gt;0,IF(Cdlac[[#This Row],[Federal]],30%,IF(AND(OR(NOT($G$38),$G$38=""),$G$43),40%,Cdlac[[#This Row],[iAMI]])),"")</f>
        <v/>
      </c>
      <c r="P30" s="1066" t="str" cm="1">
        <f t="array" ref="P30">IF(Cdlac[[#This Row],[Quantity]]&gt;0,INDEX(TcacRents,$P$18,Cdlac[[#This Row],[Bedrooms]]+1)*Cdlac[[#This Row],[AMI]],"")</f>
        <v/>
      </c>
      <c r="Q30" s="1166"/>
      <c r="R30" s="1066" t="str" cm="1">
        <f t="array" ref="R30">IF(Cdlac[[#This Row],[Quantity]]&gt;0,INDEX(HudFmrs,$P$18,Cdlac[[#This Row],[Bedrooms]]+1),"")</f>
        <v/>
      </c>
      <c r="S30" s="1066" t="str">
        <f>IF(Cdlac[[#This Row],[Quantity]]&gt;0,MAX(0,Cdlac[[#This Row],[Fair Market Rent]]-IF(AND($G$37,$G$38,$G$38&lt;&gt;"",NOT(Cdlac[[#This Row],[Federal]]),Cdlac[[#This Row],[Preservation Rent]]&lt;&gt;""),Cdlac[[#This Row],[Preservation Rent]],Cdlac[[#This Row],[Restricted Rent]])),"")</f>
        <v/>
      </c>
      <c r="T30" s="1045" t="str">
        <f>IF(Cdlac[[#This Row],[Quantity]]&gt;0,AND(Application!AK728&lt;&gt;"N/A",Application!AK728&lt;&gt;"")*Cdlac[[#This Row],[Quantity]],"")</f>
        <v/>
      </c>
      <c r="U30" s="1045" t="b">
        <f>AND('Subsidy Contract Calculation'!F14&gt;0,OR('Subsidy Contract Calculation'!C14="Federal",'Subsidy Contract Calculation'!C14="Local - Approved by ED"),Cdlac[[#This Row],[Quantity]]&gt;0)</f>
        <v>0</v>
      </c>
    </row>
    <row r="31" spans="1:21" ht="15" customHeight="1">
      <c r="A31" s="1075"/>
      <c r="E31" s="1119" t="s">
        <v>1985</v>
      </c>
      <c r="G31" s="1116">
        <f>G29</f>
        <v>243.15</v>
      </c>
      <c r="H31" s="1075"/>
      <c r="I31" s="1075"/>
      <c r="L31" s="1045" t="str">
        <f>IFERROR(MIN(4,MATCH(Application!B729,UnitSizes,0)-1),"")</f>
        <v/>
      </c>
      <c r="M31" s="1066">
        <f>Application!G729</f>
        <v>0</v>
      </c>
      <c r="N31" s="1072">
        <f>Application!AC729</f>
        <v>0</v>
      </c>
      <c r="O31" s="1072" t="str">
        <f>IF(Cdlac[[#This Row],[Quantity]]&gt;0,IF(Cdlac[[#This Row],[Federal]],30%,IF(AND(OR(NOT($G$38),$G$38=""),$G$43),40%,Cdlac[[#This Row],[iAMI]])),"")</f>
        <v/>
      </c>
      <c r="P31" s="1066" t="str" cm="1">
        <f t="array" ref="P31">IF(Cdlac[[#This Row],[Quantity]]&gt;0,INDEX(TcacRents,$P$18,Cdlac[[#This Row],[Bedrooms]]+1)*Cdlac[[#This Row],[AMI]],"")</f>
        <v/>
      </c>
      <c r="Q31" s="1166"/>
      <c r="R31" s="1066" t="str" cm="1">
        <f t="array" ref="R31">IF(Cdlac[[#This Row],[Quantity]]&gt;0,INDEX(HudFmrs,$P$18,Cdlac[[#This Row],[Bedrooms]]+1),"")</f>
        <v/>
      </c>
      <c r="S31" s="1066" t="str">
        <f>IF(Cdlac[[#This Row],[Quantity]]&gt;0,MAX(0,Cdlac[[#This Row],[Fair Market Rent]]-IF(AND($G$37,$G$38,$G$38&lt;&gt;"",NOT(Cdlac[[#This Row],[Federal]]),Cdlac[[#This Row],[Preservation Rent]]&lt;&gt;""),Cdlac[[#This Row],[Preservation Rent]],Cdlac[[#This Row],[Restricted Rent]])),"")</f>
        <v/>
      </c>
      <c r="T31" s="1045" t="str">
        <f>IF(Cdlac[[#This Row],[Quantity]]&gt;0,AND(Application!AK729&lt;&gt;"N/A",Application!AK729&lt;&gt;"")*Cdlac[[#This Row],[Quantity]],"")</f>
        <v/>
      </c>
      <c r="U31" s="1045" t="b">
        <f>AND('Subsidy Contract Calculation'!F15&gt;0,OR('Subsidy Contract Calculation'!C15="Federal",'Subsidy Contract Calculation'!C15="Local - Approved by ED"),Cdlac[[#This Row],[Quantity]]&gt;0)</f>
        <v>0</v>
      </c>
    </row>
    <row r="32" spans="1:21" ht="15" customHeight="1">
      <c r="A32" s="1075"/>
      <c r="E32" s="1119" t="s">
        <v>1944</v>
      </c>
      <c r="F32" s="1115" t="s">
        <v>1993</v>
      </c>
      <c r="G32" s="1117">
        <v>50000</v>
      </c>
      <c r="H32" s="1075"/>
      <c r="I32" s="1075"/>
      <c r="L32" s="1045" t="str">
        <f>IFERROR(MIN(4,MATCH(Application!B730,UnitSizes,0)-1),"")</f>
        <v/>
      </c>
      <c r="M32" s="1066">
        <f>Application!G730</f>
        <v>0</v>
      </c>
      <c r="N32" s="1072">
        <f>Application!AC730</f>
        <v>0</v>
      </c>
      <c r="O32" s="1072" t="str">
        <f>IF(Cdlac[[#This Row],[Quantity]]&gt;0,IF(Cdlac[[#This Row],[Federal]],30%,IF(AND(OR(NOT($G$38),$G$38=""),$G$43),40%,Cdlac[[#This Row],[iAMI]])),"")</f>
        <v/>
      </c>
      <c r="P32" s="1066" t="str" cm="1">
        <f t="array" ref="P32">IF(Cdlac[[#This Row],[Quantity]]&gt;0,INDEX(TcacRents,$P$18,Cdlac[[#This Row],[Bedrooms]]+1)*Cdlac[[#This Row],[AMI]],"")</f>
        <v/>
      </c>
      <c r="Q32" s="1166"/>
      <c r="R32" s="1066" t="str" cm="1">
        <f t="array" ref="R32">IF(Cdlac[[#This Row],[Quantity]]&gt;0,INDEX(HudFmrs,$P$18,Cdlac[[#This Row],[Bedrooms]]+1),"")</f>
        <v/>
      </c>
      <c r="S32" s="1066" t="str">
        <f>IF(Cdlac[[#This Row],[Quantity]]&gt;0,MAX(0,Cdlac[[#This Row],[Fair Market Rent]]-IF(AND($G$37,$G$38,$G$38&lt;&gt;"",NOT(Cdlac[[#This Row],[Federal]]),Cdlac[[#This Row],[Preservation Rent]]&lt;&gt;""),Cdlac[[#This Row],[Preservation Rent]],Cdlac[[#This Row],[Restricted Rent]])),"")</f>
        <v/>
      </c>
      <c r="T32" s="1045" t="str">
        <f>IF(Cdlac[[#This Row],[Quantity]]&gt;0,AND(Application!AK730&lt;&gt;"N/A",Application!AK730&lt;&gt;"")*Cdlac[[#This Row],[Quantity]],"")</f>
        <v/>
      </c>
      <c r="U32" s="1045" t="b">
        <f>AND('Subsidy Contract Calculation'!F16&gt;0,OR('Subsidy Contract Calculation'!C16="Federal",'Subsidy Contract Calculation'!C16="Local - Approved by ED"),Cdlac[[#This Row],[Quantity]]&gt;0)</f>
        <v>0</v>
      </c>
    </row>
    <row r="33" spans="1:21" ht="15" customHeight="1">
      <c r="A33" s="1075"/>
      <c r="E33" s="1120" t="s">
        <v>1978</v>
      </c>
      <c r="F33" s="1047"/>
      <c r="G33" s="1121">
        <f>G32*G31</f>
        <v>12157500</v>
      </c>
      <c r="H33" s="1075"/>
      <c r="I33" s="1075"/>
      <c r="L33" s="1045" t="str">
        <f>IFERROR(MIN(4,MATCH(Application!B731,UnitSizes,0)-1),"")</f>
        <v/>
      </c>
      <c r="M33" s="1066">
        <f>Application!G731</f>
        <v>0</v>
      </c>
      <c r="N33" s="1072">
        <f>Application!AC731</f>
        <v>0</v>
      </c>
      <c r="O33" s="1072" t="str">
        <f>IF(Cdlac[[#This Row],[Quantity]]&gt;0,IF(Cdlac[[#This Row],[Federal]],30%,IF(AND(OR(NOT($G$38),$G$38=""),$G$43),40%,Cdlac[[#This Row],[iAMI]])),"")</f>
        <v/>
      </c>
      <c r="P33" s="1066" t="str" cm="1">
        <f t="array" ref="P33">IF(Cdlac[[#This Row],[Quantity]]&gt;0,INDEX(TcacRents,$P$18,Cdlac[[#This Row],[Bedrooms]]+1)*Cdlac[[#This Row],[AMI]],"")</f>
        <v/>
      </c>
      <c r="Q33" s="1166"/>
      <c r="R33" s="1066" t="str" cm="1">
        <f t="array" ref="R33">IF(Cdlac[[#This Row],[Quantity]]&gt;0,INDEX(HudFmrs,$P$18,Cdlac[[#This Row],[Bedrooms]]+1),"")</f>
        <v/>
      </c>
      <c r="S33" s="1066" t="str">
        <f>IF(Cdlac[[#This Row],[Quantity]]&gt;0,MAX(0,Cdlac[[#This Row],[Fair Market Rent]]-IF(AND($G$37,$G$38,$G$38&lt;&gt;"",NOT(Cdlac[[#This Row],[Federal]]),Cdlac[[#This Row],[Preservation Rent]]&lt;&gt;""),Cdlac[[#This Row],[Preservation Rent]],Cdlac[[#This Row],[Restricted Rent]])),"")</f>
        <v/>
      </c>
      <c r="T33" s="1045" t="str">
        <f>IF(Cdlac[[#This Row],[Quantity]]&gt;0,AND(Application!AK731&lt;&gt;"N/A",Application!AK731&lt;&gt;"")*Cdlac[[#This Row],[Quantity]],"")</f>
        <v/>
      </c>
      <c r="U33" s="1045" t="b">
        <f>AND('Subsidy Contract Calculation'!F17&gt;0,OR('Subsidy Contract Calculation'!C17="Federal",'Subsidy Contract Calculation'!C17="Local - Approved by ED"),Cdlac[[#This Row],[Quantity]]&gt;0)</f>
        <v>0</v>
      </c>
    </row>
    <row r="34" spans="1:21" ht="15" customHeight="1">
      <c r="A34" s="1075"/>
      <c r="B34" s="1075"/>
      <c r="C34" s="1075"/>
      <c r="D34" s="1075"/>
      <c r="E34" s="1075"/>
      <c r="F34" s="1075"/>
      <c r="G34" s="1075"/>
      <c r="H34" s="1075"/>
      <c r="I34" s="1075"/>
      <c r="L34" s="1045" t="str">
        <f>IFERROR(MIN(4,MATCH(Application!B732,UnitSizes,0)-1),"")</f>
        <v/>
      </c>
      <c r="M34" s="1066">
        <f>Application!G732</f>
        <v>0</v>
      </c>
      <c r="N34" s="1072">
        <f>Application!AC732</f>
        <v>0</v>
      </c>
      <c r="O34" s="1072" t="str">
        <f>IF(Cdlac[[#This Row],[Quantity]]&gt;0,IF(Cdlac[[#This Row],[Federal]],30%,IF(AND(OR(NOT($G$38),$G$38=""),$G$43),40%,Cdlac[[#This Row],[iAMI]])),"")</f>
        <v/>
      </c>
      <c r="P34" s="1066" t="str" cm="1">
        <f t="array" ref="P34">IF(Cdlac[[#This Row],[Quantity]]&gt;0,INDEX(TcacRents,$P$18,Cdlac[[#This Row],[Bedrooms]]+1)*Cdlac[[#This Row],[AMI]],"")</f>
        <v/>
      </c>
      <c r="Q34" s="1166"/>
      <c r="R34" s="1066" t="str" cm="1">
        <f t="array" ref="R34">IF(Cdlac[[#This Row],[Quantity]]&gt;0,INDEX(HudFmrs,$P$18,Cdlac[[#This Row],[Bedrooms]]+1),"")</f>
        <v/>
      </c>
      <c r="S34" s="1066" t="str">
        <f>IF(Cdlac[[#This Row],[Quantity]]&gt;0,MAX(0,Cdlac[[#This Row],[Fair Market Rent]]-IF(AND($G$37,$G$38,$G$38&lt;&gt;"",NOT(Cdlac[[#This Row],[Federal]]),Cdlac[[#This Row],[Preservation Rent]]&lt;&gt;""),Cdlac[[#This Row],[Preservation Rent]],Cdlac[[#This Row],[Restricted Rent]])),"")</f>
        <v/>
      </c>
      <c r="T34" s="1045" t="str">
        <f>IF(Cdlac[[#This Row],[Quantity]]&gt;0,AND(Application!AK732&lt;&gt;"N/A",Application!AK732&lt;&gt;"")*Cdlac[[#This Row],[Quantity]],"")</f>
        <v/>
      </c>
      <c r="U34" s="1045" t="b">
        <f>AND('Subsidy Contract Calculation'!F18&gt;0,OR('Subsidy Contract Calculation'!C18="Federal",'Subsidy Contract Calculation'!C18="Local - Approved by ED"),Cdlac[[#This Row],[Quantity]]&gt;0)</f>
        <v>0</v>
      </c>
    </row>
    <row r="35" spans="1:21" ht="15" customHeight="1">
      <c r="B35" s="1067" t="str">
        <f>B10</f>
        <v>B. Rent Savings Benefit</v>
      </c>
      <c r="C35" s="1068"/>
      <c r="D35" s="1068"/>
      <c r="E35" s="1068"/>
      <c r="F35" s="1068"/>
      <c r="G35" s="1068"/>
      <c r="H35" s="1068"/>
      <c r="I35" s="1069"/>
      <c r="L35" s="1045" t="str">
        <f>IFERROR(MIN(4,MATCH(Application!B733,UnitSizes,0)-1),"")</f>
        <v/>
      </c>
      <c r="M35" s="1066">
        <f>Application!G733</f>
        <v>0</v>
      </c>
      <c r="N35" s="1072">
        <f>Application!AC733</f>
        <v>0</v>
      </c>
      <c r="O35" s="1072" t="str">
        <f>IF(Cdlac[[#This Row],[Quantity]]&gt;0,IF(Cdlac[[#This Row],[Federal]],30%,IF(AND(OR(NOT($G$38),$G$38=""),$G$43),40%,Cdlac[[#This Row],[iAMI]])),"")</f>
        <v/>
      </c>
      <c r="P35" s="1066" t="str" cm="1">
        <f t="array" ref="P35">IF(Cdlac[[#This Row],[Quantity]]&gt;0,INDEX(TcacRents,$P$18,Cdlac[[#This Row],[Bedrooms]]+1)*Cdlac[[#This Row],[AMI]],"")</f>
        <v/>
      </c>
      <c r="Q35" s="1166"/>
      <c r="R35" s="1066" t="str" cm="1">
        <f t="array" ref="R35">IF(Cdlac[[#This Row],[Quantity]]&gt;0,INDEX(HudFmrs,$P$18,Cdlac[[#This Row],[Bedrooms]]+1),"")</f>
        <v/>
      </c>
      <c r="S35" s="1066" t="str">
        <f>IF(Cdlac[[#This Row],[Quantity]]&gt;0,MAX(0,Cdlac[[#This Row],[Fair Market Rent]]-IF(AND($G$37,$G$38,$G$38&lt;&gt;"",NOT(Cdlac[[#This Row],[Federal]]),Cdlac[[#This Row],[Preservation Rent]]&lt;&gt;""),Cdlac[[#This Row],[Preservation Rent]],Cdlac[[#This Row],[Restricted Rent]])),"")</f>
        <v/>
      </c>
      <c r="T35" s="1045" t="str">
        <f>IF(Cdlac[[#This Row],[Quantity]]&gt;0,AND(Application!AK733&lt;&gt;"N/A",Application!AK733&lt;&gt;"")*Cdlac[[#This Row],[Quantity]],"")</f>
        <v/>
      </c>
      <c r="U35" s="1045" t="b">
        <f>AND('Subsidy Contract Calculation'!F19&gt;0,OR('Subsidy Contract Calculation'!C19="Federal",'Subsidy Contract Calculation'!C19="Local - Approved by ED"),Cdlac[[#This Row],[Quantity]]&gt;0)</f>
        <v>0</v>
      </c>
    </row>
    <row r="36" spans="1:21" ht="15" customHeight="1">
      <c r="L36" s="1045" t="str">
        <f>IFERROR(MIN(4,MATCH(Application!B734,UnitSizes,0)-1),"")</f>
        <v/>
      </c>
      <c r="M36" s="1066">
        <f>Application!G734</f>
        <v>0</v>
      </c>
      <c r="N36" s="1072">
        <f>Application!AC734</f>
        <v>0</v>
      </c>
      <c r="O36" s="1072" t="str">
        <f>IF(Cdlac[[#This Row],[Quantity]]&gt;0,IF(Cdlac[[#This Row],[Federal]],30%,IF(AND(OR(NOT($G$38),$G$38=""),$G$43),40%,Cdlac[[#This Row],[iAMI]])),"")</f>
        <v/>
      </c>
      <c r="P36" s="1066" t="str" cm="1">
        <f t="array" ref="P36">IF(Cdlac[[#This Row],[Quantity]]&gt;0,INDEX(TcacRents,$P$18,Cdlac[[#This Row],[Bedrooms]]+1)*Cdlac[[#This Row],[AMI]],"")</f>
        <v/>
      </c>
      <c r="Q36" s="1166"/>
      <c r="R36" s="1066" t="str" cm="1">
        <f t="array" ref="R36">IF(Cdlac[[#This Row],[Quantity]]&gt;0,INDEX(HudFmrs,$P$18,Cdlac[[#This Row],[Bedrooms]]+1),"")</f>
        <v/>
      </c>
      <c r="S36" s="1066" t="str">
        <f>IF(Cdlac[[#This Row],[Quantity]]&gt;0,MAX(0,Cdlac[[#This Row],[Fair Market Rent]]-IF(AND($G$37,$G$38,$G$38&lt;&gt;"",NOT(Cdlac[[#This Row],[Federal]]),Cdlac[[#This Row],[Preservation Rent]]&lt;&gt;""),Cdlac[[#This Row],[Preservation Rent]],Cdlac[[#This Row],[Restricted Rent]])),"")</f>
        <v/>
      </c>
      <c r="T36" s="1045" t="str">
        <f>IF(Cdlac[[#This Row],[Quantity]]&gt;0,AND(Application!AK734&lt;&gt;"N/A",Application!AK734&lt;&gt;"")*Cdlac[[#This Row],[Quantity]],"")</f>
        <v/>
      </c>
      <c r="U36" s="1045" t="b">
        <f>AND('Subsidy Contract Calculation'!F20&gt;0,OR('Subsidy Contract Calculation'!C20="Federal",'Subsidy Contract Calculation'!C20="Local - Approved by ED"),Cdlac[[#This Row],[Quantity]]&gt;0)</f>
        <v>0</v>
      </c>
    </row>
    <row r="37" spans="1:21" ht="15" customHeight="1">
      <c r="E37" s="1086" t="s">
        <v>2261</v>
      </c>
      <c r="G37" s="1045" t="b">
        <f>OR('Points System'!B13="Yes",'Points System'!B16="Yes",'Points System'!B22="Yes",'Points System'!B25="Yes",'Points System'!B28="Yes",'Points System'!B33="Yes",'Points System'!B36="Yes",'Points System'!B40="Yes",'Points System'!B45="Yes")</f>
        <v>0</v>
      </c>
      <c r="L37" s="1045" t="str">
        <f>IFERROR(MIN(4,MATCH(Application!B735,UnitSizes,0)-1),"")</f>
        <v/>
      </c>
      <c r="M37" s="1066">
        <f>Application!G735</f>
        <v>0</v>
      </c>
      <c r="N37" s="1072">
        <f>Application!AC735</f>
        <v>0</v>
      </c>
      <c r="O37" s="1072" t="str">
        <f>IF(Cdlac[[#This Row],[Quantity]]&gt;0,IF(Cdlac[[#This Row],[Federal]],30%,IF(AND(OR(NOT($G$38),$G$38=""),$G$43),40%,Cdlac[[#This Row],[iAMI]])),"")</f>
        <v/>
      </c>
      <c r="P37" s="1066" t="str" cm="1">
        <f t="array" ref="P37">IF(Cdlac[[#This Row],[Quantity]]&gt;0,INDEX(TcacRents,$P$18,Cdlac[[#This Row],[Bedrooms]]+1)*Cdlac[[#This Row],[AMI]],"")</f>
        <v/>
      </c>
      <c r="Q37" s="1166"/>
      <c r="R37" s="1066" t="str" cm="1">
        <f t="array" ref="R37">IF(Cdlac[[#This Row],[Quantity]]&gt;0,INDEX(HudFmrs,$P$18,Cdlac[[#This Row],[Bedrooms]]+1),"")</f>
        <v/>
      </c>
      <c r="S37" s="1066" t="str">
        <f>IF(Cdlac[[#This Row],[Quantity]]&gt;0,MAX(0,Cdlac[[#This Row],[Fair Market Rent]]-IF(AND($G$37,$G$38,$G$38&lt;&gt;"",NOT(Cdlac[[#This Row],[Federal]]),Cdlac[[#This Row],[Preservation Rent]]&lt;&gt;""),Cdlac[[#This Row],[Preservation Rent]],Cdlac[[#This Row],[Restricted Rent]])),"")</f>
        <v/>
      </c>
      <c r="T37" s="1045" t="str">
        <f>IF(Cdlac[[#This Row],[Quantity]]&gt;0,AND(Application!AK735&lt;&gt;"N/A",Application!AK735&lt;&gt;"")*Cdlac[[#This Row],[Quantity]],"")</f>
        <v/>
      </c>
      <c r="U37" s="1045" t="b">
        <f>AND('Subsidy Contract Calculation'!F21&gt;0,OR('Subsidy Contract Calculation'!C21="Federal",'Subsidy Contract Calculation'!C21="Local - Approved by ED"),Cdlac[[#This Row],[Quantity]]&gt;0)</f>
        <v>0</v>
      </c>
    </row>
    <row r="38" spans="1:21" ht="15" customHeight="1">
      <c r="E38" s="1086" t="s">
        <v>2262</v>
      </c>
      <c r="G38" s="1165"/>
      <c r="L38" s="1045" t="str">
        <f>IFERROR(MIN(4,MATCH(Application!B736,UnitSizes,0)-1),"")</f>
        <v/>
      </c>
      <c r="M38" s="1066">
        <f>Application!G736</f>
        <v>0</v>
      </c>
      <c r="N38" s="1072">
        <f>Application!AC736</f>
        <v>0</v>
      </c>
      <c r="O38" s="1072" t="str">
        <f>IF(Cdlac[[#This Row],[Quantity]]&gt;0,IF(Cdlac[[#This Row],[Federal]],30%,IF(AND(OR(NOT($G$38),$G$38=""),$G$43),40%,Cdlac[[#This Row],[iAMI]])),"")</f>
        <v/>
      </c>
      <c r="P38" s="1066" t="str" cm="1">
        <f t="array" ref="P38">IF(Cdlac[[#This Row],[Quantity]]&gt;0,INDEX(TcacRents,$P$18,Cdlac[[#This Row],[Bedrooms]]+1)*Cdlac[[#This Row],[AMI]],"")</f>
        <v/>
      </c>
      <c r="Q38" s="1166"/>
      <c r="R38" s="1066" t="str" cm="1">
        <f t="array" ref="R38">IF(Cdlac[[#This Row],[Quantity]]&gt;0,INDEX(HudFmrs,$P$18,Cdlac[[#This Row],[Bedrooms]]+1),"")</f>
        <v/>
      </c>
      <c r="S38" s="1066" t="str">
        <f>IF(Cdlac[[#This Row],[Quantity]]&gt;0,MAX(0,Cdlac[[#This Row],[Fair Market Rent]]-IF(AND($G$37,$G$38,$G$38&lt;&gt;"",NOT(Cdlac[[#This Row],[Federal]]),Cdlac[[#This Row],[Preservation Rent]]&lt;&gt;""),Cdlac[[#This Row],[Preservation Rent]],Cdlac[[#This Row],[Restricted Rent]])),"")</f>
        <v/>
      </c>
      <c r="T38" s="1045" t="str">
        <f>IF(Cdlac[[#This Row],[Quantity]]&gt;0,AND(Application!AK736&lt;&gt;"N/A",Application!AK736&lt;&gt;"")*Cdlac[[#This Row],[Quantity]],"")</f>
        <v/>
      </c>
      <c r="U38" s="1045" t="b">
        <f>AND('Subsidy Contract Calculation'!F22&gt;0,OR('Subsidy Contract Calculation'!C22="Federal",'Subsidy Contract Calculation'!C22="Local - Approved by ED"),Cdlac[[#This Row],[Quantity]]&gt;0)</f>
        <v>0</v>
      </c>
    </row>
    <row r="39" spans="1:21" ht="15" customHeight="1">
      <c r="C39" s="2627" t="str">
        <f>IF(AND(G37,G38,G38&lt;&gt;""),"Enter the average rent charged for each unit type over the last three years, as documented with rent rolls or property audits, in cells Q20:Q44","")</f>
        <v/>
      </c>
      <c r="D39" s="2627"/>
      <c r="E39" s="2627"/>
      <c r="F39" s="2627"/>
      <c r="G39" s="2627"/>
      <c r="H39" s="2627"/>
      <c r="L39" s="1045" t="str">
        <f>IFERROR(MIN(4,MATCH(Application!B737,UnitSizes,0)-1),"")</f>
        <v/>
      </c>
      <c r="M39" s="1066">
        <f>Application!G737</f>
        <v>0</v>
      </c>
      <c r="N39" s="1072">
        <f>Application!AC737</f>
        <v>0</v>
      </c>
      <c r="O39" s="1072" t="str">
        <f>IF(Cdlac[[#This Row],[Quantity]]&gt;0,IF(Cdlac[[#This Row],[Federal]],30%,IF(AND(OR(NOT($G$38),$G$38=""),$G$43),40%,Cdlac[[#This Row],[iAMI]])),"")</f>
        <v/>
      </c>
      <c r="P39" s="1066" t="str" cm="1">
        <f t="array" ref="P39">IF(Cdlac[[#This Row],[Quantity]]&gt;0,INDEX(TcacRents,$P$18,Cdlac[[#This Row],[Bedrooms]]+1)*Cdlac[[#This Row],[AMI]],"")</f>
        <v/>
      </c>
      <c r="Q39" s="1166"/>
      <c r="R39" s="1066" t="str" cm="1">
        <f t="array" ref="R39">IF(Cdlac[[#This Row],[Quantity]]&gt;0,INDEX(HudFmrs,$P$18,Cdlac[[#This Row],[Bedrooms]]+1),"")</f>
        <v/>
      </c>
      <c r="S39" s="1066" t="str">
        <f>IF(Cdlac[[#This Row],[Quantity]]&gt;0,MAX(0,Cdlac[[#This Row],[Fair Market Rent]]-IF(AND($G$37,$G$38,$G$38&lt;&gt;"",NOT(Cdlac[[#This Row],[Federal]]),Cdlac[[#This Row],[Preservation Rent]]&lt;&gt;""),Cdlac[[#This Row],[Preservation Rent]],Cdlac[[#This Row],[Restricted Rent]])),"")</f>
        <v/>
      </c>
      <c r="T39" s="1045" t="str">
        <f>IF(Cdlac[[#This Row],[Quantity]]&gt;0,AND(Application!AK737&lt;&gt;"N/A",Application!AK737&lt;&gt;"")*Cdlac[[#This Row],[Quantity]],"")</f>
        <v/>
      </c>
      <c r="U39" s="1045" t="b">
        <f>AND('Subsidy Contract Calculation'!F23&gt;0,OR('Subsidy Contract Calculation'!C23="Federal",'Subsidy Contract Calculation'!C23="Local - Approved by ED"),Cdlac[[#This Row],[Quantity]]&gt;0)</f>
        <v>0</v>
      </c>
    </row>
    <row r="40" spans="1:21" ht="15" customHeight="1">
      <c r="C40" s="2627"/>
      <c r="D40" s="2627"/>
      <c r="E40" s="2627"/>
      <c r="F40" s="2627"/>
      <c r="G40" s="2627"/>
      <c r="H40" s="2627"/>
      <c r="L40" s="1045" t="str">
        <f>IFERROR(MIN(4,MATCH(Application!B738,UnitSizes,0)-1),"")</f>
        <v/>
      </c>
      <c r="M40" s="1066">
        <f>Application!G738</f>
        <v>0</v>
      </c>
      <c r="N40" s="1072">
        <f>Application!AC738</f>
        <v>0</v>
      </c>
      <c r="O40" s="1072" t="str">
        <f>IF(Cdlac[[#This Row],[Quantity]]&gt;0,IF(Cdlac[[#This Row],[Federal]],30%,IF(AND(OR(NOT($G$38),$G$38=""),$G$43),40%,Cdlac[[#This Row],[iAMI]])),"")</f>
        <v/>
      </c>
      <c r="P40" s="1066" t="str" cm="1">
        <f t="array" ref="P40">IF(Cdlac[[#This Row],[Quantity]]&gt;0,INDEX(TcacRents,$P$18,Cdlac[[#This Row],[Bedrooms]]+1)*Cdlac[[#This Row],[AMI]],"")</f>
        <v/>
      </c>
      <c r="Q40" s="1166"/>
      <c r="R40" s="1066" t="str" cm="1">
        <f t="array" ref="R40">IF(Cdlac[[#This Row],[Quantity]]&gt;0,INDEX(HudFmrs,$P$18,Cdlac[[#This Row],[Bedrooms]]+1),"")</f>
        <v/>
      </c>
      <c r="S40" s="1066" t="str">
        <f>IF(Cdlac[[#This Row],[Quantity]]&gt;0,MAX(0,Cdlac[[#This Row],[Fair Market Rent]]-IF(AND($G$37,$G$38,$G$38&lt;&gt;"",NOT(Cdlac[[#This Row],[Federal]]),Cdlac[[#This Row],[Preservation Rent]]&lt;&gt;""),Cdlac[[#This Row],[Preservation Rent]],Cdlac[[#This Row],[Restricted Rent]])),"")</f>
        <v/>
      </c>
      <c r="T40" s="1045" t="str">
        <f>IF(Cdlac[[#This Row],[Quantity]]&gt;0,AND(Application!AK738&lt;&gt;"N/A",Application!AK738&lt;&gt;"")*Cdlac[[#This Row],[Quantity]],"")</f>
        <v/>
      </c>
      <c r="U40" s="1045" t="b">
        <f>AND('Subsidy Contract Calculation'!F24&gt;0,OR('Subsidy Contract Calculation'!C24="Federal",'Subsidy Contract Calculation'!C24="Local - Approved by ED"),Cdlac[[#This Row],[Quantity]]&gt;0)</f>
        <v>0</v>
      </c>
    </row>
    <row r="41" spans="1:21" ht="15" customHeight="1">
      <c r="C41" s="2627"/>
      <c r="D41" s="2627"/>
      <c r="E41" s="2627"/>
      <c r="F41" s="2627"/>
      <c r="G41" s="2627"/>
      <c r="H41" s="2627"/>
      <c r="L41" s="1045" t="str">
        <f>IFERROR(MIN(4,MATCH(Application!B739,UnitSizes,0)-1),"")</f>
        <v/>
      </c>
      <c r="M41" s="1066">
        <f>Application!G739</f>
        <v>0</v>
      </c>
      <c r="N41" s="1072">
        <f>Application!AC739</f>
        <v>0</v>
      </c>
      <c r="O41" s="1072" t="str">
        <f>IF(Cdlac[[#This Row],[Quantity]]&gt;0,IF(Cdlac[[#This Row],[Federal]],30%,IF(AND(OR(NOT($G$38),$G$38=""),$G$43),40%,Cdlac[[#This Row],[iAMI]])),"")</f>
        <v/>
      </c>
      <c r="P41" s="1066" t="str" cm="1">
        <f t="array" ref="P41">IF(Cdlac[[#This Row],[Quantity]]&gt;0,INDEX(TcacRents,$P$18,Cdlac[[#This Row],[Bedrooms]]+1)*Cdlac[[#This Row],[AMI]],"")</f>
        <v/>
      </c>
      <c r="Q41" s="1166"/>
      <c r="R41" s="1066" t="str" cm="1">
        <f t="array" ref="R41">IF(Cdlac[[#This Row],[Quantity]]&gt;0,INDEX(HudFmrs,$P$18,Cdlac[[#This Row],[Bedrooms]]+1),"")</f>
        <v/>
      </c>
      <c r="S41" s="1066" t="str">
        <f>IF(Cdlac[[#This Row],[Quantity]]&gt;0,MAX(0,Cdlac[[#This Row],[Fair Market Rent]]-IF(AND($G$37,$G$38,$G$38&lt;&gt;"",NOT(Cdlac[[#This Row],[Federal]]),Cdlac[[#This Row],[Preservation Rent]]&lt;&gt;""),Cdlac[[#This Row],[Preservation Rent]],Cdlac[[#This Row],[Restricted Rent]])),"")</f>
        <v/>
      </c>
      <c r="T41" s="1045" t="str">
        <f>IF(Cdlac[[#This Row],[Quantity]]&gt;0,AND(Application!AK739&lt;&gt;"N/A",Application!AK739&lt;&gt;"")*Cdlac[[#This Row],[Quantity]],"")</f>
        <v/>
      </c>
      <c r="U41" s="1045" t="b">
        <f>AND('Subsidy Contract Calculation'!F25&gt;0,OR('Subsidy Contract Calculation'!C25="Federal",'Subsidy Contract Calculation'!C25="Local - Approved by ED"),Cdlac[[#This Row],[Quantity]]&gt;0)</f>
        <v>0</v>
      </c>
    </row>
    <row r="42" spans="1:21" ht="15" customHeight="1">
      <c r="E42" s="1086" t="s">
        <v>2004</v>
      </c>
      <c r="G42" s="1122" cm="1">
        <f t="array" ref="G42">SUMPRODUCT(Cdlac[Quantity],Cdlac[iAMI],IF(Cdlac[Federal],0,1))/SUMIFS(Cdlac[Quantity],Cdlac[Federal],FALSE)</f>
        <v>0.58260869565217388</v>
      </c>
      <c r="L42" s="1045" t="str">
        <f>IFERROR(MIN(4,MATCH(Application!B740,UnitSizes,0)-1),"")</f>
        <v/>
      </c>
      <c r="M42" s="1066">
        <f>Application!G740</f>
        <v>0</v>
      </c>
      <c r="N42" s="1072">
        <f>Application!AC740</f>
        <v>0</v>
      </c>
      <c r="O42" s="1072" t="str">
        <f>IF(Cdlac[[#This Row],[Quantity]]&gt;0,IF(Cdlac[[#This Row],[Federal]],30%,IF(AND(OR(NOT($G$38),$G$38=""),$G$43),40%,Cdlac[[#This Row],[iAMI]])),"")</f>
        <v/>
      </c>
      <c r="P42" s="1066" t="str" cm="1">
        <f t="array" ref="P42">IF(Cdlac[[#This Row],[Quantity]]&gt;0,INDEX(TcacRents,$P$18,Cdlac[[#This Row],[Bedrooms]]+1)*Cdlac[[#This Row],[AMI]],"")</f>
        <v/>
      </c>
      <c r="Q42" s="1166"/>
      <c r="R42" s="1066" t="str" cm="1">
        <f t="array" ref="R42">IF(Cdlac[[#This Row],[Quantity]]&gt;0,INDEX(HudFmrs,$P$18,Cdlac[[#This Row],[Bedrooms]]+1),"")</f>
        <v/>
      </c>
      <c r="S42" s="1066" t="str">
        <f>IF(Cdlac[[#This Row],[Quantity]]&gt;0,MAX(0,Cdlac[[#This Row],[Fair Market Rent]]-IF(AND($G$37,$G$38,$G$38&lt;&gt;"",NOT(Cdlac[[#This Row],[Federal]]),Cdlac[[#This Row],[Preservation Rent]]&lt;&gt;""),Cdlac[[#This Row],[Preservation Rent]],Cdlac[[#This Row],[Restricted Rent]])),"")</f>
        <v/>
      </c>
      <c r="T42" s="1045" t="str">
        <f>IF(Cdlac[[#This Row],[Quantity]]&gt;0,AND(Application!AK740&lt;&gt;"N/A",Application!AK740&lt;&gt;"")*Cdlac[[#This Row],[Quantity]],"")</f>
        <v/>
      </c>
      <c r="U42" s="1045" t="b">
        <f>AND('Subsidy Contract Calculation'!F26&gt;0,OR('Subsidy Contract Calculation'!C26="Federal",'Subsidy Contract Calculation'!C26="Local - Approved by ED"),Cdlac[[#This Row],[Quantity]]&gt;0)</f>
        <v>0</v>
      </c>
    </row>
    <row r="43" spans="1:21" ht="15" customHeight="1">
      <c r="E43" s="1086" t="s">
        <v>1999</v>
      </c>
      <c r="G43" s="1082" t="b">
        <f>G42&lt;40%</f>
        <v>0</v>
      </c>
      <c r="L43" s="1045" t="str">
        <f>IFERROR(MIN(4,MATCH(Application!B741,UnitSizes,0)-1),"")</f>
        <v/>
      </c>
      <c r="M43" s="1066">
        <f>Application!G741</f>
        <v>0</v>
      </c>
      <c r="N43" s="1072">
        <f>Application!AC741</f>
        <v>0</v>
      </c>
      <c r="O43" s="1072" t="str">
        <f>IF(Cdlac[[#This Row],[Quantity]]&gt;0,IF(Cdlac[[#This Row],[Federal]],30%,IF(AND(OR(NOT($G$38),$G$38=""),$G$43),40%,Cdlac[[#This Row],[iAMI]])),"")</f>
        <v/>
      </c>
      <c r="P43" s="1066" t="str" cm="1">
        <f t="array" ref="P43">IF(Cdlac[[#This Row],[Quantity]]&gt;0,INDEX(TcacRents,$P$18,Cdlac[[#This Row],[Bedrooms]]+1)*Cdlac[[#This Row],[AMI]],"")</f>
        <v/>
      </c>
      <c r="Q43" s="1166"/>
      <c r="R43" s="1066" t="str" cm="1">
        <f t="array" ref="R43">IF(Cdlac[[#This Row],[Quantity]]&gt;0,INDEX(HudFmrs,$P$18,Cdlac[[#This Row],[Bedrooms]]+1),"")</f>
        <v/>
      </c>
      <c r="S43" s="1066" t="str">
        <f>IF(Cdlac[[#This Row],[Quantity]]&gt;0,MAX(0,Cdlac[[#This Row],[Fair Market Rent]]-IF(AND($G$37,$G$38,$G$38&lt;&gt;"",NOT(Cdlac[[#This Row],[Federal]]),Cdlac[[#This Row],[Preservation Rent]]&lt;&gt;""),Cdlac[[#This Row],[Preservation Rent]],Cdlac[[#This Row],[Restricted Rent]])),"")</f>
        <v/>
      </c>
      <c r="T43" s="1045" t="str">
        <f>IF(Cdlac[[#This Row],[Quantity]]&gt;0,AND(Application!AK741&lt;&gt;"N/A",Application!AK741&lt;&gt;"")*Cdlac[[#This Row],[Quantity]],"")</f>
        <v/>
      </c>
      <c r="U43" s="1045" t="b">
        <f>AND('Subsidy Contract Calculation'!F27&gt;0,OR('Subsidy Contract Calculation'!C27="Federal",'Subsidy Contract Calculation'!C27="Local - Approved by ED"),Cdlac[[#This Row],[Quantity]]&gt;0)</f>
        <v>0</v>
      </c>
    </row>
    <row r="44" spans="1:21" ht="15" customHeight="1">
      <c r="L44" s="1045" t="str">
        <f>IFERROR(MIN(4,MATCH(Application!B752,UnitSizes,0)-1),"")</f>
        <v/>
      </c>
      <c r="M44" s="1066">
        <f>Application!G752</f>
        <v>0</v>
      </c>
      <c r="N44" s="1072">
        <f>Application!AC752</f>
        <v>0</v>
      </c>
      <c r="O44" s="1083" t="str">
        <f>IF(Cdlac[[#This Row],[Quantity]]&gt;0,IF(Cdlac[[#This Row],[Federal]],30%,IF(AND(OR(NOT($G$38),$G$38=""),$G$43),40%,Cdlac[[#This Row],[iAMI]])),"")</f>
        <v/>
      </c>
      <c r="P44" s="1066" t="str" cm="1">
        <f t="array" ref="P44">IF(Cdlac[[#This Row],[Quantity]]&gt;0,INDEX(TcacRents,$P$18,Cdlac[[#This Row],[Bedrooms]]+1)*Cdlac[[#This Row],[AMI]],"")</f>
        <v/>
      </c>
      <c r="Q44" s="1166"/>
      <c r="R44" s="1066" t="str" cm="1">
        <f t="array" ref="R44">IF(Cdlac[[#This Row],[Quantity]]&gt;0,INDEX(HudFmrs,$P$18,Cdlac[[#This Row],[Bedrooms]]+1),"")</f>
        <v/>
      </c>
      <c r="S44" s="1066" t="str">
        <f>IF(Cdlac[[#This Row],[Quantity]]&gt;0,MAX(0,Cdlac[[#This Row],[Fair Market Rent]]-IF(AND($G$37,$G$38,$G$38&lt;&gt;"",NOT(Cdlac[[#This Row],[Federal]]),Cdlac[[#This Row],[Preservation Rent]]&lt;&gt;""),Cdlac[[#This Row],[Preservation Rent]],Cdlac[[#This Row],[Restricted Rent]])),"")</f>
        <v/>
      </c>
      <c r="T44" s="1045" t="str">
        <f>IF(Cdlac[[#This Row],[Quantity]]&gt;0,AND(Application!AK752&lt;&gt;"N/A",Application!AK752&lt;&gt;"")*Cdlac[[#This Row],[Quantity]],"")</f>
        <v/>
      </c>
      <c r="U44" s="1045" t="b">
        <f>AND('Subsidy Contract Calculation'!F28&gt;0,OR('Subsidy Contract Calculation'!C28="Federal",'Subsidy Contract Calculation'!C28="Local - Approved by ED"),Cdlac[[#This Row],[Quantity]]&gt;0)</f>
        <v>0</v>
      </c>
    </row>
    <row r="45" spans="1:21" ht="15" customHeight="1">
      <c r="E45" s="1086" t="s">
        <v>1948</v>
      </c>
      <c r="G45" s="1079">
        <f>IFERROR(SUMPRODUCT(Cdlac[Quantity],Cdlac[Delta]),0)</f>
        <v>116831</v>
      </c>
    </row>
    <row r="46" spans="1:21" ht="15" customHeight="1">
      <c r="E46" s="1119" t="s">
        <v>2005</v>
      </c>
      <c r="F46" s="1115" t="s">
        <v>1993</v>
      </c>
      <c r="G46" s="1123">
        <f>12*15</f>
        <v>180</v>
      </c>
    </row>
    <row r="47" spans="1:21" ht="15" customHeight="1">
      <c r="E47" s="1124" t="s">
        <v>1943</v>
      </c>
      <c r="F47" s="1047"/>
      <c r="G47" s="1125">
        <f>G45*G46</f>
        <v>21029580</v>
      </c>
    </row>
    <row r="48" spans="1:21" ht="15" customHeight="1"/>
    <row r="49" spans="2:9" ht="15" customHeight="1">
      <c r="B49" s="1067" t="str">
        <f>B11&amp;": "&amp;B12</f>
        <v>C. Population Benefit: (1) Special Needs Population Benefit</v>
      </c>
      <c r="C49" s="1068"/>
      <c r="D49" s="1068"/>
      <c r="E49" s="1068"/>
      <c r="F49" s="1068"/>
      <c r="G49" s="1068"/>
      <c r="H49" s="1068"/>
      <c r="I49" s="1069"/>
    </row>
    <row r="50" spans="2:9" ht="15" customHeight="1"/>
    <row r="51" spans="2:9" ht="15" customHeight="1">
      <c r="E51" s="1119" t="s">
        <v>1994</v>
      </c>
      <c r="G51" s="1116">
        <f>T18</f>
        <v>0</v>
      </c>
    </row>
    <row r="52" spans="2:9" ht="15" customHeight="1">
      <c r="E52" s="1119" t="s">
        <v>1995</v>
      </c>
      <c r="G52" s="1116">
        <f>ROUNDDOWN(E29*50%,0)</f>
        <v>115</v>
      </c>
    </row>
    <row r="53" spans="2:9" ht="15" customHeight="1">
      <c r="E53" s="1119"/>
      <c r="G53" s="1127"/>
    </row>
    <row r="54" spans="2:9" ht="15" customHeight="1">
      <c r="E54" s="1119" t="s">
        <v>1954</v>
      </c>
      <c r="G54" s="1116">
        <f>MIN(G51:G52)</f>
        <v>0</v>
      </c>
    </row>
    <row r="55" spans="2:9" ht="15" customHeight="1">
      <c r="E55" s="1119" t="s">
        <v>1944</v>
      </c>
      <c r="F55" s="1115" t="s">
        <v>1993</v>
      </c>
      <c r="G55" s="1126">
        <v>10000</v>
      </c>
    </row>
    <row r="56" spans="2:9" ht="15" customHeight="1">
      <c r="E56" s="1120" t="s">
        <v>1977</v>
      </c>
      <c r="F56" s="1047"/>
      <c r="G56" s="1125">
        <f>G54*G55</f>
        <v>0</v>
      </c>
    </row>
    <row r="57" spans="2:9" ht="15" customHeight="1"/>
    <row r="58" spans="2:9" ht="15" customHeight="1">
      <c r="B58" s="1067" t="str">
        <f>B11&amp;": "&amp;B13</f>
        <v>C. Population Benefit: (2) Extremely Low Income Benefit</v>
      </c>
      <c r="C58" s="1068"/>
      <c r="D58" s="1068"/>
      <c r="E58" s="1068"/>
      <c r="F58" s="1068"/>
      <c r="G58" s="1068"/>
      <c r="H58" s="1068"/>
      <c r="I58" s="1069"/>
    </row>
    <row r="59" spans="2:9" ht="15" customHeight="1"/>
    <row r="60" spans="2:9" ht="15" customHeight="1">
      <c r="E60" s="1119" t="s">
        <v>1996</v>
      </c>
      <c r="G60" s="1080">
        <f>SUMIFS(Cdlac[Quantity],Cdlac[iAMI],"&lt;=30%")</f>
        <v>24</v>
      </c>
    </row>
    <row r="61" spans="2:9" ht="15" customHeight="1">
      <c r="E61" s="1119" t="s">
        <v>1995</v>
      </c>
      <c r="G61" s="1080">
        <f>ROUNDDOWN(E29*50%,0)</f>
        <v>115</v>
      </c>
    </row>
    <row r="62" spans="2:9" ht="15" customHeight="1">
      <c r="E62" s="1119"/>
      <c r="G62" s="1080"/>
    </row>
    <row r="63" spans="2:9" ht="15" customHeight="1">
      <c r="E63" s="1119" t="s">
        <v>1954</v>
      </c>
      <c r="G63" s="1116">
        <f>MIN(G60:G61)</f>
        <v>24</v>
      </c>
    </row>
    <row r="64" spans="2:9" ht="15" customHeight="1">
      <c r="E64" s="1119" t="s">
        <v>1944</v>
      </c>
      <c r="F64" s="1115" t="s">
        <v>1993</v>
      </c>
      <c r="G64" s="1126">
        <v>20000</v>
      </c>
    </row>
    <row r="65" spans="2:14" ht="15" customHeight="1">
      <c r="E65" s="1120" t="s">
        <v>1976</v>
      </c>
      <c r="F65" s="1047"/>
      <c r="G65" s="1125">
        <f>G63*G64</f>
        <v>480000</v>
      </c>
    </row>
    <row r="66" spans="2:14" ht="15" customHeight="1"/>
    <row r="67" spans="2:14" ht="15" customHeight="1">
      <c r="B67" s="1067" t="str">
        <f>B14&amp;": "&amp;B15</f>
        <v>D. Location Benefit: (1) Resource Area Benefit</v>
      </c>
      <c r="C67" s="1068"/>
      <c r="D67" s="1068"/>
      <c r="E67" s="1068"/>
      <c r="F67" s="1068"/>
      <c r="G67" s="1068"/>
      <c r="H67" s="1068"/>
      <c r="I67" s="1069"/>
    </row>
    <row r="68" spans="2:14" ht="15" customHeight="1"/>
    <row r="69" spans="2:14" ht="15" customHeight="1">
      <c r="C69" s="1078" t="s">
        <v>1980</v>
      </c>
      <c r="G69" s="1044" t="s">
        <v>545</v>
      </c>
    </row>
    <row r="70" spans="2:14" ht="15" customHeight="1">
      <c r="C70" s="1078" t="s">
        <v>1981</v>
      </c>
      <c r="G70" s="1082" t="str">
        <f>IF(Application!D211="Large Family","Yes","No")</f>
        <v>No</v>
      </c>
    </row>
    <row r="71" spans="2:14" ht="15" customHeight="1" thickBot="1">
      <c r="C71" s="1078" t="s">
        <v>1967</v>
      </c>
      <c r="G71" s="1044" t="s">
        <v>669</v>
      </c>
    </row>
    <row r="72" spans="2:14" ht="15" customHeight="1">
      <c r="C72" s="1078" t="s">
        <v>1968</v>
      </c>
      <c r="G72" s="1045" t="str">
        <f>Application!T193</f>
        <v>Low Resource</v>
      </c>
      <c r="L72" s="2594" t="s">
        <v>1969</v>
      </c>
      <c r="M72" s="2595"/>
      <c r="N72" s="1133">
        <v>30000</v>
      </c>
    </row>
    <row r="73" spans="2:14" ht="15" customHeight="1">
      <c r="C73" s="2596" t="s">
        <v>2264</v>
      </c>
      <c r="D73" s="2596"/>
      <c r="E73" s="2596"/>
      <c r="F73" s="2596"/>
      <c r="G73" s="1044" t="s">
        <v>545</v>
      </c>
      <c r="L73" s="2611" t="s">
        <v>1937</v>
      </c>
      <c r="M73" s="2612"/>
      <c r="N73" s="1134">
        <v>20000</v>
      </c>
    </row>
    <row r="74" spans="2:14" ht="15" customHeight="1" thickBot="1">
      <c r="C74" s="2596"/>
      <c r="D74" s="2596"/>
      <c r="E74" s="2596"/>
      <c r="F74" s="2596"/>
      <c r="L74" s="2586" t="s">
        <v>1970</v>
      </c>
      <c r="M74" s="2587"/>
      <c r="N74" s="1135">
        <v>10000</v>
      </c>
    </row>
    <row r="75" spans="2:14" ht="15" customHeight="1">
      <c r="C75" s="1078"/>
    </row>
    <row r="76" spans="2:14" ht="15" customHeight="1">
      <c r="E76" s="1086" t="s">
        <v>2000</v>
      </c>
      <c r="G76" s="1080" t="b">
        <f>OR(AND(COUNTIFS(G70:G71,"Yes")&gt;=1,G69="Yes"),G73="Yes")</f>
        <v>1</v>
      </c>
    </row>
    <row r="77" spans="2:14" ht="15" customHeight="1">
      <c r="E77" s="1086"/>
      <c r="G77" s="1080"/>
    </row>
    <row r="78" spans="2:14" ht="15" customHeight="1">
      <c r="E78" s="1086" t="s">
        <v>1944</v>
      </c>
      <c r="G78" s="1079">
        <f>IFERROR(IF($G$73="Yes",30000,INDEX(N72:N74,MATCH(LEFT(G72,17),L72:L74,0))),0)</f>
        <v>30000</v>
      </c>
    </row>
    <row r="79" spans="2:14" ht="15" customHeight="1">
      <c r="E79" s="1086" t="str">
        <f>E96</f>
        <v>Bedroom-Adjusted Low-Income Units</v>
      </c>
      <c r="F79" s="1115" t="s">
        <v>1993</v>
      </c>
      <c r="G79" s="1116">
        <f>G29</f>
        <v>243.15</v>
      </c>
    </row>
    <row r="80" spans="2:14" ht="15" customHeight="1">
      <c r="D80" s="1047"/>
      <c r="E80" s="1120" t="s">
        <v>2269</v>
      </c>
      <c r="F80" s="1047"/>
      <c r="G80" s="1125">
        <f>G79*G78*G76</f>
        <v>7294500</v>
      </c>
    </row>
    <row r="81" spans="2:9" ht="15" customHeight="1"/>
    <row r="82" spans="2:9" ht="15" customHeight="1">
      <c r="B82" s="1067" t="str">
        <f>B14&amp;": "&amp;B16</f>
        <v>D. Location Benefit: (2) Community Revitalization Benefit</v>
      </c>
      <c r="C82" s="1068"/>
      <c r="D82" s="1068"/>
      <c r="E82" s="1068"/>
      <c r="F82" s="1068"/>
      <c r="G82" s="1068"/>
      <c r="H82" s="1068"/>
      <c r="I82" s="1069"/>
    </row>
    <row r="83" spans="2:9" ht="15" customHeight="1"/>
    <row r="84" spans="2:9" ht="15" customHeight="1">
      <c r="F84" s="1118" t="s">
        <v>1975</v>
      </c>
      <c r="G84" s="1044" t="s">
        <v>669</v>
      </c>
    </row>
    <row r="85" spans="2:9" ht="15" customHeight="1">
      <c r="F85" s="1118"/>
    </row>
    <row r="86" spans="2:9" ht="15" customHeight="1">
      <c r="E86" s="1086" t="s">
        <v>2000</v>
      </c>
      <c r="G86" s="1080" t="b">
        <f>G84="Yes"</f>
        <v>0</v>
      </c>
    </row>
    <row r="87" spans="2:9" ht="15" customHeight="1"/>
    <row r="88" spans="2:9" ht="15" customHeight="1">
      <c r="E88" s="1086" t="str">
        <f>E96</f>
        <v>Bedroom-Adjusted Low-Income Units</v>
      </c>
      <c r="G88" s="1116">
        <f>G29</f>
        <v>243.15</v>
      </c>
    </row>
    <row r="89" spans="2:9" ht="15" customHeight="1">
      <c r="E89" s="1086" t="s">
        <v>1944</v>
      </c>
      <c r="F89" s="1115" t="s">
        <v>1993</v>
      </c>
      <c r="G89" s="1051">
        <v>20000</v>
      </c>
    </row>
    <row r="90" spans="2:9" ht="15" customHeight="1">
      <c r="E90" s="1120" t="s">
        <v>2273</v>
      </c>
      <c r="F90" s="1047"/>
      <c r="G90" s="1125">
        <f>G86*G89*G88</f>
        <v>0</v>
      </c>
    </row>
    <row r="91" spans="2:9" ht="15" customHeight="1"/>
    <row r="92" spans="2:9" ht="15" customHeight="1">
      <c r="B92" s="1067" t="str">
        <f>B14&amp;": "&amp;B17</f>
        <v>D. Location Benefit: (3) Transit/Walkability Benefit</v>
      </c>
      <c r="C92" s="1068"/>
      <c r="D92" s="1068"/>
      <c r="E92" s="1068"/>
      <c r="F92" s="1068"/>
      <c r="G92" s="1068"/>
      <c r="H92" s="1068"/>
      <c r="I92" s="1069"/>
    </row>
    <row r="93" spans="2:9" ht="15" customHeight="1"/>
    <row r="94" spans="2:9" ht="15" customHeight="1">
      <c r="E94" s="1086" t="s">
        <v>1955</v>
      </c>
      <c r="G94" s="1116">
        <f>VLOOKUP('Points System'!$H$606,'Points System'!$AO$586:$AP$591,2,FALSE)</f>
        <v>7</v>
      </c>
    </row>
    <row r="95" spans="2:9" ht="15" customHeight="1">
      <c r="E95" s="1086" t="s">
        <v>1944</v>
      </c>
      <c r="F95" s="1115" t="s">
        <v>1993</v>
      </c>
      <c r="G95" s="1077">
        <v>4000</v>
      </c>
    </row>
    <row r="96" spans="2:9" ht="15" customHeight="1" thickBot="1">
      <c r="E96" s="1086" t="s">
        <v>1997</v>
      </c>
      <c r="F96" s="1115" t="s">
        <v>1993</v>
      </c>
      <c r="G96" s="1128">
        <f>G29</f>
        <v>243.15</v>
      </c>
    </row>
    <row r="97" spans="2:14" ht="15" customHeight="1">
      <c r="E97" s="1120" t="s">
        <v>1961</v>
      </c>
      <c r="F97" s="1047"/>
      <c r="G97" s="1125">
        <f>G94*G95*G96</f>
        <v>6808200</v>
      </c>
      <c r="L97" s="1129" t="str">
        <f>'Points System'!H638</f>
        <v>(i)</v>
      </c>
      <c r="M97" s="2592" t="s">
        <v>1404</v>
      </c>
      <c r="N97" s="2593"/>
    </row>
    <row r="98" spans="2:14" ht="15" customHeight="1">
      <c r="C98" s="1078"/>
      <c r="G98" s="1116"/>
      <c r="L98" s="1130" t="str">
        <f>'Points System'!H650</f>
        <v>(i)</v>
      </c>
      <c r="M98" s="2588" t="s">
        <v>1956</v>
      </c>
      <c r="N98" s="2589"/>
    </row>
    <row r="99" spans="2:14" ht="15" customHeight="1">
      <c r="E99" s="1086" t="s">
        <v>1998</v>
      </c>
      <c r="G99" s="1128">
        <f>COUNTIFS(L97:L104,"(i)")</f>
        <v>4</v>
      </c>
      <c r="L99" s="1130" t="str">
        <f>'Points System'!H685</f>
        <v>(i)</v>
      </c>
      <c r="M99" s="2588" t="s">
        <v>1957</v>
      </c>
      <c r="N99" s="2589"/>
    </row>
    <row r="100" spans="2:14" ht="15" customHeight="1">
      <c r="E100" s="1086" t="s">
        <v>1944</v>
      </c>
      <c r="F100" s="1115" t="s">
        <v>1993</v>
      </c>
      <c r="G100" s="1126">
        <v>4000</v>
      </c>
      <c r="L100" s="1130" t="str">
        <f>IF(OR('Points System'!H709="(ii)",'Points System'!H709="(i)"),"(i)","N/A")</f>
        <v>N/A</v>
      </c>
      <c r="M100" s="2588" t="s">
        <v>1958</v>
      </c>
      <c r="N100" s="2589"/>
    </row>
    <row r="101" spans="2:14" ht="15" customHeight="1">
      <c r="E101" s="1120" t="s">
        <v>1962</v>
      </c>
      <c r="F101" s="1047"/>
      <c r="G101" s="1125">
        <f>G96*G99*G100</f>
        <v>3890400</v>
      </c>
      <c r="L101" s="1131" t="str">
        <f>'Points System'!H723</f>
        <v>N/A</v>
      </c>
      <c r="M101" s="2588" t="s">
        <v>1430</v>
      </c>
      <c r="N101" s="2589"/>
    </row>
    <row r="102" spans="2:14" ht="15" customHeight="1">
      <c r="L102" s="1130" t="str">
        <f>'Points System'!H735</f>
        <v>N/A</v>
      </c>
      <c r="M102" s="2588" t="s">
        <v>1959</v>
      </c>
      <c r="N102" s="2589"/>
    </row>
    <row r="103" spans="2:14" ht="15" customHeight="1">
      <c r="C103" s="1081" t="s">
        <v>1964</v>
      </c>
      <c r="L103" s="1130" t="str">
        <f>'Points System'!H751</f>
        <v>N/A</v>
      </c>
      <c r="M103" s="2588" t="s">
        <v>1960</v>
      </c>
      <c r="N103" s="2589"/>
    </row>
    <row r="104" spans="2:14" ht="15" customHeight="1" thickBot="1">
      <c r="C104" s="1078" t="s">
        <v>1965</v>
      </c>
      <c r="G104" s="1044"/>
      <c r="L104" s="1132" t="str">
        <f>'Points System'!H763</f>
        <v>(i)</v>
      </c>
      <c r="M104" s="2590" t="s">
        <v>1433</v>
      </c>
      <c r="N104" s="2591"/>
    </row>
    <row r="105" spans="2:14" ht="15" customHeight="1">
      <c r="C105" s="1078" t="s">
        <v>1966</v>
      </c>
      <c r="G105" s="1044"/>
    </row>
    <row r="106" spans="2:14" ht="15" customHeight="1">
      <c r="C106" s="1078" t="s">
        <v>2140</v>
      </c>
      <c r="G106" s="1044" t="s">
        <v>545</v>
      </c>
    </row>
    <row r="107" spans="2:14" ht="15" customHeight="1">
      <c r="C107" s="1078" t="s">
        <v>2141</v>
      </c>
      <c r="G107" s="1044" t="s">
        <v>545</v>
      </c>
    </row>
    <row r="108" spans="2:14" ht="15" customHeight="1"/>
    <row r="109" spans="2:14" ht="15" customHeight="1">
      <c r="B109" s="1079"/>
      <c r="C109" s="1078"/>
      <c r="E109" s="1086" t="s">
        <v>2000</v>
      </c>
      <c r="G109" s="1080" t="b">
        <f>COUNTIFS(G104:G107,"Yes")&gt;=1</f>
        <v>1</v>
      </c>
    </row>
    <row r="110" spans="2:14" ht="15" customHeight="1">
      <c r="E110" s="1078"/>
    </row>
    <row r="111" spans="2:14" ht="15" customHeight="1">
      <c r="E111" s="1086" t="s">
        <v>1997</v>
      </c>
      <c r="F111" s="1115" t="s">
        <v>1993</v>
      </c>
      <c r="G111" s="1116">
        <f>G29</f>
        <v>243.15</v>
      </c>
    </row>
    <row r="112" spans="2:14" ht="15" customHeight="1">
      <c r="E112" s="1086" t="s">
        <v>1944</v>
      </c>
      <c r="F112" s="1115" t="s">
        <v>1993</v>
      </c>
      <c r="G112" s="1126">
        <v>25000</v>
      </c>
    </row>
    <row r="113" spans="2:9" ht="15" customHeight="1">
      <c r="E113" s="1120" t="s">
        <v>1963</v>
      </c>
      <c r="F113" s="1047"/>
      <c r="G113" s="1125">
        <f>G109*G112*G96</f>
        <v>6078750</v>
      </c>
    </row>
    <row r="114" spans="2:9" ht="15" customHeight="1">
      <c r="C114" s="1078"/>
      <c r="E114" s="1078"/>
    </row>
    <row r="115" spans="2:9" ht="15" customHeight="1">
      <c r="E115" s="1120" t="s">
        <v>2274</v>
      </c>
      <c r="G115" s="1125">
        <f>G113+G101+G97</f>
        <v>16777350</v>
      </c>
    </row>
    <row r="116" spans="2:9" ht="15" customHeight="1"/>
    <row r="117" spans="2:9" ht="15" customHeight="1">
      <c r="B117" s="1067" t="s">
        <v>139</v>
      </c>
      <c r="C117" s="1068"/>
      <c r="D117" s="1068"/>
      <c r="E117" s="1068"/>
      <c r="F117" s="1068"/>
      <c r="G117" s="1068"/>
      <c r="H117" s="1068"/>
      <c r="I117" s="1069"/>
    </row>
    <row r="118" spans="2:9" ht="15" customHeight="1"/>
    <row r="119" spans="2:9" ht="15" customHeight="1">
      <c r="C119" s="2626" t="s">
        <v>2229</v>
      </c>
      <c r="D119" s="2626"/>
      <c r="E119" s="2626"/>
      <c r="F119" s="2626"/>
    </row>
    <row r="120" spans="2:9" ht="15" customHeight="1">
      <c r="C120" s="2626"/>
      <c r="D120" s="2626"/>
      <c r="E120" s="2626"/>
      <c r="F120" s="2626"/>
      <c r="G120" s="1044"/>
    </row>
    <row r="121" spans="2:9" ht="15" customHeight="1"/>
    <row r="122" spans="2:9" ht="15" customHeight="1">
      <c r="C122" s="1045" t="s">
        <v>2231</v>
      </c>
      <c r="G122" s="2628"/>
      <c r="H122" s="2628"/>
    </row>
    <row r="123" spans="2:9" ht="15" customHeight="1">
      <c r="G123" s="2628"/>
      <c r="H123" s="2628"/>
    </row>
    <row r="124" spans="2:9" ht="15" customHeight="1">
      <c r="G124" s="2629"/>
      <c r="H124" s="2629"/>
    </row>
    <row r="125" spans="2:9" ht="15" customHeight="1">
      <c r="G125" s="1162"/>
      <c r="H125" s="1162"/>
    </row>
    <row r="126" spans="2:9" ht="15" customHeight="1">
      <c r="B126" s="1067" t="s">
        <v>2002</v>
      </c>
      <c r="C126" s="1068"/>
      <c r="D126" s="1068"/>
      <c r="E126" s="1068"/>
      <c r="F126" s="1068"/>
      <c r="G126" s="1068"/>
      <c r="H126" s="1068"/>
      <c r="I126" s="1069"/>
    </row>
    <row r="128" spans="2:9">
      <c r="E128" s="1086" t="s">
        <v>582</v>
      </c>
      <c r="G128" s="1045" t="str">
        <f>IF(Application!T189="","",Application!T189)</f>
        <v>Los Angeles</v>
      </c>
    </row>
    <row r="129" spans="2:9">
      <c r="E129" s="1086"/>
      <c r="G129" s="1079"/>
    </row>
    <row r="130" spans="2:9">
      <c r="E130" s="1086" t="str">
        <f>"2-Bedroom "&amp;G128&amp;" County Basis Limit"</f>
        <v>2-Bedroom Los Angeles County Basis Limit</v>
      </c>
      <c r="G130" s="1079">
        <f>Application!R988</f>
        <v>608800</v>
      </c>
    </row>
    <row r="131" spans="2:9">
      <c r="E131" s="1086" t="s">
        <v>2001</v>
      </c>
      <c r="G131" s="1079">
        <f>MEDIAN((Application!CU160:CU217))</f>
        <v>489600</v>
      </c>
    </row>
    <row r="132" spans="2:9" ht="15">
      <c r="D132" s="1047"/>
      <c r="E132" s="1120" t="s">
        <v>2003</v>
      </c>
      <c r="F132" s="1136"/>
      <c r="G132" s="1137">
        <f>((G130-G131)/G131)*0.25</f>
        <v>6.0866013071895424E-2</v>
      </c>
      <c r="H132" s="1043"/>
      <c r="I132" s="1043"/>
    </row>
    <row r="133" spans="2:9">
      <c r="D133" s="1046"/>
      <c r="E133" s="1046"/>
    </row>
    <row r="134" spans="2:9" ht="15">
      <c r="B134" s="1067" t="s">
        <v>2275</v>
      </c>
      <c r="C134" s="1068"/>
      <c r="D134" s="1068"/>
      <c r="E134" s="1068"/>
      <c r="F134" s="1068"/>
      <c r="G134" s="1068"/>
      <c r="H134" s="1068"/>
      <c r="I134" s="1069"/>
    </row>
    <row r="136" spans="2:9">
      <c r="E136" s="1086" t="s">
        <v>2261</v>
      </c>
      <c r="G136" s="1045" t="b">
        <f>G37</f>
        <v>0</v>
      </c>
    </row>
    <row r="137" spans="2:9">
      <c r="E137" s="1086" t="s">
        <v>2276</v>
      </c>
      <c r="G137" s="1045" t="b">
        <f>OR('Points System'!B52="Yes", 'Points System'!B56="Yes",'Points System'!B58="Yes")</f>
        <v>0</v>
      </c>
    </row>
    <row r="138" spans="2:9">
      <c r="C138" s="2623" t="s">
        <v>2277</v>
      </c>
      <c r="D138" s="2623"/>
      <c r="E138" s="2623"/>
      <c r="F138" s="2623"/>
    </row>
    <row r="139" spans="2:9">
      <c r="B139" s="1046"/>
      <c r="C139" s="2623"/>
      <c r="D139" s="2623"/>
      <c r="E139" s="2623"/>
      <c r="F139" s="2623"/>
      <c r="G139" s="1044"/>
    </row>
    <row r="140" spans="2:9">
      <c r="B140" s="1046"/>
      <c r="C140" s="1046"/>
      <c r="D140" s="1046"/>
      <c r="E140" s="1046"/>
      <c r="F140" s="1046"/>
    </row>
    <row r="141" spans="2:9" ht="14.25" customHeight="1">
      <c r="E141" s="1086" t="s">
        <v>2279</v>
      </c>
      <c r="G141" s="1170"/>
    </row>
    <row r="143" spans="2:9">
      <c r="E143" s="1086" t="s">
        <v>2281</v>
      </c>
      <c r="G143" s="1169">
        <f>IF(I9=0,0,G141/I9)</f>
        <v>0</v>
      </c>
    </row>
    <row r="144" spans="2:9">
      <c r="E144" s="1086" t="s">
        <v>2278</v>
      </c>
      <c r="G144" s="1079">
        <f>I9*0.15</f>
        <v>6300000</v>
      </c>
    </row>
  </sheetData>
  <sheetProtection algorithmName="SHA-512" hashValue="I+nrj/7kK6eAcHi0p2d9HL9Um7OA6fOLR3Erps1kewnIMq9I3u4QYgy14YyOOawcztj+o/kK+CwHJ17iTz4q9Q==" saltValue="xRnT0rC9g+hODjGQUm7CUw==" spinCount="100000" sheet="1" objects="1" scenarios="1"/>
  <mergeCells count="42">
    <mergeCell ref="B16:D16"/>
    <mergeCell ref="B17:D17"/>
    <mergeCell ref="G13:I13"/>
    <mergeCell ref="C138:F139"/>
    <mergeCell ref="C22:C23"/>
    <mergeCell ref="D22:D23"/>
    <mergeCell ref="F22:F23"/>
    <mergeCell ref="E22:E23"/>
    <mergeCell ref="C29:D29"/>
    <mergeCell ref="C119:F120"/>
    <mergeCell ref="C39:H41"/>
    <mergeCell ref="G122:H124"/>
    <mergeCell ref="G11:H11"/>
    <mergeCell ref="G14:H14"/>
    <mergeCell ref="B11:D11"/>
    <mergeCell ref="B14:D14"/>
    <mergeCell ref="B15:D15"/>
    <mergeCell ref="L72:M72"/>
    <mergeCell ref="C73:F74"/>
    <mergeCell ref="A1:J1"/>
    <mergeCell ref="B9:D9"/>
    <mergeCell ref="B10:D10"/>
    <mergeCell ref="B12:D12"/>
    <mergeCell ref="B13:D13"/>
    <mergeCell ref="B8:E8"/>
    <mergeCell ref="G8:I8"/>
    <mergeCell ref="G16:H16"/>
    <mergeCell ref="G22:G23"/>
    <mergeCell ref="G17:H17"/>
    <mergeCell ref="B18:D18"/>
    <mergeCell ref="G9:H9"/>
    <mergeCell ref="G10:H10"/>
    <mergeCell ref="L73:M73"/>
    <mergeCell ref="L74:M74"/>
    <mergeCell ref="M101:N101"/>
    <mergeCell ref="M102:N102"/>
    <mergeCell ref="M103:N103"/>
    <mergeCell ref="M104:N104"/>
    <mergeCell ref="M97:N97"/>
    <mergeCell ref="M98:N98"/>
    <mergeCell ref="M99:N99"/>
    <mergeCell ref="M100:N100"/>
  </mergeCells>
  <phoneticPr fontId="25" type="noConversion"/>
  <conditionalFormatting sqref="G38">
    <cfRule type="expression" dxfId="8" priority="1">
      <formula>NOT($G$37)</formula>
    </cfRule>
  </conditionalFormatting>
  <conditionalFormatting sqref="L20:U44">
    <cfRule type="expression" dxfId="7" priority="4">
      <formula>$M20=0</formula>
    </cfRule>
  </conditionalFormatting>
  <conditionalFormatting sqref="Q20:Q44">
    <cfRule type="expression" dxfId="6" priority="2">
      <formula>NOT($G$37)</formula>
    </cfRule>
    <cfRule type="expression" dxfId="5" priority="3">
      <formula>AND($G$37,$G$38,$G$38&lt;&gt;"")</formula>
    </cfRule>
  </conditionalFormatting>
  <conditionalFormatting sqref="U20:U44">
    <cfRule type="cellIs" dxfId="4" priority="5" operator="equal">
      <formula>FALSE</formula>
    </cfRule>
  </conditionalFormatting>
  <dataValidations count="3">
    <dataValidation type="list" allowBlank="1" showInputMessage="1" showErrorMessage="1" sqref="G104:G107 G120 G139" xr:uid="{C672C681-76A7-4CD8-8FBF-57FD42155450}">
      <formula1>"Yes"</formula1>
    </dataValidation>
    <dataValidation type="list" allowBlank="1" showInputMessage="1" showErrorMessage="1" sqref="G71 G69 G84 G73"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91" max="8" man="1"/>
  </rowBreaks>
  <colBreaks count="1" manualBreakCount="1">
    <brk id="9" max="1048575" man="1"/>
  </colBreaks>
  <legacy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Points System</vt:lpstr>
      <vt:lpstr>Tie Breaker</vt:lpstr>
      <vt:lpstr>Basis &amp; Credits</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Navarrette, DC</cp:lastModifiedBy>
  <cp:lastPrinted>2024-12-09T20:28:29Z</cp:lastPrinted>
  <dcterms:created xsi:type="dcterms:W3CDTF">2007-12-27T18:26:28Z</dcterms:created>
  <dcterms:modified xsi:type="dcterms:W3CDTF">2025-02-03T22:45:51Z</dcterms:modified>
</cp:coreProperties>
</file>