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Fremont (4%) (05-20)\TAB 40 - CTCAC E-App\"/>
    </mc:Choice>
  </mc:AlternateContent>
  <xr:revisionPtr revIDLastSave="0" documentId="13_ncr:1_{2E821E4E-01BF-4F10-877A-220D9B476095}" xr6:coauthVersionLast="47" xr6:coauthVersionMax="47" xr10:uidLastSave="{00000000-0000-0000-0000-000000000000}"/>
  <bookViews>
    <workbookView xWindow="-110" yWindow="-110" windowWidth="19420" windowHeight="1030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699" i="3" l="1"/>
  <c r="Q393"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7" i="21" l="1"/>
  <c r="S47" i="21"/>
  <c r="U50" i="21"/>
  <c r="T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104" i="4" l="1"/>
  <c r="S70" i="4"/>
  <c r="E70" i="13" s="1"/>
  <c r="S38" i="4"/>
  <c r="E38" i="13" s="1"/>
  <c r="D36" i="11"/>
  <c r="S42" i="4"/>
  <c r="E42" i="13" s="1"/>
  <c r="S81" i="4"/>
  <c r="E81" i="13" s="1"/>
  <c r="S96" i="4"/>
  <c r="E96" i="13" s="1"/>
  <c r="S54" i="4"/>
  <c r="E54" i="13" s="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30" i="21"/>
  <c r="O29" i="21"/>
  <c r="O28" i="21"/>
  <c r="O27" i="21"/>
  <c r="O26" i="21"/>
  <c r="O25" i="21"/>
  <c r="O24" i="21"/>
  <c r="O23" i="2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<sst xmlns="http://schemas.openxmlformats.org/spreadsheetml/2006/main" count="5015" uniqueCount="2775">
  <si>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</si>
  <si>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</si>
  <si>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</si>
  <si>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</si>
  <si>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</si>
  <si>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</si>
  <si>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</si>
  <si>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</si>
  <si>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</si>
  <si>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</si>
  <si>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</si>
  <si>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</si>
  <si>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</si>
  <si>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</si>
  <si>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</si>
  <si>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</si>
  <si>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</si>
  <si>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</si>
  <si>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</si>
  <si>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</si>
  <si>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</si>
  <si>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</si>
  <si>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</si>
  <si>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</si>
  <si>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</si>
  <si>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</si>
  <si>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</si>
  <si>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</si>
  <si>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</si>
  <si>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</si>
  <si>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</si>
  <si>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</si>
  <si>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</si>
  <si>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</si>
  <si>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</si>
  <si>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</si>
  <si>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</si>
  <si>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</si>
  <si>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</si>
  <si>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</si>
  <si>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</si>
  <si>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</si>
  <si>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</si>
  <si>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</si>
  <si>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</si>
  <si>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</si>
  <si>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</si>
  <si>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</si>
  <si>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</si>
  <si>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</si>
  <si>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</si>
  <si>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</si>
  <si>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</si>
  <si>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</si>
  <si>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</si>
  <si>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</si>
  <si>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</si>
  <si>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</si>
  <si>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</si>
  <si>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</si>
  <si>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</si>
  <si>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</si>
  <si>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</si>
  <si>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</si>
  <si>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</si>
  <si>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</si>
  <si>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</si>
  <si>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</si>
  <si>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</si>
  <si>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</si>
  <si>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</si>
  <si>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</si>
  <si>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</si>
  <si>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</si>
  <si>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</si>
  <si>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</si>
  <si>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</si>
  <si>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</si>
  <si>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</si>
  <si>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</si>
  <si>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</si>
  <si>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</si>
  <si>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</si>
  <si>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</si>
  <si>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</si>
  <si>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</si>
  <si>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</si>
  <si>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</si>
  <si>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</si>
  <si>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</si>
  <si>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</si>
  <si>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</si>
  <si>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</si>
  <si>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</si>
  <si>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</si>
  <si>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</si>
  <si>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</si>
  <si>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</si>
  <si>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</si>
  <si>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</si>
  <si>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</si>
  <si>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</si>
  <si>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</si>
  <si>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</si>
  <si>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</si>
  <si>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</si>
  <si>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</si>
  <si>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</si>
  <si>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</si>
  <si>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</si>
  <si>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</si>
  <si>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</si>
  <si>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</si>
  <si>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</si>
  <si>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</si>
  <si>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</si>
  <si>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</si>
  <si>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</si>
  <si>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</si>
  <si>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</si>
  <si>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</si>
  <si>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</si>
  <si>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</si>
  <si>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</si>
  <si>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</si>
  <si>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</si>
  <si>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</si>
  <si>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</si>
  <si>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</si>
  <si>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</si>
  <si>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</si>
  <si>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</si>
  <si>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</si>
  <si>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</si>
  <si>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</si>
  <si>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</si>
  <si>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</si>
  <si>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</si>
  <si>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</si>
  <si>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</si>
  <si>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</si>
  <si>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</si>
  <si>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</si>
  <si>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</si>
  <si>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</si>
  <si>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</si>
  <si>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</si>
  <si>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</si>
  <si>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</si>
  <si>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</si>
  <si>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</si>
  <si>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</si>
  <si>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</si>
  <si>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</si>
  <si>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</si>
  <si>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</si>
  <si>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</si>
  <si>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</si>
  <si>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</si>
  <si>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</si>
  <si>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</si>
  <si>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</si>
  <si>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</si>
  <si>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</si>
  <si>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</si>
  <si>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</si>
  <si>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</si>
  <si>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</si>
  <si>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</si>
  <si>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</si>
  <si>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</si>
  <si>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</si>
  <si>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</si>
  <si>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</si>
  <si>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</si>
  <si>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</si>
  <si>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</si>
  <si>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</si>
  <si>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</si>
  <si>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</si>
  <si>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</si>
  <si>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</si>
  <si>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</si>
  <si>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</si>
  <si>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</si>
  <si>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</si>
  <si>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</si>
  <si>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</si>
  <si>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</si>
  <si>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</si>
  <si>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</si>
  <si>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</si>
  <si>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</si>
  <si>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</si>
  <si>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</si>
  <si>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</si>
  <si>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</si>
  <si>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</si>
  <si>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</si>
  <si>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</si>
  <si>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</si>
  <si>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</si>
  <si>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</si>
  <si>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</si>
  <si>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</si>
  <si>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</si>
  <si>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</si>
  <si>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</si>
  <si>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</si>
  <si>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</si>
  <si>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</si>
  <si>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</si>
  <si>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</si>
  <si>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</si>
  <si>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</si>
  <si>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</si>
  <si>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</si>
  <si>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</si>
  <si>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</si>
  <si>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</si>
  <si>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</si>
  <si>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</si>
  <si>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</si>
  <si>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</si>
  <si>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</si>
  <si>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</si>
  <si>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</si>
  <si>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</si>
  <si>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</si>
  <si>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</si>
  <si>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</si>
  <si>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</si>
  <si>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</si>
  <si>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</si>
  <si>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</si>
  <si>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</si>
  <si>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</si>
  <si>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</si>
  <si>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</si>
  <si>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</si>
  <si>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</si>
  <si>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</si>
  <si>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</si>
  <si>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</si>
  <si>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</si>
  <si>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</si>
  <si>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</si>
  <si>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</si>
  <si>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</si>
  <si>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</si>
  <si>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</si>
  <si>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</si>
  <si>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</si>
  <si>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</si>
  <si>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</si>
  <si>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</si>
  <si>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</si>
  <si>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</si>
  <si>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</si>
  <si>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</si>
  <si>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</si>
  <si>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</si>
  <si>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</si>
  <si>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</si>
  <si>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</si>
  <si>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</si>
  <si>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</si>
  <si>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</si>
  <si>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</si>
  <si>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</si>
  <si>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</si>
  <si>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</si>
  <si>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</si>
  <si>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</si>
  <si>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</si>
  <si>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</si>
  <si>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</si>
  <si>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</si>
  <si>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</si>
  <si>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</si>
  <si>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</si>
  <si>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</si>
  <si>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</si>
  <si>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</si>
  <si>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</si>
  <si>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</si>
  <si>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</si>
  <si>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</si>
  <si>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</si>
  <si>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</si>
  <si>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</si>
  <si>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</si>
  <si>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</si>
  <si>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</si>
  <si>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</si>
  <si>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</si>
  <si>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</si>
  <si>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</si>
  <si>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</si>
  <si>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</si>
  <si>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</si>
  <si>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</si>
  <si>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</si>
  <si>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</si>
  <si>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</si>
  <si>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</si>
  <si>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</si>
  <si>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</si>
  <si>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</si>
  <si>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</si>
  <si>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</si>
  <si>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</si>
  <si>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</si>
  <si>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</si>
  <si>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</si>
  <si>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</si>
  <si>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</si>
  <si>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</si>
  <si>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</si>
  <si>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</si>
  <si>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</si>
  <si>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</si>
  <si>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</si>
  <si>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</si>
  <si>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</si>
  <si>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</si>
  <si>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</si>
  <si>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</si>
  <si>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</si>
  <si>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</si>
  <si>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</si>
  <si>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</si>
  <si>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</si>
  <si>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</si>
  <si>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</si>
  <si>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</si>
  <si>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</si>
  <si>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</si>
  <si>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</si>
  <si>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</si>
  <si>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</si>
  <si>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</si>
  <si>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</si>
  <si>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</si>
  <si>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</si>
  <si>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</si>
  <si>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</si>
  <si>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</si>
  <si>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</si>
  <si>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</si>
  <si>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</si>
  <si>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</si>
  <si>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</si>
  <si>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</si>
  <si>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</si>
  <si>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</si>
  <si>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</si>
  <si>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</si>
  <si>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</si>
  <si>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</si>
  <si>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</si>
  <si>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</si>
  <si>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</si>
  <si>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</si>
  <si>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</si>
  <si>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</si>
  <si>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</si>
  <si>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</si>
  <si>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</si>
  <si>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</si>
  <si>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</si>
  <si>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</si>
  <si>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</si>
  <si>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</si>
  <si>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</si>
  <si>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</si>
  <si>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</si>
  <si>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</si>
  <si>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</si>
  <si>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</si>
  <si>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</si>
  <si>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</si>
  <si>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</si>
  <si>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</si>
  <si>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</si>
  <si>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</si>
  <si>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</si>
  <si>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</si>
  <si>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</si>
  <si>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</si>
  <si>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</si>
  <si>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</si>
  <si>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</si>
  <si>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</si>
  <si>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</si>
  <si>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</si>
  <si>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</si>
  <si>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</si>
  <si>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</si>
  <si>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</si>
  <si>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</si>
  <si>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</si>
  <si>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</si>
  <si>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</si>
  <si>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</si>
  <si>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</si>
  <si>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</si>
  <si>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</si>
  <si>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</si>
  <si>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</si>
  <si>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</si>
  <si>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</si>
  <si>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</si>
  <si>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</si>
  <si>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</si>
  <si>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</si>
  <si>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</si>
  <si>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</si>
  <si>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</si>
  <si>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</si>
  <si>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</si>
  <si>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</si>
  <si>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</si>
  <si>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</si>
  <si>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</si>
  <si>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</si>
  <si>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</si>
  <si>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</si>
  <si>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</si>
  <si>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</si>
  <si>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</si>
  <si>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</si>
  <si>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</si>
  <si>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</si>
  <si>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</si>
  <si>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</si>
  <si>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</si>
  <si>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</si>
  <si>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</si>
  <si>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</si>
  <si>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</si>
  <si>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</si>
  <si>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</si>
  <si>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</si>
  <si>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</si>
  <si>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</si>
  <si>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</si>
  <si>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</si>
  <si>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</si>
  <si>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</si>
  <si>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</si>
  <si>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</si>
  <si>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</si>
  <si>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</si>
  <si>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</si>
  <si>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</si>
  <si>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</si>
  <si>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</si>
  <si>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</si>
  <si>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</si>
  <si>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</si>
  <si>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</si>
  <si>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</si>
  <si>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</si>
  <si>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</si>
  <si>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</si>
  <si>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</si>
  <si>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</si>
  <si>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</si>
  <si>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</si>
  <si>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</si>
  <si>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</si>
  <si>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</si>
  <si>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</si>
  <si>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</si>
  <si>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</si>
  <si>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</si>
  <si>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</si>
  <si>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</si>
  <si>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</si>
  <si>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</si>
  <si>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</si>
  <si>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</si>
  <si>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</si>
  <si>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</si>
  <si>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</si>
  <si>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</si>
  <si>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</si>
  <si>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</si>
  <si>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</si>
  <si>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</si>
  <si>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</si>
  <si>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</si>
  <si>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</si>
  <si>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</si>
  <si>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</si>
  <si>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</si>
  <si>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</si>
  <si>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</si>
  <si>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</si>
  <si>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</si>
  <si>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</si>
  <si>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</si>
  <si>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</si>
  <si>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</si>
  <si>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</si>
  <si>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</si>
  <si>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</si>
  <si>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</si>
  <si>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</si>
  <si>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</si>
  <si>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</si>
  <si>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</si>
  <si>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</si>
  <si>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</si>
  <si>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</si>
  <si>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</si>
  <si>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</si>
  <si>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</si>
  <si>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</si>
  <si>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</si>
  <si>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</si>
  <si>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</si>
  <si>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</si>
  <si>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</si>
  <si>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</si>
  <si>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</si>
  <si>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</si>
  <si>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</si>
  <si>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</si>
  <si>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</si>
  <si>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</si>
  <si>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</si>
  <si>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</si>
  <si>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</si>
  <si>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</si>
  <si>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</si>
  <si>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</si>
  <si>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</si>
  <si>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</si>
  <si>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</si>
  <si>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</si>
  <si>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</si>
  <si>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</si>
  <si>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</si>
  <si>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</si>
  <si>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</si>
  <si>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</si>
  <si>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</si>
  <si>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</si>
  <si>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</si>
  <si>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</si>
  <si>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</si>
  <si>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</si>
  <si>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</si>
  <si>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</si>
  <si>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</si>
  <si>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</si>
  <si>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</si>
  <si>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</si>
  <si>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</si>
  <si>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</si>
  <si>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</si>
  <si>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</si>
  <si>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</si>
  <si>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</si>
  <si>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</si>
  <si>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</si>
  <si>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</si>
  <si>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</si>
  <si>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</si>
  <si>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</si>
  <si>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</si>
  <si>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</si>
  <si>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</si>
  <si>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</si>
  <si>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</si>
  <si>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</si>
  <si>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</si>
  <si>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</si>
  <si>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</si>
  <si>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</si>
  <si>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</si>
  <si>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</si>
  <si>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</si>
  <si>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</si>
  <si>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</si>
  <si>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</si>
  <si>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</si>
  <si>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</si>
  <si>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</si>
  <si>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</si>
  <si>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</si>
  <si>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</si>
  <si>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</si>
  <si>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</si>
  <si>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</si>
  <si>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</si>
  <si>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</si>
  <si>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</si>
  <si>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</si>
  <si>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</si>
  <si>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</si>
  <si>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</si>
  <si>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</si>
  <si>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</si>
  <si>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</si>
  <si>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</si>
  <si>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</si>
  <si>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</si>
  <si>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</si>
  <si>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</si>
  <si>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</si>
  <si>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</si>
  <si>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</si>
  <si>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</si>
  <si>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</si>
  <si>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</si>
  <si>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</si>
  <si>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</si>
  <si>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</si>
  <si>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</si>
  <si>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</si>
  <si>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</si>
  <si>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</si>
  <si>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</si>
  <si>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</si>
  <si>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</si>
  <si>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</si>
  <si>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</si>
  <si>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</si>
  <si>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</si>
  <si>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</si>
  <si>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</si>
  <si>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</si>
  <si>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</si>
  <si>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</si>
  <si>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</si>
  <si>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</si>
  <si>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</si>
  <si>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</si>
  <si>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</si>
  <si>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</si>
  <si>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</si>
  <si>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</si>
  <si>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</si>
  <si>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</si>
  <si>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</si>
  <si>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</si>
  <si>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</si>
  <si>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</si>
  <si>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</si>
  <si>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</si>
  <si>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</si>
  <si>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</si>
  <si>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</si>
  <si>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</si>
  <si>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</si>
  <si>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</si>
  <si>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</si>
  <si>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</si>
  <si>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</si>
  <si>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</si>
  <si>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</si>
  <si>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</si>
  <si>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</si>
  <si>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</si>
  <si>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</si>
  <si>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</si>
  <si>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</si>
  <si>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</si>
  <si>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</si>
  <si>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</si>
  <si>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</si>
  <si>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</si>
  <si>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</si>
  <si>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</si>
  <si>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</si>
  <si>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</si>
  <si>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</si>
  <si>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</si>
  <si>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</si>
  <si>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</si>
  <si>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</si>
  <si>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</si>
  <si>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</si>
  <si>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</si>
  <si>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</si>
  <si>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</si>
  <si>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</si>
  <si>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</si>
  <si>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</si>
  <si>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</si>
  <si>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</si>
  <si>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</si>
  <si>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</si>
  <si>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</si>
  <si>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</si>
  <si>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</si>
  <si>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</si>
  <si>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</si>
  <si>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</si>
  <si>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</si>
  <si>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</si>
  <si>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</si>
  <si>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</si>
  <si>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</si>
  <si>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</si>
  <si>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</si>
  <si>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</si>
  <si>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</si>
  <si>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</si>
  <si>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</si>
  <si>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</si>
  <si>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</si>
  <si>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</si>
  <si>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</si>
  <si>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</si>
  <si>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</si>
  <si>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</si>
  <si>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</si>
  <si>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</si>
  <si>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</si>
  <si>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</si>
  <si>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</si>
  <si>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</si>
  <si>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</si>
  <si>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</si>
  <si>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</si>
  <si>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</si>
  <si>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</si>
  <si>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</si>
  <si>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</si>
  <si>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</si>
  <si>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</si>
  <si>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</si>
  <si>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</si>
  <si>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</si>
  <si>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</si>
  <si>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</si>
  <si>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</si>
  <si>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</si>
  <si>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</si>
  <si>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</si>
  <si>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</si>
  <si>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</si>
  <si>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</si>
  <si>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</si>
  <si>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</si>
  <si>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</si>
  <si>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</si>
  <si>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</si>
  <si>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</si>
  <si>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</si>
  <si>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</si>
  <si>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</si>
  <si>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</si>
  <si>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</si>
  <si>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</si>
  <si>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</si>
  <si>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</si>
  <si>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</si>
  <si>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</si>
  <si>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</si>
  <si>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</si>
  <si>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</si>
  <si>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</si>
  <si>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</si>
  <si>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</si>
  <si>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</si>
  <si>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</si>
  <si>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</si>
  <si>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</si>
  <si>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</si>
  <si>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</si>
  <si>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</si>
  <si>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</si>
  <si>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</si>
  <si>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</si>
  <si>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</si>
  <si>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</si>
  <si>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</si>
  <si>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</si>
  <si>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</si>
  <si>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</si>
  <si>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</si>
  <si>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</si>
  <si>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</si>
  <si>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</si>
  <si>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</si>
  <si>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</si>
  <si>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</si>
  <si>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</si>
  <si>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</si>
  <si>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</si>
  <si>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</si>
  <si>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</si>
  <si>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</si>
  <si>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</si>
  <si>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</si>
  <si>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</si>
  <si>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</si>
  <si>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</si>
  <si>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</si>
  <si>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</si>
  <si>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</si>
  <si>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</si>
  <si>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</si>
  <si>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</si>
  <si>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</si>
  <si>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</si>
  <si>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</si>
  <si>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</si>
  <si>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</si>
  <si>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</si>
  <si>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</si>
  <si>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</si>
  <si>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</si>
  <si>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</si>
  <si>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</si>
  <si>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</si>
  <si>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</si>
  <si>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</si>
  <si>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</si>
  <si>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</si>
  <si>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</si>
  <si>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</si>
  <si>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</si>
  <si>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</si>
  <si>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</si>
  <si>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</si>
  <si>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</si>
  <si>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</si>
  <si>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</si>
  <si>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</si>
  <si>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</si>
  <si>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</si>
  <si>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</si>
  <si>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</si>
  <si>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</si>
  <si>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</si>
  <si>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</si>
  <si>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</si>
  <si>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</si>
  <si>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</si>
  <si>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</si>
  <si>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</si>
  <si>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</si>
  <si>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</si>
  <si>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</si>
  <si>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</si>
  <si>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</si>
  <si>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</si>
  <si>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</si>
  <si>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</si>
  <si>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</si>
  <si>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</si>
  <si>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</si>
  <si>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</si>
  <si>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</si>
  <si>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</si>
  <si>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</si>
  <si>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</si>
  <si>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</si>
  <si>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</si>
  <si>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</si>
  <si>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</si>
  <si>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</si>
  <si>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</si>
  <si>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</si>
  <si>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</si>
  <si>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</si>
  <si>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</si>
  <si>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</si>
  <si>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</si>
  <si>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</si>
  <si>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</si>
  <si>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</si>
  <si>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</si>
  <si>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</si>
  <si>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</si>
  <si>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</si>
  <si>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</si>
  <si>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</si>
  <si>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</si>
  <si>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</si>
  <si>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</si>
  <si>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</si>
  <si>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</si>
  <si>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</si>
  <si>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</si>
  <si>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</si>
  <si>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</si>
  <si>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</si>
  <si>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</si>
  <si>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</si>
  <si>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</si>
  <si>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</si>
  <si>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</si>
  <si>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</si>
  <si>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</si>
  <si>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</si>
  <si>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</si>
  <si>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</si>
  <si>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</si>
  <si>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</si>
  <si>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</si>
  <si>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</si>
  <si>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</si>
  <si>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</si>
  <si>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</si>
  <si>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</si>
  <si>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</si>
  <si>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</si>
  <si>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</si>
  <si>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</si>
  <si>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</si>
  <si>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</si>
  <si>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</si>
  <si>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</si>
  <si>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</si>
  <si>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</si>
  <si>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</si>
  <si>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</si>
  <si>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</si>
  <si>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</si>
  <si>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</si>
  <si>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</si>
  <si>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</si>
  <si>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</si>
  <si>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</si>
  <si>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</si>
  <si>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</si>
  <si>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</si>
  <si>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</si>
  <si>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</si>
  <si>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</si>
  <si>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</si>
  <si>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</si>
  <si>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</si>
  <si>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</si>
  <si>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</si>
  <si>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</si>
  <si>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</si>
  <si>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</si>
  <si>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</si>
  <si>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</si>
  <si>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</si>
  <si>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</si>
  <si>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</si>
  <si>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</si>
  <si>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</si>
  <si>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</si>
  <si>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</si>
  <si>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</si>
  <si>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</si>
  <si>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</si>
  <si>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</si>
  <si>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</si>
  <si>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</si>
  <si>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</si>
  <si>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</si>
  <si>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</si>
  <si>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</si>
  <si>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</si>
  <si>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</si>
  <si>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</si>
  <si>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</si>
  <si>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</si>
  <si>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</si>
  <si>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</si>
  <si>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</si>
  <si>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</si>
  <si>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</si>
  <si>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</si>
  <si>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</si>
  <si>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</si>
  <si>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</si>
  <si>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</si>
  <si>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</si>
  <si>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</si>
  <si>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</si>
  <si>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</si>
  <si>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</si>
  <si>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</si>
  <si>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</si>
  <si>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</si>
  <si>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</si>
  <si>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</si>
  <si>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</si>
  <si>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</si>
  <si>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</si>
  <si>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</si>
  <si>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</si>
  <si>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</si>
  <si>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</si>
  <si>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</si>
  <si>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</si>
  <si>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</si>
  <si>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</si>
  <si>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</si>
  <si>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</si>
  <si>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</si>
  <si>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</si>
  <si>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</si>
  <si>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</si>
  <si>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</si>
  <si>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</si>
  <si>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</si>
  <si>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</si>
  <si>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</si>
  <si>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</si>
  <si>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</si>
  <si>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</si>
  <si>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</si>
  <si>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</si>
  <si>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</si>
  <si>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</si>
  <si>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</si>
  <si>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</si>
  <si>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</si>
  <si>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</si>
  <si>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</si>
  <si>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</si>
  <si>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</si>
  <si>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</si>
  <si>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</si>
  <si>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</si>
  <si>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</si>
  <si>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</si>
  <si>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</si>
  <si>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</si>
  <si>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</si>
  <si>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</si>
  <si>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</si>
  <si>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</si>
  <si>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</si>
  <si>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</si>
  <si>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</si>
  <si>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</si>
  <si>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</si>
  <si>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</si>
  <si>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</si>
  <si>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</si>
  <si>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</si>
  <si>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</si>
  <si>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</si>
  <si>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</si>
  <si>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</si>
  <si>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</si>
  <si>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</si>
  <si>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</si>
  <si>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</si>
  <si>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</si>
  <si>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</si>
  <si>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</si>
  <si>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</si>
  <si>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</si>
  <si>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</si>
  <si>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</si>
  <si>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</si>
  <si>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</si>
  <si>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</si>
  <si>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</si>
  <si>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</si>
  <si>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</si>
  <si>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</si>
  <si>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</si>
  <si>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</si>
  <si>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</si>
  <si>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</si>
  <si>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</si>
  <si>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</si>
  <si>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</si>
  <si>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</si>
  <si>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</si>
  <si>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</si>
  <si>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</si>
  <si>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</si>
  <si>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</si>
  <si>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</si>
  <si>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</si>
  <si>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</si>
  <si>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</si>
  <si>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</si>
  <si>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</si>
  <si>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</si>
  <si>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</si>
  <si>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</si>
  <si>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</si>
  <si>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</si>
  <si>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</si>
  <si>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</si>
  <si>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</si>
  <si>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</si>
  <si>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</si>
  <si>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</si>
  <si>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</si>
  <si>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</si>
  <si>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</si>
  <si>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</si>
  <si>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</si>
  <si>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</si>
  <si>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</si>
  <si>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</si>
  <si>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</si>
  <si>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</si>
  <si>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</si>
  <si>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</si>
  <si>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</si>
  <si>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</si>
  <si>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</si>
  <si>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</si>
  <si>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</si>
  <si>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</si>
  <si>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</si>
  <si>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</si>
  <si>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</si>
  <si>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</si>
  <si>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</si>
  <si>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</si>
  <si>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</si>
  <si>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</si>
  <si>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</si>
  <si>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</si>
  <si>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</si>
  <si>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</si>
  <si>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</si>
  <si>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</si>
  <si>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</si>
  <si>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</si>
  <si>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</si>
  <si>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</si>
  <si>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</si>
  <si>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</si>
  <si>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</si>
  <si>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</si>
  <si>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</si>
  <si>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</si>
  <si>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</si>
  <si>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</si>
  <si>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</si>
  <si>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</si>
  <si>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</si>
  <si>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</si>
  <si>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</si>
  <si>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</si>
  <si>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</si>
  <si>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</si>
  <si>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</si>
  <si>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</si>
  <si>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</si>
  <si>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</si>
  <si>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</si>
  <si>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</si>
  <si>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</si>
  <si>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</si>
  <si>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</si>
  <si>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</si>
  <si>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</si>
  <si>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</si>
  <si>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</si>
  <si>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</si>
  <si>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</si>
  <si>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</si>
  <si>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</si>
  <si>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</si>
  <si>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</si>
  <si>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</si>
  <si>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</si>
  <si>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</si>
  <si>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</si>
  <si>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</si>
  <si>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</si>
  <si>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</si>
  <si>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</si>
  <si>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</si>
  <si>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</si>
  <si>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</si>
  <si>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</si>
  <si>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</si>
  <si>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</si>
  <si>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</si>
  <si>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</si>
  <si>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</si>
  <si>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</si>
  <si>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</si>
  <si>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</si>
  <si>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</si>
  <si>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</si>
  <si>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</si>
  <si>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</si>
  <si>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</si>
  <si>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</si>
  <si>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</si>
  <si>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</si>
  <si>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</si>
  <si>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</si>
  <si>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</si>
  <si>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</si>
  <si>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</si>
  <si>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</si>
  <si>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</si>
  <si>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</si>
  <si>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</si>
  <si>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</si>
  <si>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</si>
  <si>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</si>
  <si>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</si>
  <si>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</si>
  <si>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</si>
  <si>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</si>
  <si>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</si>
  <si>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</si>
  <si>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</si>
  <si>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</si>
  <si>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</si>
  <si>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</si>
  <si>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</si>
  <si>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</si>
  <si>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</si>
  <si>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</si>
  <si>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</si>
  <si>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</si>
  <si>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</si>
  <si>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</si>
  <si>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</si>
  <si>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</si>
  <si>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</si>
  <si>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</si>
  <si>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</si>
  <si>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</si>
  <si>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</si>
  <si>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</si>
  <si>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</si>
  <si>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</si>
  <si>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</si>
  <si>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</si>
  <si>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</si>
  <si>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</si>
  <si>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</si>
  <si>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</si>
  <si>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</si>
  <si>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</si>
  <si>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</si>
  <si>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</si>
  <si>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</si>
  <si>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</si>
  <si>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</si>
  <si>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</si>
  <si>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</si>
  <si>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</si>
  <si>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</si>
  <si>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</si>
  <si>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</si>
  <si>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</si>
  <si>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</si>
  <si>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</si>
  <si>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</si>
  <si>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</si>
  <si>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</si>
  <si>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</si>
  <si>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</si>
  <si>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</si>
  <si>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</si>
  <si>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</si>
  <si>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</si>
  <si>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</si>
  <si>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</si>
  <si>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</si>
  <si>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</si>
  <si>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</si>
  <si>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</si>
  <si>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</si>
  <si>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</si>
  <si>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</si>
  <si>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</si>
  <si>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</si>
  <si>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</si>
  <si>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</si>
  <si>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</si>
  <si>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</si>
  <si>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</si>
  <si>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</si>
  <si>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</si>
  <si>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</si>
  <si>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</si>
  <si>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</si>
  <si>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</si>
  <si>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</si>
  <si>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</si>
  <si>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</si>
  <si>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</si>
  <si>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</si>
  <si>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</si>
  <si>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</si>
  <si>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</si>
  <si>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</si>
  <si>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</si>
  <si>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</si>
  <si>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</si>
  <si>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</si>
  <si>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</si>
  <si>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</si>
  <si>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</si>
  <si>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</si>
  <si>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</si>
  <si>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</si>
  <si>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</si>
  <si>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</si>
  <si>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</si>
  <si>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</si>
  <si>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</si>
  <si>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</si>
  <si>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</si>
  <si>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</si>
  <si>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</si>
  <si>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</si>
  <si>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</si>
  <si>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</si>
  <si>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</si>
  <si>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</si>
  <si>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</si>
  <si>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</si>
  <si>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</si>
  <si>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</si>
  <si>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</si>
  <si>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</si>
  <si>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</si>
  <si>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</si>
  <si>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</si>
  <si>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</si>
  <si>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</si>
  <si>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</si>
  <si>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</si>
  <si>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</si>
  <si>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</si>
  <si>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</si>
  <si>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</si>
  <si>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</si>
  <si>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</si>
  <si>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</si>
  <si>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</si>
  <si>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</si>
  <si>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</si>
  <si>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</si>
  <si>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</si>
  <si>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</si>
  <si>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</si>
  <si>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</si>
  <si>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</si>
  <si>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</si>
  <si>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</si>
  <si>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</si>
  <si>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</si>
  <si>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</si>
  <si>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</si>
  <si>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</si>
  <si>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</si>
  <si>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</si>
  <si>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</si>
  <si>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</si>
  <si>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</si>
  <si>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</si>
  <si>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</si>
  <si>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</si>
  <si>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</si>
  <si>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</si>
  <si>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</si>
  <si>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</si>
  <si>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</si>
  <si>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</si>
  <si>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</si>
  <si>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</si>
  <si>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</si>
  <si>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</si>
  <si>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</si>
  <si>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</si>
  <si>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</si>
  <si>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</si>
  <si>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</si>
  <si>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</si>
  <si>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</si>
  <si>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</si>
  <si>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</si>
  <si>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</si>
  <si>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</si>
  <si>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</si>
  <si>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</si>
  <si>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</si>
  <si>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</si>
  <si>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</si>
  <si>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</si>
  <si>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</si>
  <si>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</si>
  <si>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</si>
  <si>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</si>
  <si>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</si>
  <si>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</si>
  <si>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</si>
  <si>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</si>
  <si>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</si>
  <si>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</si>
  <si>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</si>
  <si>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</si>
  <si>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</si>
  <si>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</si>
  <si>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</si>
  <si>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</si>
  <si>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</si>
  <si>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</si>
  <si>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</si>
  <si>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</si>
  <si>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</si>
  <si>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</si>
  <si>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</si>
  <si>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</si>
  <si>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</si>
  <si>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</si>
  <si>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</si>
  <si>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</si>
  <si>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</si>
  <si>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</si>
  <si>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</si>
  <si>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</si>
  <si>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</si>
  <si>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</si>
  <si>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</si>
  <si>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</si>
  <si>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</si>
  <si>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</si>
  <si>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</si>
  <si>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</si>
  <si>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</si>
  <si>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</si>
  <si>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</si>
  <si>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</si>
  <si>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</si>
  <si>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</si>
  <si>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</si>
  <si>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</si>
  <si>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</si>
  <si>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</si>
  <si>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</si>
  <si>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</si>
  <si>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</si>
  <si>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</si>
  <si>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</si>
  <si>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</si>
  <si>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</si>
  <si>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</si>
  <si>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</si>
  <si>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</si>
  <si>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</si>
  <si>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</si>
  <si>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</si>
  <si>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</si>
  <si>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</si>
  <si>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</si>
  <si>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</si>
  <si>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</si>
  <si>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</si>
  <si>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</si>
  <si>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</si>
  <si>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</si>
  <si>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</si>
  <si>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</si>
  <si>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</si>
  <si>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</si>
  <si>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</si>
  <si>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</si>
  <si>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</si>
  <si>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</si>
  <si>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</si>
  <si>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</si>
  <si>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</si>
  <si>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</si>
  <si>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</si>
  <si>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</si>
  <si>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</si>
  <si>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</si>
  <si>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</si>
  <si>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</si>
  <si>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</si>
  <si>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</si>
  <si>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</si>
  <si>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</si>
  <si>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</si>
  <si>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</si>
  <si>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</si>
  <si>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</si>
  <si>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</si>
  <si>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</si>
  <si>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</si>
  <si>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</si>
  <si>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</si>
  <si>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</si>
  <si>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</si>
  <si>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</si>
  <si>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</si>
  <si>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</si>
  <si>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</si>
  <si>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</si>
  <si>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</si>
  <si>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</si>
  <si>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</si>
  <si>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</si>
  <si>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</si>
  <si>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</si>
  <si>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</si>
  <si>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</si>
  <si>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</si>
  <si>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</si>
  <si>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</si>
  <si>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</si>
  <si>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</si>
  <si>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</si>
  <si>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</si>
  <si>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</si>
  <si>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</si>
  <si>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</si>
  <si>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</si>
  <si>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</si>
  <si>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</si>
  <si>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</si>
  <si>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</si>
  <si>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</si>
  <si>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</si>
  <si>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</si>
  <si>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</si>
  <si>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</si>
  <si>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</si>
  <si>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</si>
  <si>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</si>
  <si>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</si>
  <si>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</si>
  <si>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</si>
  <si>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</si>
  <si>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</si>
  <si>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</si>
  <si>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</si>
  <si>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</si>
  <si>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</si>
  <si>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</si>
  <si>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</si>
  <si>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</si>
  <si>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</si>
  <si>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</si>
  <si>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</si>
  <si>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</si>
  <si>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</si>
  <si>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</si>
  <si>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</si>
  <si>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</si>
  <si>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</si>
  <si>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</si>
  <si>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</si>
  <si>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</si>
  <si>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</si>
  <si>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</si>
  <si>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</si>
  <si>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</si>
  <si>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</si>
  <si>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</si>
  <si>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</si>
  <si>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</si>
  <si>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</si>
  <si>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</si>
  <si>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</si>
  <si>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</si>
  <si>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</si>
  <si>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</si>
  <si>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</si>
  <si>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</si>
  <si>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</si>
  <si>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</si>
  <si>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</si>
  <si>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</si>
  <si>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</si>
  <si>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</si>
  <si>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</si>
  <si>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</si>
  <si>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</si>
  <si>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</si>
  <si>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</si>
  <si>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</si>
  <si>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</si>
  <si>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</si>
  <si>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</si>
  <si>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</si>
  <si>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</si>
  <si>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</si>
  <si>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</si>
  <si>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</si>
  <si>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</si>
  <si>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</si>
  <si>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</si>
  <si>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</si>
  <si>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</si>
  <si>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</si>
  <si>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</si>
  <si>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</si>
  <si>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</si>
  <si>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</si>
  <si>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</si>
  <si>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</si>
  <si>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</si>
  <si>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</si>
  <si>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</si>
  <si>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</si>
  <si>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</si>
  <si>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</si>
  <si>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</si>
  <si>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</si>
  <si>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</si>
  <si>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</si>
  <si>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</si>
  <si>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</si>
  <si>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</si>
  <si>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</si>
  <si>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</si>
  <si>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</si>
  <si>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</si>
  <si>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</si>
  <si>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</si>
  <si>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</si>
  <si>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</si>
  <si>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</si>
  <si>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</si>
  <si>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</si>
  <si>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</si>
  <si>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</si>
  <si>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</si>
  <si>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</si>
  <si>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</si>
  <si>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</si>
  <si>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</si>
  <si>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</si>
  <si>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</si>
  <si>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</si>
  <si>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</si>
  <si>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</si>
  <si>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</si>
  <si>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</si>
  <si>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</si>
  <si>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</si>
  <si>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</si>
  <si>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</si>
  <si>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</si>
  <si>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</si>
  <si>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</si>
  <si>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</si>
  <si>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</si>
  <si>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</si>
  <si>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</si>
  <si>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</si>
  <si>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</si>
  <si>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</si>
  <si>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</si>
  <si>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</si>
  <si>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</si>
  <si>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</si>
  <si>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</si>
  <si>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</si>
  <si>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</si>
  <si>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</si>
  <si>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</si>
  <si>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</si>
  <si>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</si>
  <si>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</si>
  <si>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</si>
  <si>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</si>
  <si>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</si>
  <si>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</si>
  <si>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</si>
  <si>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</si>
  <si>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</si>
  <si>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</si>
  <si>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</si>
  <si>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</si>
  <si>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</si>
  <si>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</si>
  <si>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</si>
  <si>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</si>
  <si>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</si>
  <si>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</si>
  <si>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</si>
  <si>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</si>
  <si>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</si>
  <si>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</si>
  <si>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</si>
  <si>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</si>
  <si>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</si>
  <si>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</si>
  <si>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</si>
  <si>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</si>
  <si>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</si>
  <si>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</si>
  <si>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</si>
  <si>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</si>
  <si>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</si>
  <si>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</si>
  <si>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</si>
  <si>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</si>
  <si>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</si>
  <si>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</si>
  <si>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</si>
  <si>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</si>
  <si>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</si>
  <si>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</si>
  <si>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</si>
  <si>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</si>
  <si>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</si>
  <si>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</si>
  <si>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</si>
  <si>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</si>
  <si>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</si>
  <si>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</si>
  <si>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</si>
  <si>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</si>
  <si>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</si>
  <si>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</si>
  <si>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</si>
  <si>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</si>
  <si>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</si>
  <si>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</si>
  <si>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</si>
  <si>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</si>
  <si>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</si>
  <si>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</si>
  <si>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</si>
  <si>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</si>
  <si>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</si>
  <si>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</si>
  <si>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</si>
  <si>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</si>
  <si>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</si>
  <si>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</si>
  <si>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</si>
  <si>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</si>
  <si>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</si>
  <si>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</si>
  <si>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</si>
  <si>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</si>
  <si>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</si>
  <si>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</si>
  <si>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</si>
  <si>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</si>
  <si>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</si>
  <si>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</si>
  <si>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</si>
  <si>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</si>
  <si>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</si>
  <si>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</si>
  <si>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</si>
  <si>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</si>
  <si>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</si>
  <si>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</si>
  <si>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</si>
  <si>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</si>
  <si>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</si>
  <si>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</si>
  <si>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</si>
  <si>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</si>
  <si>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</si>
  <si>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</si>
  <si>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</si>
  <si>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</si>
  <si>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</si>
  <si>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</si>
  <si>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</si>
  <si>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</si>
  <si>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</si>
  <si>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</si>
  <si>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</si>
  <si>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</si>
  <si>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</si>
  <si>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</si>
  <si>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</si>
  <si>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</si>
  <si>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</si>
  <si>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</si>
  <si>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</si>
  <si>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</si>
  <si>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</si>
  <si>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</si>
  <si>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</si>
  <si>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</si>
  <si>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</si>
  <si>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</si>
  <si>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</si>
  <si>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</si>
  <si>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</si>
  <si>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</si>
  <si>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</si>
  <si>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</si>
  <si>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</si>
  <si>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</si>
  <si>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</si>
  <si>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</si>
  <si>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</si>
  <si>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</si>
  <si>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</si>
  <si>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</si>
  <si>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</si>
  <si>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</si>
  <si>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</si>
  <si>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</si>
  <si>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</si>
  <si>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</si>
  <si>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</si>
  <si>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</si>
  <si>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</si>
  <si>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</si>
  <si>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</si>
  <si>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</si>
  <si>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</si>
  <si>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</si>
  <si>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</si>
  <si>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</si>
  <si>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</si>
  <si>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</si>
  <si>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</si>
  <si>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</si>
  <si>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</si>
  <si>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</si>
  <si>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</si>
  <si>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</si>
  <si>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</si>
  <si>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</si>
  <si>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</si>
  <si>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</si>
  <si>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</si>
  <si>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</si>
  <si>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</si>
  <si>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</si>
  <si>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</si>
  <si>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</si>
  <si>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</si>
  <si>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</si>
  <si>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</si>
  <si>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</si>
  <si>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</si>
  <si>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</si>
  <si>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</si>
  <si>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</si>
  <si>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</si>
  <si>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</si>
  <si>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</si>
  <si>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</si>
  <si>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</si>
  <si>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</si>
  <si>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</si>
  <si>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</si>
  <si>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</si>
  <si>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</si>
  <si>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</si>
  <si>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</si>
  <si>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</si>
  <si>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</si>
  <si>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</si>
  <si>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</si>
  <si>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</si>
  <si>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</si>
  <si>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</si>
  <si>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</si>
  <si>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</si>
  <si>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</si>
  <si>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</si>
  <si>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</si>
  <si>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</si>
  <si>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</si>
  <si>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</si>
  <si>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</si>
  <si>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</si>
  <si>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</si>
  <si>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</si>
  <si>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</si>
  <si>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</si>
  <si>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</si>
  <si>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</si>
  <si>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</si>
  <si>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</si>
  <si>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</si>
  <si>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</si>
  <si>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</si>
  <si>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</si>
  <si>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</si>
  <si>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</si>
  <si>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</si>
  <si>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</si>
  <si>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</si>
  <si>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</si>
  <si>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</si>
  <si>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</si>
  <si>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</si>
  <si>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</si>
  <si>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</si>
  <si>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</si>
  <si>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</si>
  <si>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</si>
  <si>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</si>
  <si>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</si>
  <si>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</si>
  <si>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</si>
  <si>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</si>
  <si>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</si>
  <si>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</si>
  <si>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</si>
  <si>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</si>
  <si>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</si>
  <si>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</si>
  <si>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</si>
  <si>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</si>
  <si>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</si>
  <si>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</si>
  <si>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</si>
  <si>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</si>
  <si>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</si>
  <si>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</si>
  <si>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</si>
  <si>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</si>
  <si>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</si>
  <si>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</si>
  <si>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</si>
  <si>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</si>
  <si>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</si>
  <si>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</si>
  <si>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</si>
  <si>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</si>
  <si>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</si>
  <si>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</si>
  <si>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</si>
  <si>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</si>
  <si>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</si>
  <si>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</si>
  <si>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</si>
  <si>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</si>
  <si>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</si>
  <si>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</si>
  <si>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</si>
  <si>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</si>
  <si>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</si>
  <si>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</si>
  <si>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</si>
  <si>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</si>
  <si>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</si>
  <si>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</si>
  <si>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</si>
  <si>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</si>
  <si>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</si>
  <si>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</si>
  <si>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</si>
  <si>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</si>
  <si>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</si>
  <si>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</si>
  <si>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</si>
  <si>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</si>
  <si>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</si>
  <si>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</si>
  <si>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</si>
  <si>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</si>
  <si>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</si>
  <si>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</si>
  <si>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</si>
  <si>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</si>
  <si>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</si>
  <si>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</si>
  <si>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</si>
  <si>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</si>
  <si>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</si>
  <si>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</si>
  <si>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</si>
  <si>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</si>
  <si>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</si>
  <si>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</si>
  <si>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</si>
  <si>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</si>
  <si>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</si>
  <si>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</si>
  <si>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</si>
  <si>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</si>
  <si>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</si>
  <si>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</si>
  <si>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</si>
  <si>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</si>
  <si>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</si>
  <si>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</si>
  <si>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</si>
  <si>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</si>
  <si>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</si>
  <si>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</si>
  <si>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</si>
  <si>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</si>
  <si>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</si>
  <si>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</si>
  <si>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</si>
  <si>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</si>
  <si>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</si>
  <si>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</si>
  <si>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</si>
  <si>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</si>
  <si>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</si>
  <si>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</si>
  <si>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</si>
  <si>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</si>
  <si>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</si>
  <si>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</si>
  <si>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</si>
  <si>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</si>
  <si>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</si>
  <si>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</si>
  <si>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</si>
  <si>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</si>
  <si>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</si>
  <si>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</si>
  <si>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</si>
  <si>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</si>
  <si>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</si>
  <si>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</si>
  <si>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</si>
  <si>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</si>
  <si>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</si>
  <si>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</si>
  <si>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</si>
  <si>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</si>
  <si>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</si>
  <si>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</si>
  <si>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</si>
  <si>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</si>
  <si>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</si>
  <si>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</si>
  <si>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</si>
  <si>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</si>
  <si>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</si>
  <si>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</si>
  <si>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</si>
  <si>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</si>
  <si>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</si>
  <si>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</si>
  <si>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</si>
  <si>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</si>
  <si>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</si>
  <si>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</si>
  <si>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</si>
  <si>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</si>
  <si>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</si>
  <si>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</si>
  <si>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</si>
  <si>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</si>
  <si>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</si>
  <si>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</si>
  <si>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</si>
  <si>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</si>
  <si>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</si>
  <si>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</si>
  <si>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</si>
  <si>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</si>
  <si>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</si>
  <si>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</si>
  <si>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</si>
  <si>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</si>
  <si>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</si>
  <si>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</si>
  <si>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</si>
  <si>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</si>
  <si>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</si>
  <si>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</si>
  <si>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</si>
  <si>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</si>
  <si>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</si>
  <si>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</si>
  <si>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</si>
  <si>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</si>
  <si>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</si>
  <si>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</si>
  <si>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</si>
  <si>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</si>
  <si>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</si>
  <si>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</si>
  <si>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</si>
  <si>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</si>
  <si>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</si>
  <si>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</si>
  <si>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</si>
  <si>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</si>
  <si>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</si>
  <si>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</si>
  <si>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</si>
  <si>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</si>
  <si>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</si>
  <si>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</si>
  <si>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</si>
  <si>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</si>
  <si>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</si>
  <si>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</si>
  <si>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</si>
  <si>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</si>
  <si>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</si>
  <si>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</si>
  <si>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</si>
  <si>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</si>
  <si>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</si>
  <si>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</si>
  <si>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</si>
  <si>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</si>
  <si>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</si>
  <si>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</si>
  <si>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</si>
  <si>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</si>
  <si>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</si>
  <si>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</si>
  <si>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</si>
  <si>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</si>
  <si>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</si>
  <si>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</si>
  <si>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</si>
  <si>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</si>
  <si>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</si>
  <si>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</si>
  <si>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</si>
  <si>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</si>
  <si>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</si>
  <si>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</si>
  <si>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</si>
  <si>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</si>
  <si>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</si>
  <si>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</si>
  <si>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</si>
  <si>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</si>
  <si>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</si>
  <si>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</si>
  <si>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</si>
  <si>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</si>
  <si>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</si>
  <si>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</si>
  <si>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</si>
  <si>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</si>
  <si>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</si>
  <si>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</si>
  <si>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</si>
  <si>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</si>
  <si>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</si>
  <si>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</si>
  <si>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</si>
  <si>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</si>
  <si>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</si>
  <si>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</si>
  <si>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</si>
  <si>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</si>
  <si>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</si>
  <si>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</si>
  <si>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</si>
  <si>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</si>
  <si>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</si>
  <si>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</si>
  <si>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</si>
  <si>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</si>
  <si>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</si>
  <si>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</si>
  <si>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</si>
  <si>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</si>
  <si>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</si>
  <si>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</si>
  <si>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</si>
  <si>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</si>
  <si>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</si>
  <si>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</si>
  <si>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</si>
  <si>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</si>
  <si>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</si>
  <si>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</si>
  <si>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</si>
  <si>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</si>
  <si>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</si>
  <si>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</si>
  <si>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</si>
  <si>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</si>
  <si>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</si>
  <si>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</si>
  <si>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</si>
  <si>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</si>
  <si>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</si>
  <si>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</si>
  <si>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</si>
  <si>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</si>
  <si>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</si>
  <si>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</si>
  <si>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</si>
  <si>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</si>
  <si>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</si>
  <si>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</si>
  <si>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</si>
  <si>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</si>
  <si>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</si>
  <si>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</si>
  <si>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</si>
  <si>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</si>
  <si>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</si>
  <si>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</si>
  <si>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</si>
  <si>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</si>
  <si>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</si>
  <si>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</si>
  <si>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</si>
  <si>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</si>
  <si>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</si>
  <si>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</si>
  <si>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</si>
  <si>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</si>
  <si>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</si>
  <si>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</si>
  <si>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</si>
  <si>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</si>
  <si>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</si>
  <si>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</si>
  <si>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</si>
  <si>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</si>
  <si>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</si>
  <si>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</si>
  <si>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</si>
  <si>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</si>
  <si>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</si>
  <si>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</si>
  <si>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</si>
  <si>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</si>
  <si>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</si>
  <si>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</si>
  <si>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</si>
  <si>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</si>
  <si>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</si>
  <si>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</si>
  <si>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</si>
  <si>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</si>
  <si>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</si>
  <si>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</si>
  <si>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</si>
  <si>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</si>
  <si>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</si>
  <si>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</si>
  <si>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</si>
  <si>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</si>
  <si>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</si>
  <si>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</si>
  <si>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</si>
  <si>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</si>
  <si>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</si>
  <si>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</si>
  <si>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</si>
  <si>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</si>
  <si>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</si>
  <si>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</si>
  <si>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</si>
  <si>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</si>
  <si>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</si>
  <si>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</si>
  <si>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</si>
  <si>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</si>
  <si>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</si>
  <si>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</si>
  <si>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</si>
  <si>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</si>
  <si>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</si>
  <si>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</si>
  <si>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</si>
  <si>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</si>
  <si>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</si>
  <si>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</si>
  <si>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</si>
  <si>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</si>
  <si>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</si>
  <si>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</si>
  <si>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</si>
  <si>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</si>
  <si>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</si>
  <si>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</si>
  <si>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</si>
  <si>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</si>
  <si>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</si>
  <si>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</si>
  <si>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</si>
  <si>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</si>
  <si>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</si>
  <si>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</si>
  <si>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</si>
  <si>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</si>
  <si>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</si>
  <si>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</si>
  <si>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</si>
  <si>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</si>
  <si>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</si>
  <si>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</si>
  <si>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</si>
  <si>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</si>
  <si>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</si>
  <si>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</si>
  <si>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</si>
  <si>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</si>
  <si>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</si>
  <si>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</si>
  <si>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</si>
  <si>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</si>
  <si>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</si>
  <si>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</si>
  <si>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</si>
  <si>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</si>
  <si>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</si>
  <si>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</si>
  <si>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</si>
  <si>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</si>
  <si>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</si>
  <si>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</si>
  <si>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</si>
  <si>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</si>
  <si>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</si>
  <si>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</si>
  <si>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</si>
  <si>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</si>
  <si>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</si>
  <si>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</si>
  <si>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</si>
  <si>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</si>
  <si>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</si>
  <si>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</si>
  <si>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</si>
  <si>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</si>
  <si>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</si>
  <si>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</si>
  <si>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</si>
  <si>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</si>
  <si>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</si>
  <si>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</si>
  <si>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</si>
  <si>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</si>
  <si>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</si>
  <si>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</si>
  <si>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</si>
  <si>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</si>
  <si>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</si>
  <si>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</si>
  <si>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</si>
  <si>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</si>
  <si>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</si>
  <si>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</si>
  <si>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</si>
  <si>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</si>
  <si>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</si>
  <si>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</si>
  <si>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</si>
  <si>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</si>
  <si>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</si>
  <si>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</si>
  <si>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</si>
  <si>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</si>
  <si>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</si>
  <si>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</si>
  <si>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</si>
  <si>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</si>
  <si>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</si>
  <si>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</si>
  <si>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</si>
  <si>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</si>
  <si>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</si>
  <si>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</si>
  <si>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</si>
  <si>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</si>
  <si>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</si>
  <si>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</si>
  <si>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</si>
  <si>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</si>
  <si>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</si>
  <si>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</si>
  <si>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</si>
  <si>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</si>
  <si>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</si>
  <si>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</si>
  <si>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</si>
  <si>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</si>
  <si>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</si>
  <si>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</si>
  <si>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</si>
  <si>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</si>
  <si>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</si>
  <si>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</si>
  <si>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</si>
  <si>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</si>
  <si>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</si>
  <si>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</si>
  <si>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</si>
  <si>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</si>
  <si>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</si>
  <si>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</si>
  <si>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</si>
  <si>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</si>
  <si>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</si>
  <si>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</si>
  <si>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</si>
  <si>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</si>
  <si>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</si>
  <si>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</si>
  <si>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</si>
  <si>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</si>
  <si>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</si>
  <si>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</si>
  <si>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</si>
  <si>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</si>
  <si>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</si>
  <si>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</si>
  <si>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</si>
  <si>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</si>
  <si>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</si>
  <si>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</si>
  <si>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</si>
  <si>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</si>
  <si>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</si>
  <si>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</si>
  <si>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</si>
  <si>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</si>
  <si>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</si>
  <si>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</si>
  <si>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</si>
  <si>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</si>
  <si>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</si>
  <si>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</si>
  <si>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</si>
  <si>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</si>
  <si>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</si>
  <si>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</si>
  <si>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</si>
  <si>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</si>
  <si>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</si>
  <si>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</si>
  <si>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</si>
  <si>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</si>
  <si>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</si>
  <si>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</si>
  <si>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</si>
  <si>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</si>
  <si>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</si>
  <si>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</si>
  <si>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</si>
  <si>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</si>
  <si>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</si>
  <si>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</si>
  <si>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</si>
  <si>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</si>
  <si>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</si>
  <si>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</si>
  <si>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</si>
  <si>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</si>
  <si>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</si>
  <si>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</si>
  <si>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</si>
  <si>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</si>
  <si>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</si>
  <si>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</si>
  <si>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</si>
  <si>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</si>
  <si>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</si>
  <si>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</si>
  <si>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</si>
  <si>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</si>
  <si>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</si>
  <si>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</si>
  <si>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</si>
  <si>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</si>
  <si>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</si>
  <si>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</si>
  <si>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</si>
  <si>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</si>
  <si>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</si>
  <si>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</si>
  <si>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</si>
  <si>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</si>
  <si>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</si>
  <si>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</si>
  <si>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</si>
  <si>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</si>
  <si>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</si>
  <si>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</si>
  <si>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</si>
  <si>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</si>
  <si>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</si>
  <si>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</si>
  <si>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</si>
  <si>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</si>
  <si>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</si>
  <si>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</si>
  <si>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</si>
  <si>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</si>
  <si>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</si>
  <si>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</si>
  <si>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</si>
  <si>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</si>
  <si>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</si>
  <si>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</si>
  <si>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</si>
  <si>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</si>
  <si>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</si>
  <si>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</si>
  <si>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</si>
  <si>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</si>
  <si>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</si>
  <si>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</si>
  <si>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</si>
  <si>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</si>
  <si>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</si>
  <si>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</si>
  <si>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</si>
  <si>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</si>
  <si>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</si>
  <si>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</si>
  <si>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</si>
  <si>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</si>
  <si>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</si>
  <si>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</si>
  <si>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</si>
  <si>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</si>
  <si>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</si>
  <si>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</si>
  <si>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</si>
  <si>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</si>
  <si>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</si>
  <si>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</si>
  <si>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</si>
  <si>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</si>
  <si>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</si>
  <si>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</si>
  <si>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</si>
  <si>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</si>
  <si>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</si>
  <si>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</si>
  <si>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</si>
  <si>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</si>
  <si>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</si>
  <si>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</si>
  <si>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</si>
  <si>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</si>
  <si>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</si>
  <si>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</si>
  <si>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</si>
  <si>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</si>
  <si>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</si>
  <si>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</si>
  <si>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</si>
  <si>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</si>
  <si>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</si>
  <si>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</si>
  <si>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</si>
  <si>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</si>
  <si>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</si>
  <si>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</si>
  <si>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</si>
  <si>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</si>
  <si>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</si>
  <si>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</si>
  <si>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</si>
  <si>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</si>
  <si>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</si>
  <si>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</si>
  <si>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</si>
  <si>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</si>
  <si>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</si>
  <si>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</si>
  <si>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</si>
  <si>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</si>
  <si>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</si>
  <si>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</si>
  <si>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</si>
  <si>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</si>
  <si>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</si>
  <si>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</si>
  <si>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</si>
  <si>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</si>
  <si>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</si>
  <si>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</si>
  <si>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</si>
  <si>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</si>
  <si>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</si>
  <si>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</si>
  <si>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</si>
  <si>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</si>
  <si>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</si>
  <si>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</si>
  <si>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</si>
  <si>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</si>
  <si>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</si>
  <si>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</si>
  <si>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</si>
  <si>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</si>
  <si>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</si>
  <si>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</si>
  <si>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</si>
  <si>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</si>
  <si>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</si>
  <si>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</si>
  <si>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</si>
  <si>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</si>
  <si>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</si>
  <si>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</si>
  <si>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</si>
  <si>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</si>
  <si>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</si>
  <si>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</si>
  <si>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</si>
  <si>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</si>
  <si>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</si>
  <si>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</si>
  <si>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</si>
  <si>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</si>
  <si>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</si>
  <si>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Fremont Warm Springs Pacific Associates, LP</t>
  </si>
  <si>
    <t>Warm Springs Apartments</t>
  </si>
  <si>
    <t>Eagle</t>
  </si>
  <si>
    <t>, Idaho</t>
  </si>
  <si>
    <t>Caleb Roope</t>
  </si>
  <si>
    <t>May</t>
  </si>
  <si>
    <t>President &amp; CEO, PWC, Inc., Mgr of GP</t>
  </si>
  <si>
    <t>City of Fremont</t>
  </si>
  <si>
    <t>Karena Shackelford</t>
  </si>
  <si>
    <t>3300 Capitol Avenue, Building A</t>
  </si>
  <si>
    <t>Fremont</t>
  </si>
  <si>
    <t>510.284.4000</t>
  </si>
  <si>
    <t>510.284.4001</t>
  </si>
  <si>
    <t>cof@fremont.gov</t>
  </si>
  <si>
    <t>45021 Warm Springs Boulevard</t>
  </si>
  <si>
    <t>519-1310-034-15</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</si>
  <si>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</si>
  <si>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</si>
  <si>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</si>
  <si>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</si>
  <si>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</si>
  <si>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</si>
  <si>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</si>
  <si>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</si>
  <si>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</si>
  <si>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</si>
  <si>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</si>
  <si>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</si>
  <si>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</si>
  <si>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</si>
  <si>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</si>
  <si>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</si>
  <si>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</si>
  <si>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Maracor Holdings, LLC</t>
  </si>
  <si>
    <t>61 Moraga Way, Suite 4</t>
  </si>
  <si>
    <t>Orinda</t>
  </si>
  <si>
    <t>Bradford S. Dickason</t>
  </si>
  <si>
    <t>bdickason@maracordev.com</t>
  </si>
  <si>
    <t>Maracor Development, Inc.</t>
  </si>
  <si>
    <t>415.295.4501</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</si>
  <si>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</si>
  <si>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</si>
  <si>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</si>
  <si>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</si>
  <si>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</si>
  <si>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</si>
  <si>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</si>
  <si>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</si>
  <si>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</si>
  <si>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</si>
  <si>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</si>
  <si>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</si>
  <si>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</si>
  <si>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</si>
  <si>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</si>
  <si>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</si>
  <si>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</si>
  <si>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</si>
  <si>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</si>
  <si>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</si>
  <si>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</si>
  <si>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Redwood Energy</t>
  </si>
  <si>
    <t>4487 N. Dresden Place, Ste. 101</t>
  </si>
  <si>
    <t>1887 Q Street</t>
  </si>
  <si>
    <t>Arcata, CA 95521</t>
  </si>
  <si>
    <t>Marshall Bratton</t>
  </si>
  <si>
    <t>Sean Armstrong</t>
  </si>
  <si>
    <t>208.375.6490</t>
  </si>
  <si>
    <t>707.826.1450</t>
  </si>
  <si>
    <t>208.375.6593</t>
  </si>
  <si>
    <t>marshall@gbbaccounting.com</t>
  </si>
  <si>
    <t>sean@redwoodenergy.net</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</si>
  <si>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</si>
  <si>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</si>
  <si>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</si>
  <si>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</si>
  <si>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</si>
  <si>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</si>
  <si>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</si>
  <si>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</si>
  <si>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</si>
  <si>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</si>
  <si>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</si>
  <si>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</si>
  <si>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</si>
  <si>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</si>
  <si>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</si>
  <si>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</si>
  <si>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</si>
  <si>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</si>
  <si>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</si>
  <si>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</si>
  <si>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</si>
  <si>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</si>
  <si>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</si>
  <si>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</si>
  <si>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</si>
  <si>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</si>
  <si>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</si>
  <si>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</si>
  <si>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</si>
  <si>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President &amp; CEO</t>
  </si>
  <si>
    <t>Safehold Inc.</t>
  </si>
  <si>
    <t>Secured by Leasehold Interest</t>
  </si>
  <si>
    <t>One (1) six-story elevator-serviced residential building (five residential stories over one-level of podium parking).</t>
  </si>
  <si>
    <t>Common areas / community space included within residential building.</t>
  </si>
  <si>
    <t>Sensory impaired pursuant to CBC Chapter 11B</t>
  </si>
  <si>
    <t>30% AMI to 80% AMI</t>
  </si>
  <si>
    <t>None</t>
  </si>
  <si>
    <t>Warm Springs / South Fremont Community Plan</t>
  </si>
  <si>
    <t>WSI-8 (Warm Springs Innovation District) / No Maximum Density</t>
  </si>
  <si>
    <t>City of Fremont - Affordable Housing Loan</t>
  </si>
  <si>
    <t>Safehold Inc. - Tenant Improvement Allowance</t>
  </si>
  <si>
    <t>Citibank, N.A</t>
  </si>
  <si>
    <t>Fixed</t>
  </si>
  <si>
    <t>Bonneville</t>
  </si>
  <si>
    <t>Fremont Warm Springs Pacific Assoc.</t>
  </si>
  <si>
    <t>325 E. Hillcrest Drive, Suite 160</t>
  </si>
  <si>
    <t>Thousand Oaks, CA 91360</t>
  </si>
  <si>
    <t>Mike Hemmens</t>
  </si>
  <si>
    <t>805.557.0933</t>
  </si>
  <si>
    <t>Construction Loan (T.E. Bonds)</t>
  </si>
  <si>
    <t>111 Main Street, Suite 1600</t>
  </si>
  <si>
    <t>Salt Lake City, UT 84111</t>
  </si>
  <si>
    <t>Brent H. Peterson</t>
  </si>
  <si>
    <t>801.323.1000</t>
  </si>
  <si>
    <t>39550 Liberty Street</t>
  </si>
  <si>
    <t>Fremont, CA 94537</t>
  </si>
  <si>
    <t>Sharon Jones</t>
  </si>
  <si>
    <t>510.494.4536</t>
  </si>
  <si>
    <t>City Affordable Housing Loan</t>
  </si>
  <si>
    <t>Deferred Costs</t>
  </si>
  <si>
    <t>Steve Wylder</t>
  </si>
  <si>
    <t>310.315.5566</t>
  </si>
  <si>
    <t>LIHTC Equity</t>
  </si>
  <si>
    <t>Citibank, N.A.</t>
  </si>
  <si>
    <t>Permanent Loan (T.E. Bonds)</t>
  </si>
  <si>
    <t>Permanent Loan (Recycled T.E. Bonds)</t>
  </si>
  <si>
    <t>Ground Lease - TI Allowance</t>
  </si>
  <si>
    <t>Application Fees</t>
  </si>
  <si>
    <t>Air Conditioning</t>
  </si>
  <si>
    <t>California Utility Allowance Calculator (CUAC) (*No tenant allowance for water heating - central electric boiler)</t>
  </si>
  <si>
    <t>Telephone, Office Supplies &amp; Expenses</t>
  </si>
  <si>
    <t>Benefits, Payroll Taxes, Workers Comp</t>
  </si>
  <si>
    <t>Building &amp; Cleaning Supplies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</si>
  <si>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</si>
  <si>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</si>
  <si>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</si>
  <si>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</si>
  <si>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</si>
  <si>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</si>
  <si>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</si>
  <si>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Provided</t>
  </si>
  <si>
    <t>Construction to Perm Loan (Recycled T.E. Bonds)</t>
  </si>
  <si>
    <t>Annual Issuer &amp; Trustee Fees:</t>
  </si>
  <si>
    <t>Recycled Tax-Exempt Bonds</t>
  </si>
  <si>
    <t>Construction Period Ground Rent</t>
  </si>
  <si>
    <t>Annual Ground Lease Payment:</t>
  </si>
  <si>
    <t>Safehold Inc. - Ground Lease Tenant Improvement Allowance</t>
  </si>
  <si>
    <t>Design Review</t>
  </si>
  <si>
    <t>Inner City Infill Site</t>
  </si>
  <si>
    <t>Minimum 3 stories / 240' maximum</t>
  </si>
  <si>
    <t>11601 Wilshire Blvd., Suite 1680</t>
  </si>
  <si>
    <t>Los Angeles, CA 90025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</si>
</sst>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509</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1257</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120" sqref="K120"/>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7" t="s">
        <v>1584</v>
      </c>
      <c r="B1" s="2667"/>
      <c r="C1" s="2667"/>
      <c r="D1" s="2667"/>
      <c r="E1" s="2667"/>
      <c r="F1" s="2667"/>
      <c r="G1" s="2667"/>
      <c r="H1" s="2667"/>
      <c r="I1" s="2667"/>
      <c r="J1" s="2667"/>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63137164.000000007</v>
      </c>
      <c r="I3" s="1105"/>
    </row>
    <row r="4" spans="1:13" s="1051" customFormat="1" ht="20.149999999999999" customHeight="1">
      <c r="B4" s="1094"/>
      <c r="D4" s="1108"/>
      <c r="F4" s="1092" t="s">
        <v>1991</v>
      </c>
      <c r="G4" s="1091" t="s">
        <v>1990</v>
      </c>
      <c r="H4" s="1093">
        <f>I18</f>
        <v>69104575.163398698</v>
      </c>
      <c r="I4" s="1095"/>
      <c r="K4" s="1055"/>
    </row>
    <row r="5" spans="1:13" s="1051" customFormat="1" ht="20.149999999999999" customHeight="1" thickBot="1">
      <c r="B5" s="1096"/>
      <c r="C5" s="1097"/>
      <c r="D5" s="1109"/>
      <c r="E5" s="1098"/>
      <c r="F5" s="1109" t="s">
        <v>1941</v>
      </c>
      <c r="G5" s="1110"/>
      <c r="H5" s="1106">
        <f>IFERROR(H3/H4,0)</f>
        <v>0.91364665582143201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1939</v>
      </c>
      <c r="C8" s="2671"/>
      <c r="D8" s="2671"/>
      <c r="E8" s="2672"/>
      <c r="G8" s="2647" t="s">
        <v>1940</v>
      </c>
      <c r="H8" s="2648"/>
      <c r="I8" s="2649"/>
      <c r="K8" s="1057"/>
    </row>
    <row r="9" spans="1:13" ht="15" customHeight="1">
      <c r="A9" s="1046"/>
      <c r="B9" s="2668" t="s">
        <v>1973</v>
      </c>
      <c r="C9" s="2668"/>
      <c r="D9" s="2668"/>
      <c r="E9" s="1059">
        <f>G33</f>
        <v>14300000</v>
      </c>
      <c r="G9" s="2660" t="s">
        <v>1971</v>
      </c>
      <c r="H9" s="2660"/>
      <c r="I9" s="1060">
        <f>SUMIF(Application!M554:M565,"Loan, Tax-Exempt",Application!AM554:AM565)</f>
        <v>80000000</v>
      </c>
      <c r="K9" s="1061"/>
      <c r="M9" s="1062"/>
    </row>
    <row r="10" spans="1:13" ht="15" customHeight="1" thickBot="1">
      <c r="A10" s="1046"/>
      <c r="B10" s="2668" t="s">
        <v>1974</v>
      </c>
      <c r="C10" s="2668"/>
      <c r="D10" s="2668"/>
      <c r="E10" s="1060">
        <f>G47</f>
        <v>23407164.000000007</v>
      </c>
      <c r="G10" s="2674" t="s">
        <v>1942</v>
      </c>
      <c r="H10" s="2674"/>
      <c r="I10" s="1140">
        <f>'Basis &amp; Credits'!AB78</f>
        <v>0</v>
      </c>
      <c r="M10" s="1062"/>
    </row>
    <row r="11" spans="1:13" ht="15" customHeight="1">
      <c r="A11" s="1046"/>
      <c r="B11" s="2661" t="s">
        <v>2263</v>
      </c>
      <c r="C11" s="2662"/>
      <c r="D11" s="2663"/>
      <c r="E11" s="1060">
        <f>SUM(E12,E13)</f>
        <v>1120000</v>
      </c>
      <c r="G11" s="2659" t="s">
        <v>1982</v>
      </c>
      <c r="H11" s="2659"/>
      <c r="I11" s="1139">
        <f>I9+I10</f>
        <v>80000000</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1120000</v>
      </c>
      <c r="G13" s="2647" t="s">
        <v>2005</v>
      </c>
      <c r="H13" s="2648"/>
      <c r="I13" s="2649"/>
      <c r="M13" s="1062"/>
    </row>
    <row r="14" spans="1:13" ht="15" customHeight="1">
      <c r="A14" s="1049"/>
      <c r="B14" s="2661" t="s">
        <v>2264</v>
      </c>
      <c r="C14" s="2662"/>
      <c r="D14" s="2663"/>
      <c r="E14" s="1167">
        <f>MAX(E15,E16)+E17</f>
        <v>24310000</v>
      </c>
      <c r="G14" s="2660" t="s">
        <v>139</v>
      </c>
      <c r="H14" s="2660"/>
      <c r="I14" s="1064">
        <f>15%*(AND(G120="Yes",G122&lt;&gt;""))</f>
        <v>0</v>
      </c>
      <c r="M14" s="1062"/>
    </row>
    <row r="15" spans="1:13" ht="15" customHeight="1">
      <c r="A15" s="1049"/>
      <c r="B15" s="2644" t="s">
        <v>2270</v>
      </c>
      <c r="C15" s="2645"/>
      <c r="D15" s="2646"/>
      <c r="E15" s="1165">
        <f>G80</f>
        <v>5720000</v>
      </c>
      <c r="G15" s="1137" t="s">
        <v>1983</v>
      </c>
      <c r="H15" s="1137"/>
      <c r="I15" s="1064">
        <f>IF(Application!AJ1032&gt;0,10%,IF(Application!AJ1036&gt;0,5%,0))</f>
        <v>0.05</v>
      </c>
      <c r="M15" s="1062"/>
    </row>
    <row r="16" spans="1:13" ht="15" customHeight="1">
      <c r="A16" s="1049"/>
      <c r="B16" s="2644" t="s">
        <v>2269</v>
      </c>
      <c r="C16" s="2645"/>
      <c r="D16" s="2646"/>
      <c r="E16" s="1165">
        <f>G90</f>
        <v>0</v>
      </c>
      <c r="G16" s="2660" t="s">
        <v>1984</v>
      </c>
      <c r="H16" s="2660"/>
      <c r="I16" s="1064">
        <f>G132</f>
        <v>8.6192810457516339E-2</v>
      </c>
    </row>
    <row r="17" spans="1:21" ht="15" customHeight="1" thickBot="1">
      <c r="A17" s="1049"/>
      <c r="B17" s="2644" t="s">
        <v>2268</v>
      </c>
      <c r="C17" s="2645"/>
      <c r="D17" s="2646"/>
      <c r="E17" s="1165">
        <f>G115</f>
        <v>18590000</v>
      </c>
      <c r="G17" s="2660" t="s">
        <v>2278</v>
      </c>
      <c r="H17" s="2660"/>
      <c r="I17" s="1064">
        <f>IF(AND(G139="Yes",OR(G136,G137)),IF(G143&gt;15%,15%,G143),0)</f>
        <v>0</v>
      </c>
    </row>
    <row r="18" spans="1:21" ht="15" customHeight="1">
      <c r="A18" s="1046"/>
      <c r="B18" s="2673" t="s">
        <v>1938</v>
      </c>
      <c r="C18" s="2673"/>
      <c r="D18" s="2673"/>
      <c r="E18" s="1111">
        <f>SUM(E9:E11,E14)</f>
        <v>63137164.000000007</v>
      </c>
      <c r="G18" s="1138" t="s">
        <v>1972</v>
      </c>
      <c r="H18" s="1138"/>
      <c r="I18" s="1112">
        <f>I11-((I11*I14)+(I11*I15)+(I11*I16)+(I11*I17))</f>
        <v>69104575.163398698</v>
      </c>
      <c r="M18" s="1065">
        <f>SUM(Cdlac[Quantity])</f>
        <v>239</v>
      </c>
      <c r="O18" s="1084" t="s">
        <v>582</v>
      </c>
      <c r="P18" s="1044">
        <f>MATCH(Application!T189,Application!CB160:CB217,0)</f>
        <v>1</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52</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1986</v>
      </c>
      <c r="D22" s="2651" t="s">
        <v>1987</v>
      </c>
      <c r="E22" s="2651" t="s">
        <v>1988</v>
      </c>
      <c r="F22" s="2651" t="s">
        <v>2609</v>
      </c>
      <c r="G22" s="2651" t="s">
        <v>1985</v>
      </c>
      <c r="H22" s="1070"/>
      <c r="I22" s="1069"/>
      <c r="L22" s="1044">
        <f>IFERROR(MIN(4,MATCH(Application!B720,UnitSizes,0)-1),"")</f>
        <v>1</v>
      </c>
      <c r="M22" s="1065">
        <f>Application!G720</f>
        <v>2</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58</v>
      </c>
      <c r="N23" s="1071">
        <f>Application!AC721</f>
        <v>0.7</v>
      </c>
      <c r="O23" s="1071">
        <f>IF(Cdlac[[#This Row],[Quantity]]&gt;0,IF(Cdlac[[#This Row],[Federal]],30%,IF(AND(OR(NOT($G$38),$G$38=""),$G$43),40%,Cdlac[[#This Row],[iAMI]])),"")</f>
        <v>0.7</v>
      </c>
      <c r="P23" s="1065" cm="1">
        <f t="array" ref="P23">IF(Cdlac[[#This Row],[Quantity]]&gt;0,INDEX(TcacRents,$P$18,Cdlac[[#This Row],[Bedrooms]]+1)*Cdlac[[#This Row],[AMI]],"")</f>
        <v>2097.1999999999998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103.80000000000018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1078.8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114</v>
      </c>
      <c r="F25" s="1072">
        <f>E25</f>
        <v>114</v>
      </c>
      <c r="G25" s="1072">
        <f>D25*F25</f>
        <v>114</v>
      </c>
      <c r="L25" s="1044">
        <f>IFERROR(MIN(4,MATCH(Application!B723,UnitSizes,0)-1),"")</f>
        <v>2</v>
      </c>
      <c r="M25" s="1065">
        <f>Application!G723</f>
        <v>2</v>
      </c>
      <c r="N25" s="1071">
        <f>Application!AC723</f>
        <v>0.5</v>
      </c>
      <c r="O25" s="1071">
        <f>IF(Cdlac[[#This Row],[Quantity]]&gt;0,IF(Cdlac[[#This Row],[Federal]],30%,IF(AND(OR(NOT($G$38),$G$38=""),$G$43),40%,Cdlac[[#This Row],[iAMI]])),"")</f>
        <v>0.5</v>
      </c>
      <c r="P25" s="1065" cm="1">
        <f t="array" ref="P25">IF(Cdlac[[#This Row],[Quantity]]&gt;0,INDEX(TcacRents,$P$18,Cdlac[[#This Row],[Bedrooms]]+1)*Cdlac[[#This Row],[AMI]],"")</f>
        <v>1798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884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62</v>
      </c>
      <c r="F26" s="1075">
        <f>SUM(E26:E28)-SUM(F27:F28)</f>
        <v>62</v>
      </c>
      <c r="G26" s="1072">
        <f>D26*F26</f>
        <v>77.5</v>
      </c>
      <c r="H26" s="1074"/>
      <c r="I26" s="1074"/>
      <c r="L26" s="1044">
        <f>IFERROR(MIN(4,MATCH(Application!B724,UnitSizes,0)-1),"")</f>
        <v>2</v>
      </c>
      <c r="M26" s="1065">
        <f>Application!G724</f>
        <v>2</v>
      </c>
      <c r="N26" s="1071">
        <f>Application!AC724</f>
        <v>0.6</v>
      </c>
      <c r="O26" s="1071">
        <f>IF(Cdlac[[#This Row],[Quantity]]&gt;0,IF(Cdlac[[#This Row],[Federal]],30%,IF(AND(OR(NOT($G$38),$G$38=""),$G$43),40%,Cdlac[[#This Row],[iAMI]])),"")</f>
        <v>0.6</v>
      </c>
      <c r="P26" s="1065" cm="1">
        <f t="array" ref="P26">IF(Cdlac[[#This Row],[Quantity]]&gt;0,INDEX(TcacRents,$P$18,Cdlac[[#This Row],[Bedrooms]]+1)*Cdlac[[#This Row],[AMI]],"")</f>
        <v>2157.6</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524.40000000000009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63</v>
      </c>
      <c r="F27" s="1075">
        <f>MIN(E27,ROUNDDOWN(E29*30%,0))</f>
        <v>63</v>
      </c>
      <c r="G27" s="1072">
        <f>D27*F27</f>
        <v>94.5</v>
      </c>
      <c r="H27" s="1074"/>
      <c r="I27" s="1074"/>
      <c r="L27" s="1044">
        <f>IFERROR(MIN(4,MATCH(Application!B725,UnitSizes,0)-1),"")</f>
        <v>2</v>
      </c>
      <c r="M27" s="1065">
        <f>Application!G725</f>
        <v>56</v>
      </c>
      <c r="N27" s="1071">
        <f>Application!AC725</f>
        <v>0.7</v>
      </c>
      <c r="O27" s="1071">
        <f>IF(Cdlac[[#This Row],[Quantity]]&gt;0,IF(Cdlac[[#This Row],[Federal]],30%,IF(AND(OR(NOT($G$38),$G$38=""),$G$43),40%,Cdlac[[#This Row],[iAMI]])),"")</f>
        <v>0.7</v>
      </c>
      <c r="P27" s="1065" cm="1">
        <f t="array" ref="P27">IF(Cdlac[[#This Row],[Quantity]]&gt;0,INDEX(TcacRents,$P$18,Cdlac[[#This Row],[Bedrooms]]+1)*Cdlac[[#This Row],[AMI]],"")</f>
        <v>2517.1999999999998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164.80000000000018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1246.2</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2185.8000000000002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1585</v>
      </c>
      <c r="D29" s="2654"/>
      <c r="E29" s="1089">
        <f>SUM(E24:E28)</f>
        <v>239</v>
      </c>
      <c r="F29" s="1089">
        <f>SUM(F24:F28)</f>
        <v>239</v>
      </c>
      <c r="G29" s="1090">
        <f>SUMPRODUCT(D24:D28,F24:F28)</f>
        <v>286</v>
      </c>
      <c r="H29" s="1074"/>
      <c r="I29" s="1074"/>
      <c r="L29" s="1044">
        <f>IFERROR(MIN(4,MATCH(Application!B727,UnitSizes,0)-1),"")</f>
        <v>3</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2077</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1355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v>
      </c>
      <c r="N30" s="1071">
        <f>Application!AC728</f>
        <v>0.6</v>
      </c>
      <c r="O30" s="1071">
        <f>IF(Cdlac[[#This Row],[Quantity]]&gt;0,IF(Cdlac[[#This Row],[Federal]],30%,IF(AND(OR(NOT($G$38),$G$38=""),$G$43),40%,Cdlac[[#This Row],[iAMI]])),"")</f>
        <v>0.6</v>
      </c>
      <c r="P30" s="1065" cm="1">
        <f t="array" ref="P30">IF(Cdlac[[#This Row],[Quantity]]&gt;0,INDEX(TcacRents,$P$18,Cdlac[[#This Row],[Bedrooms]]+1)*Cdlac[[#This Row],[AMI]],"")</f>
        <v>2492.4</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939.59999999999991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286</v>
      </c>
      <c r="H31" s="1074"/>
      <c r="I31" s="1074"/>
      <c r="L31" s="1044">
        <f>IFERROR(MIN(4,MATCH(Application!B729,UnitSizes,0)-1),"")</f>
        <v>3</v>
      </c>
      <c r="M31" s="1065">
        <f>Application!G729</f>
        <v>57</v>
      </c>
      <c r="N31" s="1071">
        <f>Application!AC729</f>
        <v>0.7</v>
      </c>
      <c r="O31" s="1071">
        <f>IF(Cdlac[[#This Row],[Quantity]]&gt;0,IF(Cdlac[[#This Row],[Federal]],30%,IF(AND(OR(NOT($G$38),$G$38=""),$G$43),40%,Cdlac[[#This Row],[iAMI]])),"")</f>
        <v>0.7</v>
      </c>
      <c r="P31" s="1065" cm="1">
        <f t="array" ref="P31">IF(Cdlac[[#This Row],[Quantity]]&gt;0,INDEX(TcacRents,$P$18,Cdlac[[#This Row],[Bedrooms]]+1)*Cdlac[[#This Row],[AMI]],"")</f>
        <v>2907.7999999999997</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524.20000000000027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14300000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0.598744769874477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130039.80000000005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23407164.000000007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56</v>
      </c>
    </row>
    <row r="61" spans="2:21" ht="15" customHeight="1">
      <c r="E61" s="1117" t="s">
        <v>1994</v>
      </c>
      <c r="G61" s="1079">
        <f>ROUNDDOWN(E29*50%,0)</f>
        <v>119</v>
      </c>
    </row>
    <row r="62" spans="2:21" ht="15" customHeight="1">
      <c r="E62" s="1117"/>
      <c r="G62" s="1079"/>
    </row>
    <row r="63" spans="2:21" ht="15" customHeight="1">
      <c r="E63" s="1117" t="s">
        <v>1954</v>
      </c>
      <c r="G63" s="1114">
        <f>MIN(G60:G61)</f>
        <v>56</v>
      </c>
    </row>
    <row r="64" spans="2:21" ht="15" customHeight="1">
      <c r="E64" s="1117" t="s">
        <v>1944</v>
      </c>
      <c r="F64" s="1113" t="s">
        <v>1992</v>
      </c>
      <c r="G64" s="1124">
        <v>20000</v>
      </c>
    </row>
    <row r="65" spans="2:14" ht="15" customHeight="1">
      <c r="E65" s="1118" t="s">
        <v>1976</v>
      </c>
      <c r="F65" s="1046"/>
      <c r="G65" s="1123">
        <f>G63*G64</f>
        <v>1120000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 Resource</v>
      </c>
      <c r="L72" s="2664" t="s">
        <v>1969</v>
      </c>
      <c r="M72" s="2665"/>
      <c r="N72" s="1131">
        <v>30000</v>
      </c>
    </row>
    <row r="73" spans="2:14" ht="15" customHeight="1">
      <c r="C73" s="2666" t="s">
        <v>2262</v>
      </c>
      <c r="D73" s="2666"/>
      <c r="E73" s="2666"/>
      <c r="F73" s="2666"/>
      <c r="G73" s="1043" t="s">
        <v>668</v>
      </c>
      <c r="L73" s="2675" t="s">
        <v>1937</v>
      </c>
      <c r="M73" s="2676"/>
      <c r="N73" s="1132">
        <v>20000</v>
      </c>
    </row>
    <row r="74" spans="2:14" ht="15" customHeight="1" thickBot="1">
      <c r="C74" s="2666"/>
      <c r="D74" s="2666"/>
      <c r="E74" s="2666"/>
      <c r="F74" s="2666"/>
      <c r="L74" s="2677" t="s">
        <v>1970</v>
      </c>
      <c r="M74" s="2678"/>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286</v>
      </c>
    </row>
    <row r="80" spans="2:14" ht="15" customHeight="1">
      <c r="D80" s="1046"/>
      <c r="E80" s="1118" t="s">
        <v>2267</v>
      </c>
      <c r="F80" s="1046"/>
      <c r="G80" s="1123">
        <f>G79*G78*G76</f>
        <v>5720000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286</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286</v>
      </c>
    </row>
    <row r="97" spans="2:14" ht="15" customHeight="1">
      <c r="E97" s="1118" t="s">
        <v>1961</v>
      </c>
      <c r="F97" s="1046"/>
      <c r="G97" s="1123">
        <f>G94*G95*G96</f>
        <v>8008000</v>
      </c>
      <c r="L97" s="1127" t="str">
        <f>'Points System'!H638</f>
        <v>(i)</v>
      </c>
      <c r="M97" s="2683" t="s">
        <v>1404</v>
      </c>
      <c r="N97" s="2684"/>
    </row>
    <row r="98" spans="2:14" ht="15" customHeight="1">
      <c r="C98" s="1077"/>
      <c r="G98" s="1114"/>
      <c r="L98" s="1128" t="str">
        <f>'Points System'!H650</f>
        <v>N/A</v>
      </c>
      <c r="M98" s="2679" t="s">
        <v>1956</v>
      </c>
      <c r="N98" s="2680"/>
    </row>
    <row r="99" spans="2:14" ht="15" customHeight="1">
      <c r="E99" s="1084" t="s">
        <v>1997</v>
      </c>
      <c r="G99" s="1126">
        <f>COUNTIFS(L97:L104,"(i)")</f>
        <v>3</v>
      </c>
      <c r="L99" s="1128" t="str">
        <f>'Points System'!H685</f>
        <v>(i)</v>
      </c>
      <c r="M99" s="2679" t="s">
        <v>1957</v>
      </c>
      <c r="N99" s="2680"/>
    </row>
    <row r="100" spans="2:14" ht="15" customHeight="1">
      <c r="E100" s="1084" t="s">
        <v>1944</v>
      </c>
      <c r="F100" s="1113" t="s">
        <v>1992</v>
      </c>
      <c r="G100" s="1124">
        <v>4000</v>
      </c>
      <c r="L100" s="1128" t="str">
        <f>IF(OR('Points System'!H709="(ii)",'Points System'!H709="(i)"),"(i)","N/A")</f>
        <v>N/A</v>
      </c>
      <c r="M100" s="2679" t="s">
        <v>1958</v>
      </c>
      <c r="N100" s="2680"/>
    </row>
    <row r="101" spans="2:14" ht="15" customHeight="1">
      <c r="E101" s="1118" t="s">
        <v>1962</v>
      </c>
      <c r="F101" s="1046"/>
      <c r="G101" s="1123">
        <f>G96*G99*G100</f>
        <v>3432000</v>
      </c>
      <c r="L101" s="1129" t="str">
        <f>'Points System'!H723</f>
        <v>N/A</v>
      </c>
      <c r="M101" s="2679" t="s">
        <v>1430</v>
      </c>
      <c r="N101" s="2680"/>
    </row>
    <row r="102" spans="2:14" ht="15" customHeight="1">
      <c r="L102" s="1128" t="str">
        <f>'Points System'!H735</f>
        <v>N/A</v>
      </c>
      <c r="M102" s="2679" t="s">
        <v>1959</v>
      </c>
      <c r="N102" s="2680"/>
    </row>
    <row r="103" spans="2:14" ht="15" customHeight="1">
      <c r="C103" s="1080" t="s">
        <v>1964</v>
      </c>
      <c r="L103" s="1128" t="str">
        <f>'Points System'!H751</f>
        <v>N/A</v>
      </c>
      <c r="M103" s="2679" t="s">
        <v>1960</v>
      </c>
      <c r="N103" s="2680"/>
    </row>
    <row r="104" spans="2:14" ht="15" customHeight="1" thickBot="1">
      <c r="C104" s="1077" t="s">
        <v>1965</v>
      </c>
      <c r="G104" s="1043"/>
      <c r="L104" s="1130" t="str">
        <f>'Points System'!H763</f>
        <v>(i)</v>
      </c>
      <c r="M104" s="2681" t="s">
        <v>1433</v>
      </c>
      <c r="N104" s="2682"/>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286</v>
      </c>
    </row>
    <row r="112" spans="2:14" ht="15" customHeight="1">
      <c r="E112" s="1084" t="s">
        <v>1944</v>
      </c>
      <c r="F112" s="1113" t="s">
        <v>1992</v>
      </c>
      <c r="G112" s="1124">
        <v>25000</v>
      </c>
    </row>
    <row r="113" spans="2:9" ht="15" customHeight="1">
      <c r="E113" s="1118" t="s">
        <v>1963</v>
      </c>
      <c r="F113" s="1046"/>
      <c r="G113" s="1123">
        <f>G109*G112*G96</f>
        <v>7150000</v>
      </c>
    </row>
    <row r="114" spans="2:9" ht="15" customHeight="1">
      <c r="C114" s="1077"/>
      <c r="E114" s="1077"/>
    </row>
    <row r="115" spans="2:9" ht="15" customHeight="1">
      <c r="E115" s="1118" t="s">
        <v>2272</v>
      </c>
      <c r="G115" s="1123">
        <f>G113+G101+G97</f>
        <v>18590000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row>
    <row r="121" spans="2:9" ht="15" customHeight="1"/>
    <row r="122" spans="2:9" ht="15" customHeight="1">
      <c r="C122" s="1044" t="s">
        <v>2229</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2000</v>
      </c>
      <c r="G131" s="1078">
        <f>MEDIAN((Application!CU160:CU217))</f>
        <v>489600</v>
      </c>
    </row>
    <row r="132" spans="2:9">
      <c r="D132" s="1046"/>
      <c r="E132" s="1118" t="s">
        <v>2002</v>
      </c>
      <c r="F132" s="1134"/>
      <c r="G132" s="1135">
        <f>((G130-G131)/G131)*0.25</f>
        <v>8.6192810457516339E-2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12000000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4.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52</v>
      </c>
      <c r="C4" s="1162"/>
      <c r="D4" s="428">
        <f>Application!O718</f>
        <v>860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1459</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1759</v>
      </c>
      <c r="E6" s="429"/>
      <c r="F6" s="1083"/>
      <c r="G6" s="428">
        <f t="shared" si="2"/>
        <v>0</v>
      </c>
      <c r="H6" s="429"/>
      <c r="I6" s="428" t="str">
        <f t="shared" si="0"/>
        <v/>
      </c>
      <c r="J6" s="428" t="str">
        <f t="shared" si="1"/>
        <v/>
      </c>
      <c r="K6" s="204"/>
      <c r="L6" s="305"/>
    </row>
    <row r="7" spans="1:12">
      <c r="A7" s="428" t="str">
        <f>Application!B721</f>
        <v>1 Bedroom</v>
      </c>
      <c r="B7" s="1082">
        <f>Application!G721</f>
        <v>58</v>
      </c>
      <c r="C7" s="1162"/>
      <c r="D7" s="428">
        <f>Application!O721</f>
        <v>2059</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1038</v>
      </c>
      <c r="E8" s="429"/>
      <c r="F8" s="1083"/>
      <c r="G8" s="428">
        <f t="shared" si="2"/>
        <v>0</v>
      </c>
      <c r="H8" s="429"/>
      <c r="I8" s="428" t="str">
        <f t="shared" si="0"/>
        <v/>
      </c>
      <c r="J8" s="428" t="str">
        <f t="shared" si="1"/>
        <v/>
      </c>
      <c r="K8" s="204"/>
      <c r="L8" s="305"/>
    </row>
    <row r="9" spans="1:12">
      <c r="A9" s="428" t="str">
        <f>Application!B723</f>
        <v>2 Bedrooms</v>
      </c>
      <c r="B9" s="1082">
        <f>Application!G723</f>
        <v>2</v>
      </c>
      <c r="C9" s="1162"/>
      <c r="D9" s="428">
        <f>Application!O723</f>
        <v>1757</v>
      </c>
      <c r="E9" s="429"/>
      <c r="F9" s="1083"/>
      <c r="G9" s="428">
        <f t="shared" si="2"/>
        <v>0</v>
      </c>
      <c r="H9" s="429"/>
      <c r="I9" s="428" t="str">
        <f t="shared" si="0"/>
        <v/>
      </c>
      <c r="J9" s="428" t="str">
        <f t="shared" si="1"/>
        <v/>
      </c>
      <c r="K9" s="204"/>
      <c r="L9" s="305"/>
    </row>
    <row r="10" spans="1:12">
      <c r="A10" s="428" t="str">
        <f>Application!B724</f>
        <v>2 Bedrooms</v>
      </c>
      <c r="B10" s="1082">
        <f>Application!G724</f>
        <v>2</v>
      </c>
      <c r="C10" s="1162"/>
      <c r="D10" s="428">
        <f>Application!O724</f>
        <v>2117</v>
      </c>
      <c r="E10" s="429"/>
      <c r="F10" s="1083"/>
      <c r="G10" s="428">
        <f t="shared" si="2"/>
        <v>0</v>
      </c>
      <c r="H10" s="429"/>
      <c r="I10" s="428" t="str">
        <f t="shared" si="0"/>
        <v/>
      </c>
      <c r="J10" s="428" t="str">
        <f t="shared" si="1"/>
        <v/>
      </c>
      <c r="K10" s="204"/>
      <c r="L10" s="305"/>
    </row>
    <row r="11" spans="1:12">
      <c r="A11" s="428" t="str">
        <f>Application!B725</f>
        <v>2 Bedrooms</v>
      </c>
      <c r="B11" s="1082">
        <f>Application!G725</f>
        <v>56</v>
      </c>
      <c r="C11" s="1162"/>
      <c r="D11" s="428">
        <f>Application!O725</f>
        <v>2477</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1197</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2028</v>
      </c>
      <c r="E13" s="429"/>
      <c r="F13" s="1083"/>
      <c r="G13" s="428">
        <f t="shared" si="2"/>
        <v>0</v>
      </c>
      <c r="H13" s="429"/>
      <c r="I13" s="428" t="str">
        <f t="shared" si="0"/>
        <v/>
      </c>
      <c r="J13" s="428" t="str">
        <f t="shared" si="1"/>
        <v/>
      </c>
      <c r="K13" s="204"/>
      <c r="L13" s="305"/>
    </row>
    <row r="14" spans="1:12">
      <c r="A14" s="428" t="str">
        <f>Application!B728</f>
        <v>3 Bedrooms</v>
      </c>
      <c r="B14" s="1082">
        <f>Application!G728</f>
        <v>2</v>
      </c>
      <c r="C14" s="1162"/>
      <c r="D14" s="428">
        <f>Application!O728</f>
        <v>2444</v>
      </c>
      <c r="E14" s="429"/>
      <c r="F14" s="1083"/>
      <c r="G14" s="428">
        <f t="shared" si="2"/>
        <v>0</v>
      </c>
      <c r="H14" s="429"/>
      <c r="I14" s="428" t="str">
        <f t="shared" si="0"/>
        <v/>
      </c>
      <c r="J14" s="428" t="str">
        <f t="shared" si="1"/>
        <v/>
      </c>
      <c r="K14" s="204"/>
      <c r="L14" s="305"/>
    </row>
    <row r="15" spans="1:12">
      <c r="A15" s="428" t="str">
        <f>Application!B729</f>
        <v>3 Bedrooms</v>
      </c>
      <c r="B15" s="1082">
        <f>Application!G729</f>
        <v>57</v>
      </c>
      <c r="C15" s="1162"/>
      <c r="D15" s="428">
        <f>Application!O729</f>
        <v>2859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493415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M51" sqref="M51"/>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Application!Y801</f>
        <v>5920980</v>
      </c>
      <c r="G4" s="219">
        <f>E4*$C$4</f>
        <v>6069004.4999999991</v>
      </c>
      <c r="I4" s="219">
        <f>G4*$C$4</f>
        <v>6220729.6124999989</v>
      </c>
      <c r="K4" s="219">
        <f>I4*$C$4</f>
        <v>6376247.8528124979</v>
      </c>
      <c r="M4" s="219">
        <f>K4*$C$4</f>
        <v>6535654.04913281</v>
      </c>
      <c r="O4" s="219">
        <f>M4*$C$4</f>
        <v>6699045.40036113</v>
      </c>
      <c r="Q4" s="219">
        <f>O4*$C$4</f>
        <v>6866521.535370158</v>
      </c>
      <c r="S4" s="219">
        <f>Q4*$C$4</f>
        <v>7038184.5737544112</v>
      </c>
      <c r="U4" s="219">
        <f>S4*$C$4</f>
        <v>7214139.1880982704</v>
      </c>
      <c r="W4" s="219">
        <f>U4*$C$4</f>
        <v>7394492.6678007264</v>
      </c>
      <c r="Y4" s="219">
        <f>W4*$C$4</f>
        <v>7579354.9844957441</v>
      </c>
      <c r="AA4" s="219">
        <f>Y4*$C$4</f>
        <v>7768838.859108137</v>
      </c>
      <c r="AC4" s="219">
        <f>AA4*$C$4</f>
        <v>7963059.8305858402</v>
      </c>
      <c r="AE4" s="219">
        <f>AC4*$C$4</f>
        <v>8162136.3263504859</v>
      </c>
      <c r="AG4" s="219">
        <f>AE4*$C$4</f>
        <v>8366189.7345092474</v>
      </c>
    </row>
    <row r="5" spans="1:34" s="210" customFormat="1" ht="14">
      <c r="B5" s="210" t="s">
        <v>837</v>
      </c>
      <c r="C5" s="238">
        <f>IF(Application!$D$211="Special Needs",(((0.1*Application!$T$212)+(0.05*(1-Application!$T$212)))),0.05)</f>
        <v>0.05</v>
      </c>
      <c r="E5" s="221">
        <f>-E4*$C$5</f>
        <v>-296049</v>
      </c>
      <c r="F5" s="221"/>
      <c r="G5" s="221">
        <f>-G4*$C$5</f>
        <v>-303450.22499999998</v>
      </c>
      <c r="H5" s="221"/>
      <c r="I5" s="221">
        <f>-I4*$C$5</f>
        <v>-311036.48062499997</v>
      </c>
      <c r="J5" s="221"/>
      <c r="K5" s="221">
        <f>-K4*$C$5</f>
        <v>-318812.39264062489</v>
      </c>
      <c r="L5" s="221"/>
      <c r="M5" s="221">
        <f>-M4*$C$5</f>
        <v>-326782.70245664055</v>
      </c>
      <c r="N5" s="221"/>
      <c r="O5" s="221">
        <f>-O4*$C$5</f>
        <v>-334952.2700180565</v>
      </c>
      <c r="P5" s="221"/>
      <c r="Q5" s="221">
        <f>-Q4*$C$5</f>
        <v>-343326.07676850795</v>
      </c>
      <c r="R5" s="221"/>
      <c r="S5" s="221">
        <f>-S4*$C$5</f>
        <v>-351909.22868772061</v>
      </c>
      <c r="T5" s="221"/>
      <c r="U5" s="221">
        <f>-U4*$C$5</f>
        <v>-360706.95940491353</v>
      </c>
      <c r="V5" s="221"/>
      <c r="W5" s="221">
        <f>-W4*$C$5</f>
        <v>-369724.63339003635</v>
      </c>
      <c r="X5" s="221"/>
      <c r="Y5" s="221">
        <f>-Y4*$C$5</f>
        <v>-378967.74922478723</v>
      </c>
      <c r="Z5" s="221"/>
      <c r="AA5" s="221">
        <f>-AA4*$C$5</f>
        <v>-388441.94295540685</v>
      </c>
      <c r="AB5" s="221"/>
      <c r="AC5" s="221">
        <f>-AC4*$C$5</f>
        <v>-398152.99152929202</v>
      </c>
      <c r="AD5" s="221"/>
      <c r="AE5" s="221">
        <f>-AE4*$C$5</f>
        <v>-408106.8163175243</v>
      </c>
      <c r="AF5" s="221"/>
      <c r="AG5" s="221">
        <f>-AG4*$C$5</f>
        <v>-418309.48672546237</v>
      </c>
    </row>
    <row r="6" spans="1:34" s="210" customFormat="1" ht="14">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36150</v>
      </c>
      <c r="F8" s="222"/>
      <c r="G8" s="222">
        <f>E8*$C$8</f>
        <v>37053.75</v>
      </c>
      <c r="H8" s="222"/>
      <c r="I8" s="222">
        <f>G8*$C$8</f>
        <v>37980.09375</v>
      </c>
      <c r="J8" s="222"/>
      <c r="K8" s="222">
        <f>I8*$C$8</f>
        <v>38929.596093749999</v>
      </c>
      <c r="L8" s="222"/>
      <c r="M8" s="222">
        <f>K8*$C$8</f>
        <v>39902.835996093745</v>
      </c>
      <c r="N8" s="222"/>
      <c r="O8" s="222">
        <f>M8*$C$8</f>
        <v>40900.406895996086</v>
      </c>
      <c r="P8" s="222"/>
      <c r="Q8" s="222">
        <f>O8*$C$8</f>
        <v>41922.917068395982</v>
      </c>
      <c r="R8" s="222"/>
      <c r="S8" s="222">
        <f>Q8*$C$8</f>
        <v>42970.989995105876</v>
      </c>
      <c r="T8" s="222"/>
      <c r="U8" s="222">
        <f>S8*$C$8</f>
        <v>44045.26474498352</v>
      </c>
      <c r="V8" s="222"/>
      <c r="W8" s="222">
        <f>U8*$C$8</f>
        <v>45146.396363608103</v>
      </c>
      <c r="X8" s="222"/>
      <c r="Y8" s="222">
        <f>W8*$C$8</f>
        <v>46275.056272698304</v>
      </c>
      <c r="Z8" s="222"/>
      <c r="AA8" s="222">
        <f>Y8*$C$8</f>
        <v>47431.932679515761</v>
      </c>
      <c r="AB8" s="222"/>
      <c r="AC8" s="222">
        <f>AA8*$C$8</f>
        <v>48617.730996503647</v>
      </c>
      <c r="AD8" s="222"/>
      <c r="AE8" s="222">
        <f>AC8*$C$8</f>
        <v>49833.174271416232</v>
      </c>
      <c r="AF8" s="222"/>
      <c r="AG8" s="222">
        <f>AE8*$C$8</f>
        <v>51079.00362820163</v>
      </c>
    </row>
    <row r="9" spans="1:34" s="210" customFormat="1" ht="14">
      <c r="B9" s="210" t="s">
        <v>837</v>
      </c>
      <c r="C9" s="238">
        <f>IF(Application!$D$211="Special Needs",(((0.1*Application!$T$212)+(0.05*(1-Application!$T$212)))),0.05)</f>
        <v>0.05</v>
      </c>
      <c r="E9" s="221">
        <f>-E8*$C$9</f>
        <v>-1807.5</v>
      </c>
      <c r="F9" s="221"/>
      <c r="G9" s="221">
        <f>-G8*$C$9</f>
        <v>-1852.6875</v>
      </c>
      <c r="H9" s="221"/>
      <c r="I9" s="221">
        <f>-I8*$C$9</f>
        <v>-1899.0046875</v>
      </c>
      <c r="J9" s="221"/>
      <c r="K9" s="221">
        <f>-K8*$C$9</f>
        <v>-1946.4798046875001</v>
      </c>
      <c r="L9" s="221"/>
      <c r="M9" s="221">
        <f>-M8*$C$9</f>
        <v>-1995.1417998046873</v>
      </c>
      <c r="N9" s="221"/>
      <c r="O9" s="221">
        <f>-O8*$C$9</f>
        <v>-2045.0203447998044</v>
      </c>
      <c r="P9" s="221"/>
      <c r="Q9" s="221">
        <f>-Q8*$C$9</f>
        <v>-2096.1458534197991</v>
      </c>
      <c r="R9" s="221"/>
      <c r="S9" s="221">
        <f>-S8*$C$9</f>
        <v>-2148.5494997552937</v>
      </c>
      <c r="T9" s="221"/>
      <c r="U9" s="221">
        <f>-U8*$C$9</f>
        <v>-2202.2632372491762</v>
      </c>
      <c r="V9" s="221"/>
      <c r="W9" s="221">
        <f>-W8*$C$9</f>
        <v>-2257.319818180405</v>
      </c>
      <c r="X9" s="221"/>
      <c r="Y9" s="221">
        <f>-Y8*$C$9</f>
        <v>-2313.7528136349151</v>
      </c>
      <c r="Z9" s="221"/>
      <c r="AA9" s="221">
        <f>-AA8*$C$9</f>
        <v>-2371.5966339757883</v>
      </c>
      <c r="AB9" s="221"/>
      <c r="AC9" s="221">
        <f>-AC8*$C$9</f>
        <v>-2430.8865498251826</v>
      </c>
      <c r="AD9" s="221"/>
      <c r="AE9" s="221">
        <f>-AE8*$C$9</f>
        <v>-2491.6587135708119</v>
      </c>
      <c r="AF9" s="221"/>
      <c r="AG9" s="221">
        <f>-AG8*$C$9</f>
        <v>-2553.9501814100818</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5659273.5</v>
      </c>
      <c r="G11" s="223">
        <f>SUM(G4:G10)</f>
        <v>5800755.3374999994</v>
      </c>
      <c r="I11" s="223">
        <f>SUM(I4:I10)</f>
        <v>5945774.2209374988</v>
      </c>
      <c r="K11" s="223">
        <f>SUM(K4:K10)</f>
        <v>6094418.5764609352</v>
      </c>
      <c r="M11" s="223">
        <f>SUM(M4:M10)</f>
        <v>6246779.0408724584</v>
      </c>
      <c r="O11" s="223">
        <f>SUM(O4:O10)</f>
        <v>6402948.5168942707</v>
      </c>
      <c r="Q11" s="223">
        <f>SUM(Q4:Q10)</f>
        <v>6563022.2298166258</v>
      </c>
      <c r="S11" s="223">
        <f>SUM(S4:S10)</f>
        <v>6727097.7855620412</v>
      </c>
      <c r="U11" s="223">
        <f>SUM(U4:U10)</f>
        <v>6895275.2302010916</v>
      </c>
      <c r="W11" s="223">
        <f>SUM(W4:W10)</f>
        <v>7067657.1109561184</v>
      </c>
      <c r="Y11" s="223">
        <f>SUM(Y4:Y10)</f>
        <v>7244348.5387300206</v>
      </c>
      <c r="AA11" s="223">
        <f>SUM(AA4:AA10)</f>
        <v>7425457.2521982705</v>
      </c>
      <c r="AC11" s="223">
        <f>SUM(AC4:AC10)</f>
        <v>7611093.6835032264</v>
      </c>
      <c r="AE11" s="223">
        <f>SUM(AE4:AE10)</f>
        <v>7801371.0255908063</v>
      </c>
      <c r="AG11" s="223">
        <f>SUM(AG4:AG10)</f>
        <v>7996405.3012305768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34810</v>
      </c>
      <c r="G15" s="219">
        <f>E15*$C$14</f>
        <v>36028.35</v>
      </c>
      <c r="I15" s="219">
        <f>G15*$C$14</f>
        <v>37289.342249999994</v>
      </c>
      <c r="K15" s="219">
        <f>I15*$C$14</f>
        <v>38594.469228749993</v>
      </c>
      <c r="M15" s="219">
        <f>K15*$C$14</f>
        <v>39945.275651756237</v>
      </c>
      <c r="O15" s="219">
        <f>M15*$C$14</f>
        <v>41343.360299567699</v>
      </c>
      <c r="Q15" s="219">
        <f>O15*$C$14</f>
        <v>42790.377910052564</v>
      </c>
      <c r="S15" s="219">
        <f>Q15*$C$14</f>
        <v>44288.041136904401</v>
      </c>
      <c r="U15" s="219">
        <f>S15*$C$14</f>
        <v>45838.122576696049</v>
      </c>
      <c r="W15" s="219">
        <f>U15*$C$14</f>
        <v>47442.456866880406</v>
      </c>
      <c r="Y15" s="219">
        <f>W15*$C$14</f>
        <v>49102.942857221213</v>
      </c>
      <c r="AA15" s="219">
        <f>Y15*$C$14</f>
        <v>50821.545857223951</v>
      </c>
      <c r="AC15" s="219">
        <f>AA15*$C$14</f>
        <v>52600.299962226789</v>
      </c>
      <c r="AE15" s="219">
        <f>AC15*$C$14</f>
        <v>54441.310460904722</v>
      </c>
      <c r="AG15" s="219">
        <f>AE15*$C$14</f>
        <v>56346.756327036383</v>
      </c>
    </row>
    <row r="16" spans="1:34" s="210" customFormat="1" ht="14">
      <c r="A16" s="210" t="s">
        <v>343</v>
      </c>
      <c r="C16" s="233"/>
      <c r="E16" s="222">
        <f>Application!W849</f>
        <v>168700</v>
      </c>
      <c r="F16" s="222"/>
      <c r="G16" s="222">
        <f t="shared" ref="G16:AG21" si="0">E16*$C$14</f>
        <v>174604.5</v>
      </c>
      <c r="H16" s="222"/>
      <c r="I16" s="222">
        <f t="shared" si="0"/>
        <v>180715.65749999997</v>
      </c>
      <c r="J16" s="222"/>
      <c r="K16" s="222">
        <f t="shared" si="0"/>
        <v>187040.70551249996</v>
      </c>
      <c r="L16" s="222"/>
      <c r="M16" s="222">
        <f t="shared" si="0"/>
        <v>193587.13020543745</v>
      </c>
      <c r="N16" s="222"/>
      <c r="O16" s="222">
        <f t="shared" si="0"/>
        <v>200362.67976262775</v>
      </c>
      <c r="P16" s="222"/>
      <c r="Q16" s="222">
        <f t="shared" si="0"/>
        <v>207375.3735543197</v>
      </c>
      <c r="R16" s="222"/>
      <c r="S16" s="222">
        <f t="shared" si="0"/>
        <v>214633.51162872088</v>
      </c>
      <c r="T16" s="222"/>
      <c r="U16" s="222">
        <f t="shared" si="0"/>
        <v>222145.68453572609</v>
      </c>
      <c r="V16" s="222"/>
      <c r="W16" s="222">
        <f t="shared" si="0"/>
        <v>229920.78349447649</v>
      </c>
      <c r="X16" s="222"/>
      <c r="Y16" s="222">
        <f t="shared" si="0"/>
        <v>237968.01091678315</v>
      </c>
      <c r="Z16" s="222"/>
      <c r="AA16" s="222">
        <f t="shared" si="0"/>
        <v>246296.89129887056</v>
      </c>
      <c r="AB16" s="222"/>
      <c r="AC16" s="222">
        <f t="shared" si="0"/>
        <v>254917.28249433101</v>
      </c>
      <c r="AD16" s="222"/>
      <c r="AE16" s="222">
        <f t="shared" si="0"/>
        <v>263839.38738163258</v>
      </c>
      <c r="AF16" s="222"/>
      <c r="AG16" s="222">
        <f t="shared" si="0"/>
        <v>273073.76593998971</v>
      </c>
    </row>
    <row r="17" spans="1:33" s="210" customFormat="1" ht="14">
      <c r="A17" s="210" t="s">
        <v>561</v>
      </c>
      <c r="C17" s="233"/>
      <c r="E17" s="222">
        <f>Application!W855</f>
        <v>379600</v>
      </c>
      <c r="F17" s="222"/>
      <c r="G17" s="222">
        <f t="shared" si="0"/>
        <v>392885.99999999994</v>
      </c>
      <c r="H17" s="222"/>
      <c r="I17" s="222">
        <f t="shared" si="0"/>
        <v>406637.00999999989</v>
      </c>
      <c r="J17" s="222"/>
      <c r="K17" s="222">
        <f t="shared" si="0"/>
        <v>420869.30534999986</v>
      </c>
      <c r="L17" s="222"/>
      <c r="M17" s="222">
        <f t="shared" si="0"/>
        <v>435599.73103724985</v>
      </c>
      <c r="N17" s="222"/>
      <c r="O17" s="222">
        <f t="shared" si="0"/>
        <v>450845.72162355355</v>
      </c>
      <c r="P17" s="222"/>
      <c r="Q17" s="222">
        <f t="shared" si="0"/>
        <v>466625.32188037789</v>
      </c>
      <c r="R17" s="222"/>
      <c r="S17" s="222">
        <f t="shared" si="0"/>
        <v>482957.20814619109</v>
      </c>
      <c r="T17" s="222"/>
      <c r="U17" s="222">
        <f t="shared" si="0"/>
        <v>499860.71043130773</v>
      </c>
      <c r="V17" s="222"/>
      <c r="W17" s="222">
        <f t="shared" si="0"/>
        <v>517355.83529640344</v>
      </c>
      <c r="X17" s="222"/>
      <c r="Y17" s="222">
        <f t="shared" si="0"/>
        <v>535463.2895317775</v>
      </c>
      <c r="Z17" s="222"/>
      <c r="AA17" s="222">
        <f t="shared" si="0"/>
        <v>554204.50466538966</v>
      </c>
      <c r="AB17" s="222"/>
      <c r="AC17" s="222">
        <f t="shared" si="0"/>
        <v>573601.6623286783</v>
      </c>
      <c r="AD17" s="222"/>
      <c r="AE17" s="222">
        <f t="shared" si="0"/>
        <v>593677.72051018197</v>
      </c>
      <c r="AF17" s="222"/>
      <c r="AG17" s="222">
        <f t="shared" si="0"/>
        <v>614456.44072803832</v>
      </c>
    </row>
    <row r="18" spans="1:33" s="210" customFormat="1" ht="14">
      <c r="A18" s="210" t="s">
        <v>841</v>
      </c>
      <c r="C18" s="233"/>
      <c r="E18" s="222">
        <f>Application!W862</f>
        <v>426380</v>
      </c>
      <c r="F18" s="222"/>
      <c r="G18" s="222">
        <f t="shared" si="0"/>
        <v>441303.3</v>
      </c>
      <c r="H18" s="222"/>
      <c r="I18" s="222">
        <f t="shared" si="0"/>
        <v>456748.91549999994</v>
      </c>
      <c r="J18" s="222"/>
      <c r="K18" s="222">
        <f t="shared" si="0"/>
        <v>472735.12754249992</v>
      </c>
      <c r="L18" s="222"/>
      <c r="M18" s="222">
        <f t="shared" si="0"/>
        <v>489280.85700648738</v>
      </c>
      <c r="N18" s="222"/>
      <c r="O18" s="222">
        <f t="shared" si="0"/>
        <v>506405.68700171442</v>
      </c>
      <c r="P18" s="222"/>
      <c r="Q18" s="222">
        <f t="shared" si="0"/>
        <v>524129.88604677439</v>
      </c>
      <c r="R18" s="222"/>
      <c r="S18" s="222">
        <f t="shared" si="0"/>
        <v>542474.43205841142</v>
      </c>
      <c r="T18" s="222"/>
      <c r="U18" s="222">
        <f t="shared" si="0"/>
        <v>561461.03718045575</v>
      </c>
      <c r="V18" s="222"/>
      <c r="W18" s="222">
        <f t="shared" si="0"/>
        <v>581112.17348177161</v>
      </c>
      <c r="X18" s="222"/>
      <c r="Y18" s="222">
        <f t="shared" si="0"/>
        <v>601451.0995536336</v>
      </c>
      <c r="Z18" s="222"/>
      <c r="AA18" s="222">
        <f t="shared" si="0"/>
        <v>622501.88803801069</v>
      </c>
      <c r="AB18" s="222"/>
      <c r="AC18" s="222">
        <f t="shared" si="0"/>
        <v>644289.45411934098</v>
      </c>
      <c r="AD18" s="222"/>
      <c r="AE18" s="222">
        <f t="shared" si="0"/>
        <v>666839.58501351788</v>
      </c>
      <c r="AF18" s="222"/>
      <c r="AG18" s="222">
        <f t="shared" si="0"/>
        <v>690178.97048899101</v>
      </c>
    </row>
    <row r="19" spans="1:33" s="210" customFormat="1" ht="14">
      <c r="A19" s="210" t="s">
        <v>155</v>
      </c>
      <c r="C19" s="233"/>
      <c r="E19" s="222">
        <f>Application!W863</f>
        <v>122910</v>
      </c>
      <c r="F19" s="222"/>
      <c r="G19" s="222">
        <f t="shared" si="0"/>
        <v>127211.84999999999</v>
      </c>
      <c r="H19" s="222"/>
      <c r="I19" s="222">
        <f t="shared" si="0"/>
        <v>131664.26474999997</v>
      </c>
      <c r="J19" s="222"/>
      <c r="K19" s="222">
        <f t="shared" si="0"/>
        <v>136272.51401624997</v>
      </c>
      <c r="L19" s="222"/>
      <c r="M19" s="222">
        <f t="shared" si="0"/>
        <v>141042.0520068187</v>
      </c>
      <c r="N19" s="222"/>
      <c r="O19" s="222">
        <f t="shared" si="0"/>
        <v>145978.52382705736</v>
      </c>
      <c r="P19" s="222"/>
      <c r="Q19" s="222">
        <f t="shared" si="0"/>
        <v>151087.77216100437</v>
      </c>
      <c r="R19" s="222"/>
      <c r="S19" s="222">
        <f t="shared" si="0"/>
        <v>156375.8441866395</v>
      </c>
      <c r="T19" s="222"/>
      <c r="U19" s="222">
        <f t="shared" si="0"/>
        <v>161848.99873317187</v>
      </c>
      <c r="V19" s="222"/>
      <c r="W19" s="222">
        <f t="shared" si="0"/>
        <v>167513.71368883288</v>
      </c>
      <c r="X19" s="222"/>
      <c r="Y19" s="222">
        <f t="shared" si="0"/>
        <v>173376.69366794202</v>
      </c>
      <c r="Z19" s="222"/>
      <c r="AA19" s="222">
        <f t="shared" si="0"/>
        <v>179444.87794631996</v>
      </c>
      <c r="AB19" s="222"/>
      <c r="AC19" s="222">
        <f t="shared" si="0"/>
        <v>185725.44867444114</v>
      </c>
      <c r="AD19" s="222"/>
      <c r="AE19" s="222">
        <f t="shared" si="0"/>
        <v>192225.83937804657</v>
      </c>
      <c r="AF19" s="222"/>
      <c r="AG19" s="222">
        <f t="shared" si="0"/>
        <v>198953.74375627819</v>
      </c>
    </row>
    <row r="20" spans="1:33" s="210" customFormat="1" ht="14">
      <c r="A20" s="210" t="s">
        <v>389</v>
      </c>
      <c r="C20" s="233"/>
      <c r="E20" s="222">
        <f>Application!W872</f>
        <v>545300</v>
      </c>
      <c r="F20" s="222"/>
      <c r="G20" s="222">
        <f t="shared" si="0"/>
        <v>564385.5</v>
      </c>
      <c r="H20" s="222"/>
      <c r="I20" s="222">
        <f t="shared" si="0"/>
        <v>584138.99249999993</v>
      </c>
      <c r="J20" s="222"/>
      <c r="K20" s="222">
        <f t="shared" si="0"/>
        <v>604583.85723749991</v>
      </c>
      <c r="L20" s="222"/>
      <c r="M20" s="222">
        <f t="shared" si="0"/>
        <v>625744.29224081233</v>
      </c>
      <c r="N20" s="222"/>
      <c r="O20" s="222">
        <f t="shared" si="0"/>
        <v>647645.34246924066</v>
      </c>
      <c r="P20" s="222"/>
      <c r="Q20" s="222">
        <f t="shared" si="0"/>
        <v>670312.92945566401</v>
      </c>
      <c r="R20" s="222"/>
      <c r="S20" s="222">
        <f t="shared" si="0"/>
        <v>693773.88198661222</v>
      </c>
      <c r="T20" s="222"/>
      <c r="U20" s="222">
        <f t="shared" si="0"/>
        <v>718055.9678561436</v>
      </c>
      <c r="V20" s="222"/>
      <c r="W20" s="222">
        <f t="shared" si="0"/>
        <v>743187.92673110857</v>
      </c>
      <c r="X20" s="222"/>
      <c r="Y20" s="222">
        <f t="shared" si="0"/>
        <v>769199.50416669727</v>
      </c>
      <c r="Z20" s="222"/>
      <c r="AA20" s="222">
        <f t="shared" si="0"/>
        <v>796121.4868125316</v>
      </c>
      <c r="AB20" s="222"/>
      <c r="AC20" s="222">
        <f t="shared" si="0"/>
        <v>823985.73885097017</v>
      </c>
      <c r="AD20" s="222"/>
      <c r="AE20" s="222">
        <f t="shared" si="0"/>
        <v>852825.23971075402</v>
      </c>
      <c r="AF20" s="222"/>
      <c r="AG20" s="222">
        <f t="shared" si="0"/>
        <v>882674.12310063036</v>
      </c>
    </row>
    <row r="21" spans="1:33" s="210" customFormat="1" ht="14">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1677700</v>
      </c>
      <c r="G22" s="223">
        <f>SUM(G15:G21)</f>
        <v>1736419.5</v>
      </c>
      <c r="I22" s="223">
        <f>SUM(I15:I21)</f>
        <v>1797194.1824999999</v>
      </c>
      <c r="K22" s="223">
        <f>SUM(K15:K21)</f>
        <v>1860095.9788874995</v>
      </c>
      <c r="M22" s="223">
        <f>SUM(M15:M21)</f>
        <v>1925199.3381485622</v>
      </c>
      <c r="O22" s="223">
        <f>SUM(O15:O21)</f>
        <v>1992581.3149837614</v>
      </c>
      <c r="Q22" s="223">
        <f>SUM(Q15:Q21)</f>
        <v>2062321.6610081929</v>
      </c>
      <c r="S22" s="223">
        <f>SUM(S15:S21)</f>
        <v>2134502.9191434793</v>
      </c>
      <c r="U22" s="223">
        <f>SUM(U15:U21)</f>
        <v>2209210.5213135015</v>
      </c>
      <c r="W22" s="223">
        <f>SUM(W15:W21)</f>
        <v>2286532.8895594734</v>
      </c>
      <c r="Y22" s="223">
        <f>SUM(Y15:Y21)</f>
        <v>2366561.5406940547</v>
      </c>
      <c r="AA22" s="223">
        <f>SUM(AA15:AA21)</f>
        <v>2449391.1946183462</v>
      </c>
      <c r="AC22" s="223">
        <f>SUM(AC15:AC21)</f>
        <v>2535119.8864299883</v>
      </c>
      <c r="AE22" s="223">
        <f>SUM(AE15:AE21)</f>
        <v>2623849.0824550376</v>
      </c>
      <c r="AG22" s="223">
        <f>SUM(AG15:AG21)</f>
        <v>2715683.800340964</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7">
        <v>1.02</v>
      </c>
      <c r="E24" s="910">
        <v>1280000</v>
      </c>
      <c r="F24" s="222"/>
      <c r="G24" s="222">
        <f>E24*$C$24</f>
        <v>1305600</v>
      </c>
      <c r="H24" s="222"/>
      <c r="I24" s="222">
        <f>G24*$C$24</f>
        <v>1331712</v>
      </c>
      <c r="J24" s="222"/>
      <c r="K24" s="222">
        <f>I24*$C$24</f>
        <v>1358346.24</v>
      </c>
      <c r="L24" s="222"/>
      <c r="M24" s="222">
        <f>K24*$C$24</f>
        <v>1385513.1647999999</v>
      </c>
      <c r="N24" s="222"/>
      <c r="O24" s="222">
        <f>M24*$C$24</f>
        <v>1413223.4280959999</v>
      </c>
      <c r="P24" s="222"/>
      <c r="Q24" s="222">
        <f>O24*$C$24</f>
        <v>1441487.89665792</v>
      </c>
      <c r="R24" s="222"/>
      <c r="S24" s="222">
        <f>Q24*$C$24</f>
        <v>1470317.6545910784</v>
      </c>
      <c r="T24" s="222"/>
      <c r="U24" s="222">
        <f>S24*$C$24</f>
        <v>1499724.0076828999</v>
      </c>
      <c r="V24" s="222"/>
      <c r="W24" s="222">
        <f>U24*$C$24</f>
        <v>1529718.4878365579</v>
      </c>
      <c r="X24" s="222"/>
      <c r="Y24" s="222">
        <f>W24*$C$24</f>
        <v>1560312.8575932891</v>
      </c>
      <c r="Z24" s="222"/>
      <c r="AA24" s="222">
        <f>Y24*$C$24</f>
        <v>1591519.114745155</v>
      </c>
      <c r="AB24" s="222"/>
      <c r="AC24" s="222">
        <f>AA24*$C$24</f>
        <v>1623349.497040058</v>
      </c>
      <c r="AD24" s="222"/>
      <c r="AE24" s="222">
        <f>AC24*$C$24</f>
        <v>1655816.4869808592</v>
      </c>
      <c r="AF24" s="222"/>
      <c r="AG24" s="222">
        <f>AE24*$C$24</f>
        <v>1688932.8167204764</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
      <c r="A28" s="210" t="s">
        <v>845</v>
      </c>
      <c r="C28" s="237"/>
      <c r="E28" s="222">
        <f>Application!AC889</f>
        <v>60250</v>
      </c>
      <c r="F28" s="222"/>
      <c r="G28" s="222">
        <f>$E$28</f>
        <v>60250</v>
      </c>
      <c r="H28" s="222"/>
      <c r="I28" s="222">
        <f>$E$28</f>
        <v>60250</v>
      </c>
      <c r="J28" s="222"/>
      <c r="K28" s="222">
        <f>$E$28</f>
        <v>60250</v>
      </c>
      <c r="L28" s="222"/>
      <c r="M28" s="222">
        <f>$E$28</f>
        <v>60250</v>
      </c>
      <c r="N28" s="222"/>
      <c r="O28" s="222">
        <f>$E$28</f>
        <v>60250</v>
      </c>
      <c r="P28" s="222"/>
      <c r="Q28" s="222">
        <f>$E$28</f>
        <v>60250</v>
      </c>
      <c r="R28" s="222"/>
      <c r="S28" s="222">
        <f>$E$28</f>
        <v>60250</v>
      </c>
      <c r="T28" s="222"/>
      <c r="U28" s="222">
        <f>$E$28</f>
        <v>60250</v>
      </c>
      <c r="V28" s="222"/>
      <c r="W28" s="222">
        <f>$E$28</f>
        <v>60250</v>
      </c>
      <c r="X28" s="222"/>
      <c r="Y28" s="222">
        <f>$E$28</f>
        <v>60250</v>
      </c>
      <c r="Z28" s="222"/>
      <c r="AA28" s="222">
        <f>$E$28</f>
        <v>60250</v>
      </c>
      <c r="AB28" s="222"/>
      <c r="AC28" s="222">
        <f>$E$28</f>
        <v>60250</v>
      </c>
      <c r="AD28" s="222"/>
      <c r="AE28" s="222">
        <f>$E$28</f>
        <v>60250</v>
      </c>
      <c r="AF28" s="222"/>
      <c r="AG28" s="222">
        <f>$E$28</f>
        <v>60250</v>
      </c>
    </row>
    <row r="29" spans="1:33" s="210" customFormat="1" ht="14">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Application!AC891</f>
        <v>16000</v>
      </c>
      <c r="F30" s="222"/>
      <c r="G30" s="222">
        <f>E30*$C$30</f>
        <v>16320</v>
      </c>
      <c r="H30" s="222"/>
      <c r="I30" s="222">
        <f>G30*$C$30</f>
        <v>16646.400000000001</v>
      </c>
      <c r="J30" s="222"/>
      <c r="K30" s="222">
        <f>I30*$C$30</f>
        <v>16979.328000000001</v>
      </c>
      <c r="L30" s="222"/>
      <c r="M30" s="222">
        <f>K30*$C$30</f>
        <v>17318.914560000001</v>
      </c>
      <c r="N30" s="222"/>
      <c r="O30" s="222">
        <f>M30*$C$30</f>
        <v>17665.2928512</v>
      </c>
      <c r="P30" s="222"/>
      <c r="Q30" s="222">
        <f>O30*$C$30</f>
        <v>18018.598708223999</v>
      </c>
      <c r="R30" s="222"/>
      <c r="S30" s="222">
        <f>Q30*$C$30</f>
        <v>18378.970682388481</v>
      </c>
      <c r="T30" s="222"/>
      <c r="U30" s="222">
        <f>S30*$C$30</f>
        <v>18746.550096036251</v>
      </c>
      <c r="V30" s="222"/>
      <c r="W30" s="222">
        <f>U30*$C$30</f>
        <v>19121.481097956977</v>
      </c>
      <c r="X30" s="222"/>
      <c r="Y30" s="222">
        <f>W30*$C$30</f>
        <v>19503.910719916119</v>
      </c>
      <c r="Z30" s="222"/>
      <c r="AA30" s="222">
        <f>Y30*$C$30</f>
        <v>19893.988934314442</v>
      </c>
      <c r="AB30" s="222"/>
      <c r="AC30" s="222">
        <f>AA30*$C$30</f>
        <v>20291.868713000731</v>
      </c>
      <c r="AD30" s="222"/>
      <c r="AE30" s="222">
        <f>AC30*$C$30</f>
        <v>20697.706087260747</v>
      </c>
      <c r="AF30" s="222"/>
      <c r="AG30" s="222">
        <f>AE30*$C$30</f>
        <v>21111.660209005964</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Annual Issuer &amp; Trustee Fees:</v>
      </c>
      <c r="C32" s="316">
        <v>1</v>
      </c>
      <c r="E32" s="222">
        <f>Application!AC894</f>
        <v>29550</v>
      </c>
      <c r="F32" s="222"/>
      <c r="G32" s="222">
        <f>E32*$C$32</f>
        <v>29550</v>
      </c>
      <c r="H32" s="222"/>
      <c r="I32" s="222">
        <f>G32*$C$32</f>
        <v>29550</v>
      </c>
      <c r="J32" s="222"/>
      <c r="K32" s="222">
        <f>I32*$C$32</f>
        <v>29550</v>
      </c>
      <c r="L32" s="222"/>
      <c r="M32" s="222">
        <f>K32*$C$32</f>
        <v>29550</v>
      </c>
      <c r="N32" s="222"/>
      <c r="O32" s="222">
        <f>M32*$C$32</f>
        <v>29550</v>
      </c>
      <c r="P32" s="222"/>
      <c r="Q32" s="222">
        <f>O32*$C$32</f>
        <v>29550</v>
      </c>
      <c r="R32" s="222"/>
      <c r="S32" s="222">
        <f>Q32*$C$32</f>
        <v>29550</v>
      </c>
      <c r="T32" s="222"/>
      <c r="U32" s="222">
        <f>S32*$C$32</f>
        <v>29550</v>
      </c>
      <c r="V32" s="222"/>
      <c r="W32" s="222">
        <f>U32*$C$32</f>
        <v>29550</v>
      </c>
      <c r="X32" s="222"/>
      <c r="Y32" s="222">
        <f>W32*$C$32</f>
        <v>29550</v>
      </c>
      <c r="Z32" s="222"/>
      <c r="AA32" s="222">
        <f>Y32*$C$32</f>
        <v>29550</v>
      </c>
      <c r="AB32" s="222"/>
      <c r="AC32" s="222">
        <f>AA32*$C$32</f>
        <v>29550</v>
      </c>
      <c r="AD32" s="222"/>
      <c r="AE32" s="222">
        <f>AC32*$C$32</f>
        <v>29550</v>
      </c>
      <c r="AF32" s="222"/>
      <c r="AG32" s="222">
        <f>AE32*$C$32</f>
        <v>29550</v>
      </c>
    </row>
    <row r="33" spans="1:33" s="210" customFormat="1" ht="14">
      <c r="A33" s="210" t="s">
        <v>955</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3087500</v>
      </c>
      <c r="G35" s="223">
        <f>SUM(G22:G33)</f>
        <v>3172979.5</v>
      </c>
      <c r="I35" s="223">
        <f>SUM(I22:I33)</f>
        <v>3261061.9824999999</v>
      </c>
      <c r="K35" s="223">
        <f>SUM(K22:K33)</f>
        <v>3351830.7758874996</v>
      </c>
      <c r="M35" s="223">
        <f>SUM(M22:M33)</f>
        <v>3445371.9695235621</v>
      </c>
      <c r="O35" s="223">
        <f>SUM(O22:O33)</f>
        <v>3541774.5072664861</v>
      </c>
      <c r="Q35" s="223">
        <f>SUM(Q22:Q33)</f>
        <v>3641130.2842066051</v>
      </c>
      <c r="S35" s="223">
        <f>SUM(S22:S33)</f>
        <v>3743534.2467233441</v>
      </c>
      <c r="U35" s="223">
        <f>SUM(U22:U33)</f>
        <v>3849084.4959795596</v>
      </c>
      <c r="W35" s="223">
        <f>SUM(W22:W33)</f>
        <v>3957882.3949721595</v>
      </c>
      <c r="Y35" s="223">
        <f>SUM(Y22:Y33)</f>
        <v>4070032.6792621668</v>
      </c>
      <c r="AA35" s="223">
        <f>SUM(AA22:AA33)</f>
        <v>4185643.5715116439</v>
      </c>
      <c r="AC35" s="223">
        <f>SUM(AC22:AC33)</f>
        <v>4304826.8999593593</v>
      </c>
      <c r="AE35" s="223">
        <f>SUM(AE22:AE33)</f>
        <v>4427698.2209716402</v>
      </c>
      <c r="AG35" s="223">
        <f>SUM(AG22:AG33)</f>
        <v>4554376.945809626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2571773.5</v>
      </c>
      <c r="G37" s="223">
        <f>G11-G35</f>
        <v>2627775.8374999994</v>
      </c>
      <c r="I37" s="223">
        <f>I11-I35</f>
        <v>2684712.2384374989</v>
      </c>
      <c r="K37" s="223">
        <f>K11-K35</f>
        <v>2742587.8005734356</v>
      </c>
      <c r="M37" s="223">
        <f>M11-M35</f>
        <v>2801407.0713488963</v>
      </c>
      <c r="O37" s="223">
        <f>O11-O35</f>
        <v>2861174.0096277846</v>
      </c>
      <c r="Q37" s="223">
        <f>Q11-Q35</f>
        <v>2921891.9456100208</v>
      </c>
      <c r="S37" s="223">
        <f>S11-S35</f>
        <v>2983563.5388386971</v>
      </c>
      <c r="U37" s="223">
        <f>U11-U35</f>
        <v>3046190.734221532</v>
      </c>
      <c r="W37" s="223">
        <f>W11-W35</f>
        <v>3109774.7159839589</v>
      </c>
      <c r="Y37" s="223">
        <f>Y11-Y35</f>
        <v>3174315.8594678538</v>
      </c>
      <c r="AA37" s="223">
        <f>AA11-AA35</f>
        <v>3239813.6806866266</v>
      </c>
      <c r="AC37" s="223">
        <f>AC11-AC35</f>
        <v>3306266.7835438671</v>
      </c>
      <c r="AE37" s="223">
        <f>AE11-AE35</f>
        <v>3373672.8046191661</v>
      </c>
      <c r="AG37" s="223">
        <f>AG11-AG35</f>
        <v>3442028.3554209508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2152872</v>
      </c>
      <c r="F40" s="222"/>
      <c r="G40" s="222">
        <f>$E$40</f>
        <v>2152872</v>
      </c>
      <c r="H40" s="222"/>
      <c r="I40" s="222">
        <f>$E$40</f>
        <v>2152872</v>
      </c>
      <c r="J40" s="222"/>
      <c r="K40" s="222">
        <f>$E$40</f>
        <v>2152872</v>
      </c>
      <c r="L40" s="222"/>
      <c r="M40" s="222">
        <f>$E$40</f>
        <v>2152872</v>
      </c>
      <c r="N40" s="222"/>
      <c r="O40" s="222">
        <f>$E$40</f>
        <v>2152872</v>
      </c>
      <c r="P40" s="222"/>
      <c r="Q40" s="222">
        <f>$E$40</f>
        <v>2152872</v>
      </c>
      <c r="R40" s="222"/>
      <c r="S40" s="222">
        <f>$E$40</f>
        <v>2152872</v>
      </c>
      <c r="T40" s="222"/>
      <c r="U40" s="222">
        <f>$E$40</f>
        <v>2152872</v>
      </c>
      <c r="V40" s="222"/>
      <c r="W40" s="222">
        <f>$E$40</f>
        <v>2152872</v>
      </c>
      <c r="X40" s="222"/>
      <c r="Y40" s="222">
        <f>$E$40</f>
        <v>2152872</v>
      </c>
      <c r="Z40" s="222"/>
      <c r="AA40" s="222">
        <f>$E$40</f>
        <v>2152872</v>
      </c>
      <c r="AB40" s="222"/>
      <c r="AC40" s="222">
        <f>$E$40</f>
        <v>2152872</v>
      </c>
      <c r="AD40" s="222"/>
      <c r="AE40" s="222">
        <f>$E$40</f>
        <v>2152872</v>
      </c>
      <c r="AF40" s="222"/>
      <c r="AG40" s="222">
        <f>$E$40</f>
        <v>2152872</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847</v>
      </c>
      <c r="C43" s="224"/>
      <c r="E43" s="223">
        <f>SUM(E40:E42)</f>
        <v>2152872</v>
      </c>
      <c r="G43" s="223">
        <f>SUM(G40:G42)</f>
        <v>2152872</v>
      </c>
      <c r="I43" s="223">
        <f>SUM(I40:I42)</f>
        <v>2152872</v>
      </c>
      <c r="K43" s="223">
        <f>SUM(K40:K42)</f>
        <v>2152872</v>
      </c>
      <c r="M43" s="223">
        <f>SUM(M40:M42)</f>
        <v>2152872</v>
      </c>
      <c r="O43" s="223">
        <f>SUM(O40:O42)</f>
        <v>2152872</v>
      </c>
      <c r="Q43" s="223">
        <f>SUM(Q40:Q42)</f>
        <v>2152872</v>
      </c>
      <c r="S43" s="223">
        <f>SUM(S40:S42)</f>
        <v>2152872</v>
      </c>
      <c r="U43" s="223">
        <f>SUM(U40:U42)</f>
        <v>2152872</v>
      </c>
      <c r="W43" s="223">
        <f>SUM(W40:W42)</f>
        <v>2152872</v>
      </c>
      <c r="Y43" s="223">
        <f>SUM(Y40:Y42)</f>
        <v>2152872</v>
      </c>
      <c r="AA43" s="223">
        <f>SUM(AA40:AA42)</f>
        <v>2152872</v>
      </c>
      <c r="AC43" s="223">
        <f>SUM(AC40:AC42)</f>
        <v>2152872</v>
      </c>
      <c r="AE43" s="223">
        <f>SUM(AE40:AE42)</f>
        <v>2152872</v>
      </c>
      <c r="AG43" s="223">
        <f>SUM(AG40:AG42)</f>
        <v>2152872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418901.5</v>
      </c>
      <c r="G45" s="223">
        <f>G37-G43</f>
        <v>474903.83749999944</v>
      </c>
      <c r="I45" s="223">
        <f>I37-I43</f>
        <v>531840.23843749892</v>
      </c>
      <c r="K45" s="223">
        <f>K37-K43</f>
        <v>589715.80057343561</v>
      </c>
      <c r="M45" s="223">
        <f>M37-M43</f>
        <v>648535.07134889625</v>
      </c>
      <c r="O45" s="223">
        <f>O37-O43</f>
        <v>708302.0096277846</v>
      </c>
      <c r="Q45" s="223">
        <f>Q37-Q43</f>
        <v>769019.94561002078</v>
      </c>
      <c r="S45" s="223">
        <f>S37-S43</f>
        <v>830691.53883869713</v>
      </c>
      <c r="U45" s="223">
        <f>U37-U43</f>
        <v>893318.73422153201</v>
      </c>
      <c r="W45" s="223">
        <f>W37-W43</f>
        <v>956902.71598395891</v>
      </c>
      <c r="Y45" s="223">
        <f>Y37-Y43</f>
        <v>1021443.8594678538</v>
      </c>
      <c r="AA45" s="223">
        <f>AA37-AA43</f>
        <v>1086941.6806866266</v>
      </c>
      <c r="AC45" s="223">
        <f>AC37-AC43</f>
        <v>1153394.7835438671</v>
      </c>
      <c r="AE45" s="223">
        <f>AE37-AE43</f>
        <v>1220800.8046191661</v>
      </c>
      <c r="AG45" s="223">
        <f>AG37-AG43</f>
        <v>1289156.3554209508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7.0319348411063715E-2</v>
      </c>
      <c r="G47" s="227">
        <f>G45/(G4+G6+G8)</f>
        <v>7.7775844588446164E-2</v>
      </c>
      <c r="I47" s="227">
        <f>I45/(I4+I6+I8)</f>
        <v>8.497601956300975E-2</v>
      </c>
      <c r="K47" s="227">
        <f>K45/(K4+K6+K8)</f>
        <v>9.1925095645480376E-2</v>
      </c>
      <c r="M47" s="227">
        <f>M45/(M4+M6+M8)</f>
        <v>9.8628159208173694E-2</v>
      </c>
      <c r="O47" s="227">
        <f>O45/(O4+O6+O8)</f>
        <v>0.10509016390979466</v>
      </c>
      <c r="Q47" s="227">
        <f>Q45/(Q4+Q6+Q8)</f>
        <v>0.11131593384073181</v>
      </c>
      <c r="S47" s="227">
        <f>S45/(S4+S6+S8)</f>
        <v>0.11731016659078178</v>
      </c>
      <c r="U47" s="227">
        <f>U45/(U4+U6+U8)</f>
        <v>0.12307743624117895</v>
      </c>
      <c r="W47" s="227">
        <f>W45/(W4+W6+W8)</f>
        <v>0.1286221962827768</v>
      </c>
      <c r="Y47" s="227">
        <f>Y45/(Y4+Y6+Y8)</f>
        <v>0.13394878246216649</v>
      </c>
      <c r="AA47" s="227">
        <f>AA45/(AA4+AA6+AA8)</f>
        <v>0.13906141555748647</v>
      </c>
      <c r="AC47" s="227">
        <f>AC45/(AC4+AC6+AC8)</f>
        <v>0.14396420408562552</v>
      </c>
      <c r="AE47" s="227">
        <f>AE45/(AE4+AE6+AE8)</f>
        <v>0.14866114694248603</v>
      </c>
      <c r="AG47" s="227">
        <f>AG45/(AG4+AG6+AG8)</f>
        <v>0.1531561359779291</v>
      </c>
    </row>
    <row r="48" spans="1:33" s="227" customFormat="1" ht="14">
      <c r="A48" s="227" t="s">
        <v>851</v>
      </c>
      <c r="C48" s="220"/>
      <c r="E48" s="227">
        <f>E45/E43</f>
        <v>0.19457798698668569</v>
      </c>
      <c r="G48" s="227">
        <f>G45/G43</f>
        <v>0.22059083749521544</v>
      </c>
      <c r="I48" s="227">
        <f>I45/I43</f>
        <v>0.24703755654655685</v>
      </c>
      <c r="K48" s="227">
        <f>K45/K43</f>
        <v>0.27392051202925005</v>
      </c>
      <c r="M48" s="227">
        <f>M45/M43</f>
        <v>0.3012418162105765</v>
      </c>
      <c r="O48" s="227">
        <f>O45/O43</f>
        <v>0.32900330796618871</v>
      </c>
      <c r="Q48" s="227">
        <f>Q45/Q43</f>
        <v>0.35720653415995973</v>
      </c>
      <c r="S48" s="227">
        <f>S45/S43</f>
        <v>0.38585273013848342</v>
      </c>
      <c r="U48" s="227">
        <f>U45/U43</f>
        <v>0.4149427993032247</v>
      </c>
      <c r="W48" s="227">
        <f>W45/W43</f>
        <v>0.44447729172192257</v>
      </c>
      <c r="Y48" s="227">
        <f>Y45/Y43</f>
        <v>0.47445638173930166</v>
      </c>
      <c r="AA48" s="227">
        <f>AA45/AA43</f>
        <v>0.50487984454562396</v>
      </c>
      <c r="AC48" s="227">
        <f>AC45/AC43</f>
        <v>0.53574703165997195</v>
      </c>
      <c r="AE48" s="227">
        <f>AE45/AE43</f>
        <v>0.56705684528349387</v>
      </c>
      <c r="AG48" s="227">
        <f>AG45/AG43</f>
        <v>0.59880771147608902</v>
      </c>
    </row>
    <row r="49" spans="1:34" s="228" customFormat="1" ht="14">
      <c r="A49" s="228" t="s">
        <v>849</v>
      </c>
      <c r="C49" s="229"/>
      <c r="E49" s="228">
        <f>E37/E43</f>
        <v>1.1945779869866857</v>
      </c>
      <c r="G49" s="228">
        <f>G37/G43</f>
        <v>1.2205908374952155</v>
      </c>
      <c r="I49" s="228">
        <f>I37/I43</f>
        <v>1.2470375565465568</v>
      </c>
      <c r="K49" s="228">
        <f>K37/K43</f>
        <v>1.2739205120292501</v>
      </c>
      <c r="M49" s="228">
        <f>M37/M43</f>
        <v>1.3012418162105766</v>
      </c>
      <c r="O49" s="228">
        <f>O37/O43</f>
        <v>1.3290033079661887</v>
      </c>
      <c r="Q49" s="228">
        <f>Q37/Q43</f>
        <v>1.3572065341599597</v>
      </c>
      <c r="S49" s="228">
        <f>S37/S43</f>
        <v>1.3858527301384835</v>
      </c>
      <c r="U49" s="228">
        <f>U37/U43</f>
        <v>1.4149427993032246</v>
      </c>
      <c r="W49" s="228">
        <f>W37/W43</f>
        <v>1.4444772917219226</v>
      </c>
      <c r="Y49" s="228">
        <f>Y37/Y43</f>
        <v>1.4744563817393017</v>
      </c>
      <c r="AA49" s="228">
        <f>AA37/AA43</f>
        <v>1.504879844545624</v>
      </c>
      <c r="AC49" s="228">
        <f>AC37/AC43</f>
        <v>1.535747031659972</v>
      </c>
      <c r="AE49" s="228">
        <f>AE37/AE43</f>
        <v>1.5670568452834939</v>
      </c>
      <c r="AG49" s="228">
        <f>AG37/AG43</f>
        <v>1.598807711476089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2760</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24100</v>
      </c>
      <c r="G53" s="960">
        <f>E53*$C$53</f>
        <v>24100</v>
      </c>
      <c r="I53" s="960">
        <f>G53*$C$53</f>
        <v>24100</v>
      </c>
      <c r="K53" s="960">
        <f>I53*$C$53</f>
        <v>24100</v>
      </c>
      <c r="M53" s="960">
        <f>K53*$C$53</f>
        <v>24100</v>
      </c>
      <c r="O53" s="960">
        <f>M53*$C$53</f>
        <v>24100</v>
      </c>
      <c r="Q53" s="960">
        <f>O53*$C$53</f>
        <v>24100</v>
      </c>
      <c r="S53" s="960">
        <f>Q53*$C$53</f>
        <v>24100</v>
      </c>
      <c r="U53" s="960">
        <f>S53*$C$53</f>
        <v>24100</v>
      </c>
      <c r="W53" s="960">
        <f>U53*$C$53</f>
        <v>24100</v>
      </c>
      <c r="Y53" s="960">
        <f>W53*$C$53</f>
        <v>24100</v>
      </c>
      <c r="AA53" s="960">
        <f>Y53*$C$53</f>
        <v>24100</v>
      </c>
      <c r="AC53" s="960">
        <f>AA53*$C$53</f>
        <v>24100</v>
      </c>
      <c r="AE53" s="960">
        <f>AC53*$C$53</f>
        <v>24100</v>
      </c>
      <c r="AG53" s="960">
        <f>AE53*$C$53</f>
        <v>24100</v>
      </c>
    </row>
    <row r="54" spans="1:34" s="3" customFormat="1">
      <c r="A54" s="3" t="s">
        <v>854</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855</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852</v>
      </c>
      <c r="C58" s="961"/>
      <c r="E58" s="960">
        <f>SUM(E53:E57)</f>
        <v>31600</v>
      </c>
      <c r="F58" s="960"/>
      <c r="G58" s="960">
        <f>SUM(G53:G57)</f>
        <v>31600</v>
      </c>
      <c r="H58" s="960"/>
      <c r="I58" s="960">
        <f>SUM(I53:I57)</f>
        <v>31600</v>
      </c>
      <c r="J58" s="960"/>
      <c r="K58" s="960">
        <f>SUM(K53:K57)</f>
        <v>31600</v>
      </c>
      <c r="L58" s="960"/>
      <c r="M58" s="960">
        <f>SUM(M53:M57)</f>
        <v>31600</v>
      </c>
      <c r="N58" s="960"/>
      <c r="O58" s="960">
        <f>SUM(O53:O57)</f>
        <v>31600</v>
      </c>
      <c r="P58" s="960"/>
      <c r="Q58" s="960">
        <f>SUM(Q53:Q57)</f>
        <v>31600</v>
      </c>
      <c r="R58" s="960"/>
      <c r="S58" s="960">
        <f>SUM(S53:S57)</f>
        <v>31600</v>
      </c>
      <c r="T58" s="960"/>
      <c r="U58" s="960">
        <f>SUM(U53:U57)</f>
        <v>31600</v>
      </c>
      <c r="V58" s="960"/>
      <c r="W58" s="960">
        <f>SUM(W53:W57)</f>
        <v>31600</v>
      </c>
      <c r="X58" s="960"/>
      <c r="Y58" s="960">
        <f>SUM(Y53:Y57)</f>
        <v>31600</v>
      </c>
      <c r="Z58" s="960"/>
      <c r="AA58" s="960">
        <f>SUM(AA53:AA57)</f>
        <v>31600</v>
      </c>
      <c r="AB58" s="960"/>
      <c r="AC58" s="960">
        <f>SUM(AC53:AC57)</f>
        <v>31600</v>
      </c>
      <c r="AD58" s="960"/>
      <c r="AE58" s="960">
        <f>SUM(AE53:AE57)</f>
        <v>31600</v>
      </c>
      <c r="AF58" s="960"/>
      <c r="AG58" s="960">
        <f>SUM(AG53:AG57)</f>
        <v>31600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387301.5</v>
      </c>
      <c r="G60" s="962">
        <f>G45-G58</f>
        <v>443303.83749999944</v>
      </c>
      <c r="I60" s="962">
        <f>I45-I58</f>
        <v>500240.23843749892</v>
      </c>
      <c r="K60" s="962">
        <f>K45-K58</f>
        <v>558115.80057343561</v>
      </c>
      <c r="M60" s="962">
        <f>M45-M58</f>
        <v>616935.07134889625</v>
      </c>
      <c r="O60" s="962">
        <f>O45-O58</f>
        <v>676702.0096277846</v>
      </c>
      <c r="Q60" s="962">
        <f>Q45-Q58</f>
        <v>737419.94561002078</v>
      </c>
      <c r="S60" s="962">
        <f>S45-S58</f>
        <v>799091.53883869713</v>
      </c>
      <c r="U60" s="962">
        <f>U45-U58</f>
        <v>861718.73422153201</v>
      </c>
      <c r="W60" s="962">
        <f>W45-W58</f>
        <v>925302.71598395891</v>
      </c>
      <c r="Y60" s="962">
        <f>Y45-Y58</f>
        <v>989843.85946785379</v>
      </c>
      <c r="AA60" s="962">
        <f>AA45-AA58</f>
        <v>1055341.6806866266</v>
      </c>
      <c r="AC60" s="962">
        <f>AC45-AC58</f>
        <v>1121794.7835438671</v>
      </c>
      <c r="AE60" s="962">
        <f>AE45-AE58</f>
        <v>1189200.8046191661</v>
      </c>
      <c r="AG60" s="962">
        <f>AG45-AG58</f>
        <v>1257556.3554209508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0.25</v>
      </c>
      <c r="E62" s="964">
        <f>E60*$C$62</f>
        <v>96825.375</v>
      </c>
      <c r="G62" s="962">
        <f>G60*$C$62</f>
        <v>110825.95937499986</v>
      </c>
      <c r="I62" s="962">
        <f>I60*$C$62</f>
        <v>125060.05960937473</v>
      </c>
      <c r="K62" s="962">
        <f>K60*$C$62</f>
        <v>139528.9501433589</v>
      </c>
      <c r="M62" s="962">
        <f>M60*$C$62</f>
        <v>154233.76783722406</v>
      </c>
      <c r="O62" s="962">
        <f>O60*$C$62</f>
        <v>169175.50240694615</v>
      </c>
      <c r="Q62" s="962">
        <f>Q60*$C$62</f>
        <v>184354.98640250519</v>
      </c>
      <c r="S62" s="962">
        <f>S60*$C$62</f>
        <v>199772.88470967428</v>
      </c>
      <c r="U62" s="962">
        <f>U60*$C$62</f>
        <v>215429.683555383</v>
      </c>
      <c r="W62" s="962">
        <f>W60*$C$62</f>
        <v>231325.67899598973</v>
      </c>
      <c r="Y62" s="962">
        <f>Y60*$C$62</f>
        <v>247460.96486696345</v>
      </c>
      <c r="AA62" s="962">
        <f>AA60*$C$62</f>
        <v>263835.42017165665</v>
      </c>
      <c r="AC62" s="962">
        <f>AC60*$C$62</f>
        <v>280448.69588596676</v>
      </c>
      <c r="AE62" s="962">
        <f>AE60*$C$62</f>
        <v>297300.20115479152</v>
      </c>
      <c r="AG62" s="962">
        <f>AG60*$C$62</f>
        <v>314389.0888552377</v>
      </c>
    </row>
    <row r="63" spans="1:34" s="962" customFormat="1">
      <c r="A63" s="2689" t="s">
        <v>2761</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2762</v>
      </c>
      <c r="B66" s="964"/>
      <c r="C66" s="963"/>
      <c r="E66" s="964">
        <f>$E60*$C$65</f>
        <v>290476.125</v>
      </c>
      <c r="G66" s="960">
        <f>G60*$C$65</f>
        <v>332477.87812499958</v>
      </c>
      <c r="I66" s="960">
        <f>I60*$C$65</f>
        <v>375180.17882812419</v>
      </c>
      <c r="K66" s="960">
        <f>K60*$C$65</f>
        <v>418586.85043007671</v>
      </c>
      <c r="M66" s="960">
        <f>M60*$C$65</f>
        <v>462701.30351167219</v>
      </c>
      <c r="O66" s="960">
        <f>O60*$C$65</f>
        <v>507526.50722083845</v>
      </c>
      <c r="Q66" s="960">
        <f>Q60*$C$65</f>
        <v>553064.95920751558</v>
      </c>
      <c r="S66" s="960">
        <f>S60*$C$65</f>
        <v>599318.65412902285</v>
      </c>
      <c r="U66" s="960">
        <f>U60*$C$65</f>
        <v>646289.05066614901</v>
      </c>
      <c r="W66" s="960">
        <f>W60*$C$65</f>
        <v>693977.03698796919</v>
      </c>
      <c r="Y66" s="960">
        <f>Y60*$C$65</f>
        <v>742382.89460089034</v>
      </c>
      <c r="AA66" s="960">
        <f>AA60*$C$65</f>
        <v>791506.26051496994</v>
      </c>
      <c r="AC66" s="960">
        <f>AC60*$C$65</f>
        <v>841346.08765790029</v>
      </c>
      <c r="AE66" s="960">
        <f>AE60*$C$65</f>
        <v>891900.60346437455</v>
      </c>
      <c r="AG66" s="960">
        <f>AG60*$C$65</f>
        <v>943167.2665657131</v>
      </c>
    </row>
    <row r="67" spans="1:34" s="960" customFormat="1">
      <c r="A67" s="965" t="s">
        <v>2722</v>
      </c>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852</v>
      </c>
      <c r="C70" s="970"/>
      <c r="E70" s="960">
        <f>SUM(E66:E69)</f>
        <v>290476.125</v>
      </c>
      <c r="G70" s="960">
        <f>SUM(G66:G69)</f>
        <v>332477.87812499958</v>
      </c>
      <c r="I70" s="960">
        <f>SUM(I66:I69)</f>
        <v>375180.17882812419</v>
      </c>
      <c r="K70" s="960">
        <f>SUM(K66:K69)</f>
        <v>418586.85043007671</v>
      </c>
      <c r="M70" s="960">
        <f>SUM(M66:M69)</f>
        <v>462701.30351167219</v>
      </c>
      <c r="O70" s="960">
        <f>SUM(O66:O69)</f>
        <v>507526.50722083845</v>
      </c>
      <c r="Q70" s="960">
        <f>SUM(Q66:Q69)</f>
        <v>553064.95920751558</v>
      </c>
      <c r="S70" s="960">
        <f>SUM(S66:S69)</f>
        <v>599318.65412902285</v>
      </c>
      <c r="U70" s="960">
        <f>SUM(U66:U69)</f>
        <v>646289.05066614901</v>
      </c>
      <c r="W70" s="960">
        <f>SUM(W66:W69)</f>
        <v>693977.03698796919</v>
      </c>
      <c r="Y70" s="960">
        <f>SUM(Y66:Y69)</f>
        <v>742382.89460089034</v>
      </c>
      <c r="AA70" s="960">
        <f>SUM(AA66:AA69)</f>
        <v>791506.26051496994</v>
      </c>
      <c r="AC70" s="960">
        <f>SUM(AC66:AC69)</f>
        <v>841346.08765790029</v>
      </c>
      <c r="AE70" s="960">
        <f>SUM(AE66:AE69)</f>
        <v>891900.60346437455</v>
      </c>
      <c r="AG70" s="960">
        <f>SUM(AG66:AG69)</f>
        <v>943167.2665657131</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4338000</v>
      </c>
      <c r="C30" s="266">
        <f>'Sources and Uses Budget'!$C29</f>
        <v>4338000</v>
      </c>
      <c r="D30" s="270">
        <f t="shared" si="0"/>
        <v>0</v>
      </c>
      <c r="E30" s="268"/>
      <c r="F30" s="267"/>
    </row>
    <row r="31" spans="1:6" s="352" customFormat="1">
      <c r="A31" s="145" t="s">
        <v>599</v>
      </c>
      <c r="B31" s="266">
        <f>'Sources and Uses Budget'!$C30</f>
        <v>86737162</v>
      </c>
      <c r="C31" s="266">
        <f>'Sources and Uses Budget'!$C30</f>
        <v>86737162</v>
      </c>
      <c r="D31" s="270">
        <f t="shared" si="0"/>
        <v>0</v>
      </c>
      <c r="E31" s="268"/>
      <c r="F31" s="267"/>
    </row>
    <row r="32" spans="1:6" s="352" customFormat="1">
      <c r="A32" s="145" t="s">
        <v>600</v>
      </c>
      <c r="B32" s="266">
        <f>'Sources and Uses Budget'!$C31</f>
        <v>4553758</v>
      </c>
      <c r="C32" s="266">
        <f>'Sources and Uses Budget'!$C31</f>
        <v>4553758</v>
      </c>
      <c r="D32" s="270">
        <f t="shared" si="0"/>
        <v>0</v>
      </c>
      <c r="E32" s="268"/>
      <c r="F32" s="267"/>
    </row>
    <row r="33" spans="1:6" s="352" customFormat="1">
      <c r="A33" s="145" t="s">
        <v>137</v>
      </c>
      <c r="B33" s="266">
        <f>'Sources and Uses Budget'!$C32</f>
        <v>1912578</v>
      </c>
      <c r="C33" s="266">
        <f>'Sources and Uses Budget'!$C32</f>
        <v>1912578</v>
      </c>
      <c r="D33" s="270">
        <f t="shared" si="0"/>
        <v>0</v>
      </c>
      <c r="E33" s="268"/>
      <c r="F33" s="267"/>
    </row>
    <row r="34" spans="1:6" s="352" customFormat="1">
      <c r="A34" s="145" t="s">
        <v>138</v>
      </c>
      <c r="B34" s="266">
        <f>'Sources and Uses Budget'!$C33</f>
        <v>3825157</v>
      </c>
      <c r="C34" s="266">
        <f>'Sources and Uses Budget'!$C33</f>
        <v>3825157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1000000</v>
      </c>
      <c r="C36" s="266">
        <f>'Sources and Uses Budget'!$C35</f>
        <v>1000000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102366655</v>
      </c>
      <c r="C39" s="270">
        <f>SUM(C30:C38)</f>
        <v>102366655</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1250000</v>
      </c>
      <c r="C41" s="266">
        <f>'Sources and Uses Budget'!$C40</f>
        <v>1250000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ht="13">
      <c r="A43" s="271" t="s">
        <v>147</v>
      </c>
      <c r="B43" s="270">
        <f>SUM(B41:B42)</f>
        <v>1500000</v>
      </c>
      <c r="C43" s="270">
        <f>SUM(C41:C42)</f>
        <v>1500000</v>
      </c>
      <c r="D43" s="270">
        <f t="shared" si="0"/>
        <v>0</v>
      </c>
      <c r="E43" s="268"/>
      <c r="F43" s="267"/>
    </row>
    <row r="44" spans="1:6" s="352" customFormat="1" ht="13">
      <c r="A44" s="271" t="s">
        <v>148</v>
      </c>
      <c r="B44" s="266">
        <f>'Sources and Uses Budget'!$C43</f>
        <v>490000</v>
      </c>
      <c r="C44" s="266">
        <f>'Sources and Uses Budget'!$C43</f>
        <v>490000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10730000</v>
      </c>
      <c r="C46" s="266">
        <f>'Sources and Uses Budget'!$C45</f>
        <v>10730000</v>
      </c>
      <c r="D46" s="270">
        <f t="shared" si="0"/>
        <v>0</v>
      </c>
      <c r="E46" s="268"/>
      <c r="F46" s="267"/>
    </row>
    <row r="47" spans="1:6" s="352" customFormat="1">
      <c r="A47" s="145" t="s">
        <v>151</v>
      </c>
      <c r="B47" s="266">
        <f>'Sources and Uses Budget'!$C46</f>
        <v>600000</v>
      </c>
      <c r="C47" s="266">
        <f>'Sources and Uses Budget'!$C46</f>
        <v>600000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180000</v>
      </c>
      <c r="C50" s="266">
        <f>'Sources and Uses Budget'!$C49</f>
        <v>180000</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603000</v>
      </c>
      <c r="C53" s="266">
        <f>'Sources and Uses Budget'!$C52</f>
        <v>603000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ht="13">
      <c r="A55" s="271" t="s">
        <v>157</v>
      </c>
      <c r="B55" s="273">
        <f>SUM(B46:B54)</f>
        <v>12503000</v>
      </c>
      <c r="C55" s="273">
        <f>SUM(C46:C54)</f>
        <v>12503000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158000</v>
      </c>
      <c r="C57" s="266">
        <f>'Sources and Uses Budget'!$C56</f>
        <v>158000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208000</v>
      </c>
      <c r="C63" s="270">
        <f>SUM(C57:C62)</f>
        <v>208000</v>
      </c>
      <c r="D63" s="270">
        <f t="shared" si="0"/>
        <v>0</v>
      </c>
      <c r="E63" s="268"/>
      <c r="F63" s="267"/>
    </row>
    <row r="64" spans="1:6" s="352" customFormat="1" ht="13">
      <c r="A64" s="274" t="s">
        <v>301</v>
      </c>
      <c r="B64" s="270">
        <f>SUM(B9+B12+B14+B15+B17+B26+B28+B39+B43+B44+B55+B63)</f>
        <v>117067655</v>
      </c>
      <c r="C64" s="270">
        <f>SUM(C9+C12+C14+C15+C17+C26+C28+C39+C43+C44+C55+C63)</f>
        <v>117067655</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195000</v>
      </c>
      <c r="C66" s="266">
        <f>'Sources and Uses Budget'!$C65</f>
        <v>195000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v>
      </c>
      <c r="B70" s="266">
        <f>'Sources and Uses Budget'!$C69</f>
        <v>267905</v>
      </c>
      <c r="C70" s="266">
        <f>'Sources and Uses Budget'!$C69</f>
        <v>267905</v>
      </c>
      <c r="D70" s="270">
        <f t="shared" si="0"/>
        <v>0</v>
      </c>
      <c r="E70" s="268"/>
      <c r="F70" s="267"/>
    </row>
    <row r="71" spans="1:6" s="352" customFormat="1">
      <c r="A71" s="149" t="s">
        <v>1644</v>
      </c>
      <c r="B71" s="270">
        <f>SUM(B66:B70)</f>
        <v>462905</v>
      </c>
      <c r="C71" s="270">
        <f>SUM(C66:C70)</f>
        <v>462905</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1310093</v>
      </c>
      <c r="C76" s="266">
        <f>'Sources and Uses Budget'!$C75</f>
        <v>1310093</v>
      </c>
      <c r="D76" s="270">
        <f t="shared" si="0"/>
        <v>0</v>
      </c>
      <c r="E76" s="268"/>
      <c r="F76" s="267"/>
    </row>
    <row r="77" spans="1:6" s="352" customFormat="1">
      <c r="A77" s="272" t="s">
        <v>34</v>
      </c>
      <c r="B77" s="266">
        <f>'Sources and Uses Budget'!$C76</f>
        <v>850000</v>
      </c>
      <c r="C77" s="266">
        <f>'Sources and Uses Budget'!$C76</f>
        <v>850000</v>
      </c>
      <c r="D77" s="270">
        <f t="shared" si="0"/>
        <v>0</v>
      </c>
      <c r="E77" s="268"/>
      <c r="F77" s="267"/>
    </row>
    <row r="78" spans="1:6" s="352" customFormat="1" ht="13">
      <c r="A78" s="271" t="s">
        <v>606</v>
      </c>
      <c r="B78" s="270">
        <f>SUM(B73:B77)</f>
        <v>2160093</v>
      </c>
      <c r="C78" s="270">
        <f>SUM(C73:C77)</f>
        <v>2160093</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5500000</v>
      </c>
      <c r="C80" s="266">
        <f>'Sources and Uses Budget'!$C79</f>
        <v>5500000</v>
      </c>
      <c r="D80" s="270">
        <f t="shared" si="1"/>
        <v>0</v>
      </c>
      <c r="E80" s="268"/>
      <c r="F80" s="267"/>
    </row>
    <row r="81" spans="1:6" s="352" customFormat="1">
      <c r="A81" s="510" t="s">
        <v>58</v>
      </c>
      <c r="B81" s="266">
        <f>'Sources and Uses Budget'!$C80</f>
        <v>800000</v>
      </c>
      <c r="C81" s="266">
        <f>'Sources and Uses Budget'!$C80</f>
        <v>800000</v>
      </c>
      <c r="D81" s="270">
        <f>C81-B81</f>
        <v>0</v>
      </c>
      <c r="E81" s="268"/>
      <c r="F81" s="267"/>
    </row>
    <row r="82" spans="1:6" s="352" customFormat="1" ht="13">
      <c r="A82" s="271" t="s">
        <v>1208</v>
      </c>
      <c r="B82" s="270">
        <f>SUM(B80:B81)</f>
        <v>6300000</v>
      </c>
      <c r="C82" s="270">
        <f>SUM(C80:C81)</f>
        <v>6300000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180835</v>
      </c>
      <c r="C84" s="266">
        <f>'Sources and Uses Budget'!$C83</f>
        <v>180835</v>
      </c>
      <c r="D84" s="270">
        <f t="shared" si="1"/>
        <v>0</v>
      </c>
      <c r="E84" s="268"/>
      <c r="F84" s="267"/>
    </row>
    <row r="85" spans="1:6" s="352" customFormat="1">
      <c r="A85" s="269" t="s">
        <v>766</v>
      </c>
      <c r="B85" s="266">
        <f>'Sources and Uses Budget'!$C84</f>
        <v>10000</v>
      </c>
      <c r="C85" s="266">
        <f>'Sources and Uses Budget'!$C84</f>
        <v>10000</v>
      </c>
      <c r="D85" s="270">
        <f t="shared" si="1"/>
        <v>0</v>
      </c>
      <c r="E85" s="268"/>
      <c r="F85" s="267"/>
    </row>
    <row r="86" spans="1:6" s="352" customFormat="1">
      <c r="A86" s="269" t="s">
        <v>767</v>
      </c>
      <c r="B86" s="266">
        <f>'Sources and Uses Budget'!$C85</f>
        <v>9345368</v>
      </c>
      <c r="C86" s="266">
        <f>'Sources and Uses Budget'!$C85</f>
        <v>9345368</v>
      </c>
      <c r="D86" s="270">
        <f t="shared" si="1"/>
        <v>0</v>
      </c>
      <c r="E86" s="268"/>
      <c r="F86" s="267"/>
    </row>
    <row r="87" spans="1:6" s="352" customFormat="1">
      <c r="A87" s="269" t="s">
        <v>768</v>
      </c>
      <c r="B87" s="266">
        <f>'Sources and Uses Budget'!$C86</f>
        <v>950000</v>
      </c>
      <c r="C87" s="266">
        <f>'Sources and Uses Budget'!$C86</f>
        <v>950000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246623</v>
      </c>
      <c r="C89" s="266">
        <f>'Sources and Uses Budget'!$C88</f>
        <v>246623</v>
      </c>
      <c r="D89" s="270">
        <f t="shared" si="1"/>
        <v>0</v>
      </c>
      <c r="E89" s="268"/>
      <c r="F89" s="267"/>
    </row>
    <row r="90" spans="1:6" s="352" customFormat="1">
      <c r="A90" s="269" t="s">
        <v>771</v>
      </c>
      <c r="B90" s="266">
        <f>'Sources and Uses Budget'!$C89</f>
        <v>60000</v>
      </c>
      <c r="C90" s="266">
        <f>'Sources and Uses Budget'!$C89</f>
        <v>60000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3251456</v>
      </c>
      <c r="C94" s="266">
        <f>'Sources and Uses Budget'!$C93</f>
        <v>3251456</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14074282</v>
      </c>
      <c r="C97" s="270">
        <f>SUM(C84:C96)</f>
        <v>14074282</v>
      </c>
      <c r="D97" s="270">
        <f t="shared" si="1"/>
        <v>0</v>
      </c>
      <c r="E97" s="268"/>
      <c r="F97" s="267"/>
    </row>
    <row r="98" spans="1:6" s="352" customFormat="1" ht="13">
      <c r="A98" s="271" t="s">
        <v>774</v>
      </c>
      <c r="B98" s="270">
        <f>SUM(B64+B71+B78+B82+B97)</f>
        <v>140064935</v>
      </c>
      <c r="C98" s="270">
        <f>SUM(C64+C71+C78+C82+C97)</f>
        <v>140064935</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19800000</v>
      </c>
      <c r="C100" s="266">
        <f>'Sources and Uses Budget'!$C99</f>
        <v>19800000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19800000</v>
      </c>
      <c r="C105" s="270">
        <f>SUM(C100:C104)</f>
        <v>19800000</v>
      </c>
      <c r="D105" s="270">
        <f t="shared" si="1"/>
        <v>0</v>
      </c>
      <c r="E105" s="268"/>
      <c r="F105" s="267"/>
    </row>
    <row r="106" spans="1:6" s="352" customFormat="1" ht="13">
      <c r="A106" s="271" t="s">
        <v>779</v>
      </c>
      <c r="B106" s="273">
        <f>SUM(B98+B105)</f>
        <v>159864935</v>
      </c>
      <c r="C106" s="273">
        <f>SUM(C98+C105)</f>
        <v>159864935</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1267</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1188</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1189</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7" t="s">
        <v>2044</v>
      </c>
      <c r="B72" s="1267"/>
      <c r="C72" s="1267"/>
      <c r="D72" s="1267"/>
      <c r="E72" s="1267"/>
    </row>
    <row r="73" spans="1:9" ht="12.5">
      <c r="A73" s="1267" t="s">
        <v>2045</v>
      </c>
      <c r="B73" s="1267"/>
      <c r="C73" s="1267"/>
      <c r="D73" s="1267"/>
      <c r="E73" s="1267"/>
    </row>
    <row r="74" spans="1:9" ht="12.5">
      <c r="A74" s="1267" t="s">
        <v>1870</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501" sqref="D501:F50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5"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c r="A15" s="484"/>
      <c r="B15" s="485" t="s">
        <v>2763</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c r="A20" s="484"/>
      <c r="B20" s="485" t="s">
        <v>2763</v>
      </c>
      <c r="D20" s="1283" t="s">
        <v>1922</v>
      </c>
      <c r="E20" s="1283"/>
      <c r="F20" s="1283"/>
      <c r="I20" s="490"/>
    </row>
    <row r="21" spans="1:9">
      <c r="A21" s="484"/>
      <c r="D21" s="1283"/>
      <c r="E21" s="1283"/>
      <c r="F21" s="1283"/>
      <c r="I21" s="490"/>
    </row>
    <row r="22" spans="1:9">
      <c r="A22" s="484"/>
      <c r="D22" s="392"/>
      <c r="E22" s="96" t="s">
        <v>1918</v>
      </c>
      <c r="F22" s="392"/>
      <c r="I22" s="490"/>
    </row>
    <row r="23" spans="1:9">
      <c r="A23" s="484"/>
      <c r="B23" s="484"/>
      <c r="D23" s="446"/>
      <c r="I23" s="490"/>
    </row>
    <row r="24" spans="1:9">
      <c r="A24" s="484"/>
      <c r="B24" s="485" t="s">
        <v>2691</v>
      </c>
      <c r="D24" s="1283" t="s">
        <v>1090</v>
      </c>
      <c r="E24" s="1283"/>
      <c r="F24" s="1283"/>
      <c r="I24" s="490"/>
    </row>
    <row r="25" spans="1:9">
      <c r="A25" s="484"/>
      <c r="B25" s="484"/>
      <c r="D25" s="1283"/>
      <c r="E25" s="1283"/>
      <c r="F25" s="1283"/>
      <c r="I25" s="490"/>
    </row>
    <row r="26" spans="1:9">
      <c r="I26" s="490"/>
    </row>
    <row r="27" spans="1:9">
      <c r="A27" s="484"/>
      <c r="B27" s="485" t="s">
        <v>2763</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2763</v>
      </c>
      <c r="D33" s="1283" t="s">
        <v>2048</v>
      </c>
      <c r="E33" s="1283"/>
      <c r="F33" s="1283"/>
      <c r="I33" s="490"/>
    </row>
    <row r="34" spans="1:9">
      <c r="D34" s="1283"/>
      <c r="E34" s="1283"/>
      <c r="F34" s="1283"/>
      <c r="I34" s="490"/>
    </row>
    <row r="35" spans="1:9">
      <c r="A35" s="484"/>
      <c r="B35" s="484"/>
      <c r="D35" s="447"/>
      <c r="I35" s="490"/>
    </row>
    <row r="36" spans="1:9" ht="14.5" customHeight="1">
      <c r="A36" s="484"/>
      <c r="B36" s="485" t="s">
        <v>2691</v>
      </c>
      <c r="D36" s="1283" t="s">
        <v>1213</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2763</v>
      </c>
      <c r="D41" s="1283" t="s">
        <v>1091</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2691</v>
      </c>
      <c r="D47" s="1283" t="s">
        <v>1092</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2691</v>
      </c>
      <c r="D52" s="1283" t="s">
        <v>1093</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2763</v>
      </c>
      <c r="D56" s="1307" t="s">
        <v>1094</v>
      </c>
      <c r="E56" s="1307"/>
      <c r="F56" s="1307"/>
      <c r="I56" s="490"/>
    </row>
    <row r="57" spans="1:9">
      <c r="A57" s="484"/>
      <c r="B57" s="484"/>
      <c r="D57" s="1307"/>
      <c r="E57" s="1307"/>
      <c r="F57" s="1307"/>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2691</v>
      </c>
      <c r="D61" s="1283" t="s">
        <v>1095</v>
      </c>
      <c r="E61" s="1283"/>
      <c r="F61" s="1283"/>
      <c r="I61" s="490"/>
    </row>
    <row r="62" spans="1:9">
      <c r="D62" s="1283"/>
      <c r="E62" s="1283"/>
      <c r="F62" s="1283"/>
      <c r="I62" s="490"/>
    </row>
    <row r="63" spans="1:9">
      <c r="D63" s="1283"/>
      <c r="E63" s="1283"/>
      <c r="F63" s="1283"/>
      <c r="I63" s="490"/>
    </row>
    <row r="64" spans="1:9">
      <c r="I64" s="490"/>
    </row>
    <row r="65" spans="1:9">
      <c r="A65" s="484"/>
      <c r="B65" s="485" t="s">
        <v>2691</v>
      </c>
      <c r="D65" s="1283" t="s">
        <v>1096</v>
      </c>
      <c r="E65" s="1283"/>
      <c r="F65" s="1283"/>
      <c r="I65" s="490"/>
    </row>
    <row r="66" spans="1:9">
      <c r="D66" s="1283"/>
      <c r="E66" s="1283"/>
      <c r="F66" s="1283"/>
      <c r="I66" s="490"/>
    </row>
    <row r="67" spans="1:9">
      <c r="I67" s="490"/>
    </row>
    <row r="68" spans="1:9">
      <c r="A68" s="484"/>
      <c r="B68" s="485" t="s">
        <v>2763</v>
      </c>
      <c r="D68" s="1283" t="s">
        <v>1097</v>
      </c>
      <c r="E68" s="1283"/>
      <c r="F68" s="1283"/>
      <c r="I68" s="490"/>
    </row>
    <row r="69" spans="1:9">
      <c r="D69" s="1283"/>
      <c r="E69" s="1283"/>
      <c r="F69" s="1283"/>
      <c r="I69" s="490"/>
    </row>
    <row r="70" spans="1:9">
      <c r="D70" s="1283"/>
      <c r="E70" s="1283"/>
      <c r="F70" s="1283"/>
      <c r="I70" s="490"/>
    </row>
    <row r="71" spans="1:9">
      <c r="I71" s="490"/>
    </row>
    <row r="72" spans="1:9">
      <c r="A72" s="484"/>
      <c r="B72" s="485" t="s">
        <v>2691</v>
      </c>
      <c r="D72" s="1283" t="s">
        <v>1098</v>
      </c>
      <c r="E72" s="1283"/>
      <c r="F72" s="1283"/>
      <c r="I72" s="490"/>
    </row>
    <row r="73" spans="1:9">
      <c r="D73" s="1283"/>
      <c r="E73" s="1283"/>
      <c r="F73" s="1283"/>
      <c r="I73" s="490"/>
    </row>
    <row r="74" spans="1:9">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5" customHeight="1">
      <c r="A80" s="484"/>
      <c r="B80" s="485" t="s">
        <v>2763</v>
      </c>
      <c r="D80" s="1283" t="s">
        <v>1244</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2763</v>
      </c>
      <c r="D89" s="1283" t="s">
        <v>1741</v>
      </c>
      <c r="E89" s="1283"/>
      <c r="F89" s="1283"/>
      <c r="I89" s="490"/>
    </row>
    <row r="90" spans="1:9">
      <c r="A90" s="484"/>
      <c r="B90" s="484"/>
      <c r="D90" s="1283"/>
      <c r="E90" s="1283"/>
      <c r="F90" s="1283"/>
      <c r="I90" s="490"/>
    </row>
    <row r="91" spans="1:9">
      <c r="A91" s="484"/>
      <c r="B91" s="484"/>
      <c r="D91" s="445"/>
      <c r="E91" s="445"/>
      <c r="F91" s="445"/>
      <c r="I91" s="490"/>
    </row>
    <row r="92" spans="1:9">
      <c r="A92" s="484"/>
      <c r="B92" s="485" t="s">
        <v>2763</v>
      </c>
      <c r="D92" s="1283" t="s">
        <v>1744</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2763</v>
      </c>
      <c r="D96" s="1283" t="s">
        <v>1743</v>
      </c>
      <c r="E96" s="1283"/>
      <c r="F96" s="1283"/>
      <c r="I96" s="490"/>
    </row>
    <row r="97" spans="1:9" s="987" customFormat="1">
      <c r="A97" s="985"/>
      <c r="B97" s="985"/>
      <c r="C97" s="986"/>
      <c r="D97" s="1283"/>
      <c r="E97" s="1283"/>
      <c r="F97" s="1283"/>
      <c r="I97" s="1154"/>
    </row>
    <row r="98" spans="1:9">
      <c r="A98" s="484"/>
      <c r="B98" s="484"/>
      <c r="D98" s="392"/>
      <c r="E98" s="312" t="s">
        <v>1923</v>
      </c>
      <c r="F98" s="445"/>
      <c r="I98" s="490"/>
    </row>
    <row r="99" spans="1:9">
      <c r="A99" s="484"/>
      <c r="B99" s="484"/>
      <c r="D99" s="385"/>
      <c r="E99" s="385"/>
      <c r="F99" s="385"/>
      <c r="I99" s="490"/>
    </row>
    <row r="100" spans="1:9">
      <c r="A100" s="484"/>
      <c r="B100" s="485" t="s">
        <v>2691</v>
      </c>
      <c r="D100" s="1283" t="s">
        <v>1742</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2691</v>
      </c>
      <c r="D103" s="1283" t="s">
        <v>1193</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2691</v>
      </c>
      <c r="D119" s="1303" t="s">
        <v>1102</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2763</v>
      </c>
      <c r="C128" s="402"/>
      <c r="D128" s="1303" t="s">
        <v>2049</v>
      </c>
      <c r="E128" s="1303"/>
      <c r="F128" s="1303"/>
      <c r="I128" s="490"/>
    </row>
    <row r="129" spans="1:9">
      <c r="A129" s="484"/>
      <c r="B129" s="484"/>
      <c r="C129" s="402"/>
      <c r="D129" s="1303"/>
      <c r="E129" s="1303"/>
      <c r="F129" s="1303"/>
      <c r="I129" s="490"/>
    </row>
    <row r="130" spans="1:9">
      <c r="I130" s="490"/>
    </row>
    <row r="131" spans="1:9">
      <c r="A131" s="484"/>
      <c r="B131" s="485" t="s">
        <v>2691</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2763</v>
      </c>
      <c r="D137" s="1283" t="s">
        <v>1104</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2763</v>
      </c>
      <c r="D151" s="1283" t="s">
        <v>1176</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2072</v>
      </c>
      <c r="E169" s="1304"/>
      <c r="F169" s="1304"/>
      <c r="G169" s="507"/>
      <c r="I169" s="490"/>
    </row>
    <row r="170" spans="1:9" ht="13.75" customHeight="1">
      <c r="D170" s="1295"/>
      <c r="E170" s="1295"/>
      <c r="F170" s="1295"/>
      <c r="G170" s="1295"/>
      <c r="I170" s="490"/>
    </row>
    <row r="171" spans="1:9" ht="14.5" customHeight="1">
      <c r="A171" s="489"/>
      <c r="B171" s="485" t="s">
        <v>2691</v>
      </c>
      <c r="C171" s="476"/>
      <c r="D171" s="1263" t="s">
        <v>2212</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2763</v>
      </c>
      <c r="C177" s="476"/>
      <c r="D177" s="1263" t="s">
        <v>1105</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2691</v>
      </c>
      <c r="D182" s="1287" t="s">
        <v>2050</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2763</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2691</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2691</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2691</v>
      </c>
      <c r="D209" s="386" t="s">
        <v>1894</v>
      </c>
      <c r="E209" s="385"/>
      <c r="F209" s="385"/>
      <c r="I209" s="490"/>
    </row>
    <row r="210" spans="1:9">
      <c r="A210" s="484"/>
      <c r="B210" s="484"/>
      <c r="D210" s="1300" t="s">
        <v>1901</v>
      </c>
      <c r="E210" s="1300"/>
      <c r="F210" s="1300"/>
      <c r="I210" s="490"/>
    </row>
    <row r="211" spans="1:9">
      <c r="D211" s="385"/>
      <c r="E211" s="1302" t="s">
        <v>1927</v>
      </c>
      <c r="F211" s="1302"/>
      <c r="I211" s="490"/>
    </row>
    <row r="212" spans="1:9">
      <c r="D212" s="447"/>
      <c r="I212" s="490"/>
    </row>
    <row r="213" spans="1:9">
      <c r="B213" s="485" t="s">
        <v>2691</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c r="A217" s="484"/>
      <c r="B217" s="485" t="s">
        <v>2691</v>
      </c>
      <c r="D217" s="1283" t="s">
        <v>1215</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5" customHeight="1">
      <c r="A227" s="490"/>
      <c r="C227" s="490"/>
      <c r="D227" s="1291" t="s">
        <v>546</v>
      </c>
      <c r="E227" s="1291"/>
      <c r="F227" s="1291"/>
      <c r="I227" s="490"/>
    </row>
    <row r="228" spans="1:9">
      <c r="A228" s="484"/>
      <c r="B228" s="485" t="s">
        <v>2763</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2763</v>
      </c>
      <c r="D233" s="1283" t="s">
        <v>1753</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1117</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2691</v>
      </c>
      <c r="D245" s="1283" t="s">
        <v>2052</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1895</v>
      </c>
      <c r="I248" s="490"/>
    </row>
    <row r="249" spans="1:9">
      <c r="A249" s="484"/>
      <c r="B249" s="484"/>
      <c r="D249" s="446"/>
      <c r="E249" s="446"/>
      <c r="F249" s="446"/>
      <c r="I249" s="490"/>
    </row>
    <row r="250" spans="1:9" ht="14.5" customHeight="1">
      <c r="A250" s="484"/>
      <c r="B250" s="485" t="s">
        <v>2691</v>
      </c>
      <c r="D250" s="1283" t="s">
        <v>2053</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2763</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2763</v>
      </c>
      <c r="D259" s="1283" t="s">
        <v>1118</v>
      </c>
      <c r="E259" s="1283"/>
      <c r="F259" s="1283"/>
      <c r="I259" s="490"/>
    </row>
    <row r="260" spans="1:9">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5" customHeight="1">
      <c r="A267" s="484"/>
      <c r="B267" s="485" t="s">
        <v>2763</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5" customHeight="1">
      <c r="A271" s="484"/>
      <c r="B271" s="485" t="s">
        <v>2691</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2763</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c r="A290" s="484"/>
      <c r="B290" s="485" t="s">
        <v>2691</v>
      </c>
      <c r="D290" s="1283" t="s">
        <v>1124</v>
      </c>
      <c r="E290" s="1283"/>
      <c r="F290" s="1283"/>
      <c r="I290" s="490"/>
    </row>
    <row r="291" spans="1:9">
      <c r="A291" s="484"/>
      <c r="B291" s="484"/>
      <c r="D291" s="1283"/>
      <c r="E291" s="1283"/>
      <c r="F291" s="1283"/>
      <c r="I291" s="490"/>
    </row>
    <row r="292" spans="1:9">
      <c r="D292" s="446"/>
      <c r="E292" s="446"/>
      <c r="F292" s="446"/>
      <c r="I292" s="490"/>
    </row>
    <row r="293" spans="1:9">
      <c r="A293" s="484"/>
      <c r="B293" s="485" t="s">
        <v>2691</v>
      </c>
      <c r="D293" s="1283" t="s">
        <v>1125</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2691</v>
      </c>
      <c r="D297" s="1283" t="s">
        <v>1126</v>
      </c>
      <c r="E297" s="1283"/>
      <c r="F297" s="1283"/>
      <c r="I297" s="490"/>
    </row>
    <row r="298" spans="1:9">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2691</v>
      </c>
      <c r="D305" s="1284" t="s">
        <v>1128</v>
      </c>
      <c r="E305" s="1284"/>
      <c r="F305" s="1284"/>
      <c r="I305" s="490"/>
    </row>
    <row r="306" spans="1:9">
      <c r="A306" s="484"/>
      <c r="B306" s="484"/>
      <c r="D306" s="494"/>
      <c r="E306" s="495"/>
      <c r="F306" s="495"/>
      <c r="I306" s="490"/>
    </row>
    <row r="307" spans="1:9" ht="13.75" customHeight="1">
      <c r="B307" s="485" t="s">
        <v>2691</v>
      </c>
      <c r="D307" s="1293" t="s">
        <v>1218</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2691</v>
      </c>
      <c r="D313" s="1293" t="s">
        <v>1129</v>
      </c>
      <c r="E313" s="1293"/>
      <c r="F313" s="1293"/>
      <c r="I313" s="490"/>
    </row>
    <row r="314" spans="1:9">
      <c r="D314" s="1293"/>
      <c r="E314" s="1293"/>
      <c r="F314" s="1293"/>
      <c r="I314" s="490"/>
    </row>
    <row r="315" spans="1:9">
      <c r="A315" s="484"/>
      <c r="B315" s="484"/>
      <c r="D315" s="494"/>
      <c r="E315" s="495"/>
      <c r="F315" s="495"/>
      <c r="I315" s="490"/>
    </row>
    <row r="316" spans="1:9">
      <c r="B316" s="485" t="s">
        <v>2691</v>
      </c>
      <c r="D316" s="1284" t="s">
        <v>1130</v>
      </c>
      <c r="E316" s="1284"/>
      <c r="F316" s="1284"/>
      <c r="I316" s="490"/>
    </row>
    <row r="317" spans="1:9">
      <c r="E317" s="446"/>
      <c r="F317" s="446"/>
      <c r="I317" s="490"/>
    </row>
    <row r="318" spans="1:9">
      <c r="A318" s="484"/>
      <c r="B318" s="485" t="s">
        <v>2691</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2691</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2691</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2691</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c r="A360" s="484"/>
      <c r="B360" s="485" t="s">
        <v>2691</v>
      </c>
      <c r="C360" s="476"/>
      <c r="D360" s="1295" t="s">
        <v>2056</v>
      </c>
      <c r="E360" s="1295"/>
      <c r="F360" s="1295"/>
      <c r="I360" s="480"/>
    </row>
    <row r="361" spans="1:9">
      <c r="A361" s="476"/>
      <c r="B361" s="476"/>
      <c r="C361" s="476"/>
      <c r="D361" s="447"/>
      <c r="E361" s="447"/>
      <c r="F361" s="446"/>
      <c r="I361" s="490"/>
    </row>
    <row r="362" spans="1:9">
      <c r="A362" s="476"/>
      <c r="B362" s="485" t="s">
        <v>2691</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2691</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2691</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2691</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2691</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2691</v>
      </c>
      <c r="D423" s="1263" t="s">
        <v>1881</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2691</v>
      </c>
      <c r="C429" s="476"/>
      <c r="D429" s="1263" t="s">
        <v>1239</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c r="A435" s="484"/>
      <c r="B435" s="485" t="s">
        <v>2691</v>
      </c>
      <c r="C435" s="487"/>
      <c r="D435" s="1283" t="s">
        <v>2058</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2691</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2691</v>
      </c>
      <c r="C471" s="484"/>
      <c r="D471" s="1283" t="s">
        <v>1196</v>
      </c>
      <c r="E471" s="1283"/>
      <c r="F471" s="1283"/>
      <c r="I471" s="490"/>
    </row>
    <row r="472" spans="1:9">
      <c r="D472" s="1283"/>
      <c r="E472" s="1283"/>
      <c r="F472" s="1283"/>
      <c r="I472" s="490"/>
    </row>
    <row r="473" spans="1:9">
      <c r="D473" s="446"/>
      <c r="E473" s="446"/>
      <c r="F473" s="446"/>
      <c r="I473" s="490"/>
    </row>
    <row r="474" spans="1:9">
      <c r="B474" s="485" t="s">
        <v>2691</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2691</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2691</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2691</v>
      </c>
      <c r="C486" s="402"/>
      <c r="D486" s="1283"/>
      <c r="E486" s="1283"/>
      <c r="F486" s="1283"/>
      <c r="I486" s="490"/>
    </row>
    <row r="487" spans="1:9">
      <c r="A487" s="402"/>
      <c r="C487" s="402"/>
      <c r="D487" s="1283"/>
      <c r="E487" s="1283"/>
      <c r="F487" s="1283"/>
      <c r="I487" s="490"/>
    </row>
    <row r="488" spans="1:9">
      <c r="A488" s="402"/>
      <c r="B488" s="485" t="s">
        <v>2691</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2691</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c r="A499" s="484"/>
      <c r="B499" s="484"/>
      <c r="D499" s="1295" t="s">
        <v>1140</v>
      </c>
      <c r="E499" s="1295"/>
      <c r="F499" s="1295"/>
      <c r="I499" s="490"/>
    </row>
    <row r="500" spans="1:9">
      <c r="A500" s="484"/>
      <c r="B500" s="484"/>
      <c r="D500" s="447"/>
      <c r="I500" s="490"/>
    </row>
    <row r="501" spans="1:9">
      <c r="A501" s="484"/>
      <c r="B501" s="485" t="s">
        <v>2691</v>
      </c>
      <c r="D501" s="1263" t="s">
        <v>1141</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2691</v>
      </c>
      <c r="D504" s="1287" t="s">
        <v>1272</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2691</v>
      </c>
      <c r="D509" s="1284" t="s">
        <v>1142</v>
      </c>
      <c r="E509" s="1284"/>
      <c r="F509" s="1284"/>
      <c r="I509" s="490"/>
    </row>
    <row r="510" spans="1:9">
      <c r="A510" s="484"/>
      <c r="B510" s="484"/>
      <c r="D510" s="446"/>
      <c r="I510" s="490"/>
    </row>
    <row r="511" spans="1:9">
      <c r="A511" s="484"/>
      <c r="B511" s="485" t="s">
        <v>2691</v>
      </c>
      <c r="D511" s="1283" t="s">
        <v>1143</v>
      </c>
      <c r="E511" s="1283"/>
      <c r="F511" s="1283"/>
      <c r="I511" s="490"/>
    </row>
    <row r="512" spans="1:9">
      <c r="A512" s="484"/>
      <c r="D512" s="1283"/>
      <c r="E512" s="1283"/>
      <c r="F512" s="1283"/>
      <c r="I512" s="490"/>
    </row>
    <row r="513" spans="1:9">
      <c r="A513" s="490"/>
      <c r="B513" s="490"/>
      <c r="D513" s="447"/>
      <c r="I513" s="490"/>
    </row>
    <row r="514" spans="1:9">
      <c r="A514" s="490"/>
      <c r="B514" s="485" t="s">
        <v>2691</v>
      </c>
      <c r="D514" s="1284" t="s">
        <v>1144</v>
      </c>
      <c r="E514" s="1284"/>
      <c r="F514" s="1284"/>
      <c r="I514" s="490"/>
    </row>
    <row r="515" spans="1:9">
      <c r="D515" s="446"/>
      <c r="E515" s="446"/>
      <c r="F515" s="446"/>
      <c r="I515" s="490"/>
    </row>
    <row r="516" spans="1:9">
      <c r="B516" s="485" t="s">
        <v>2691</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2763</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2763</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2691</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5" customHeight="1">
      <c r="A548" s="484"/>
      <c r="B548" s="485" t="s">
        <v>2763</v>
      </c>
      <c r="C548" s="487"/>
      <c r="D548" s="1284" t="s">
        <v>883</v>
      </c>
      <c r="E548" s="1284"/>
      <c r="F548" s="1284"/>
      <c r="I548" s="490"/>
    </row>
    <row r="549" spans="1:9" ht="13.75" customHeight="1">
      <c r="A549" s="487"/>
      <c r="B549" s="487"/>
      <c r="C549" s="487"/>
      <c r="D549" s="446"/>
      <c r="I549" s="490"/>
    </row>
    <row r="550" spans="1:9">
      <c r="A550" s="484"/>
      <c r="B550" s="485" t="s">
        <v>2763</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2763</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2763</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2763</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2691</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2763</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2763</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c r="A572" s="484"/>
      <c r="B572" s="484"/>
      <c r="C572" s="487"/>
      <c r="E572" s="446"/>
      <c r="F572" s="446"/>
      <c r="I572" s="490"/>
    </row>
    <row r="573" spans="1:9">
      <c r="A573" s="484"/>
      <c r="B573" s="485" t="s">
        <v>2763</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2763</v>
      </c>
      <c r="C578" s="487"/>
      <c r="D578" s="1283" t="s">
        <v>2062</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2763</v>
      </c>
      <c r="D588" s="1287" t="s">
        <v>887</v>
      </c>
      <c r="E588" s="1287"/>
      <c r="F588" s="1287"/>
      <c r="I588" s="490"/>
    </row>
    <row r="589" spans="1:9">
      <c r="A589" s="490"/>
      <c r="B589" s="490"/>
      <c r="D589" s="476"/>
      <c r="I589" s="490"/>
    </row>
    <row r="590" spans="1:9">
      <c r="A590" s="490"/>
      <c r="B590" s="485" t="s">
        <v>2763</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2691</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2763</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2691</v>
      </c>
      <c r="D602" s="1287" t="s">
        <v>1068</v>
      </c>
      <c r="E602" s="1287"/>
      <c r="F602" s="1287"/>
      <c r="I602" s="490"/>
    </row>
    <row r="603" spans="1:9">
      <c r="A603" s="490"/>
      <c r="B603" s="490"/>
      <c r="D603" s="1287"/>
      <c r="E603" s="1287"/>
      <c r="F603" s="1287"/>
      <c r="I603" s="490"/>
    </row>
    <row r="604" spans="1:9">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2763</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2763</v>
      </c>
      <c r="D620" s="1308" t="s">
        <v>1110</v>
      </c>
      <c r="E620" s="1308"/>
      <c r="F620" s="1308"/>
      <c r="I620" s="490"/>
    </row>
    <row r="621" spans="1:9">
      <c r="D621" s="1308"/>
      <c r="E621" s="1308"/>
      <c r="F621" s="1308"/>
      <c r="I621" s="490"/>
    </row>
    <row r="622" spans="1:9">
      <c r="I622" s="490"/>
    </row>
    <row r="623" spans="1:9">
      <c r="B623" s="485" t="s">
        <v>2763</v>
      </c>
      <c r="D623" s="1308" t="s">
        <v>1111</v>
      </c>
      <c r="E623" s="1308"/>
      <c r="F623" s="1308"/>
      <c r="I623" s="490"/>
    </row>
    <row r="624" spans="1:9">
      <c r="C624" s="500"/>
      <c r="D624" s="1308"/>
      <c r="E624" s="1308"/>
      <c r="F624" s="1308"/>
      <c r="I624" s="490"/>
    </row>
    <row r="625" spans="1:9">
      <c r="C625" s="500"/>
      <c r="I625" s="490"/>
    </row>
    <row r="626" spans="1:9">
      <c r="B626" s="485" t="s">
        <v>2691</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2763</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2691</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2691</v>
      </c>
      <c r="C643" s="487"/>
      <c r="D643" s="1283" t="s">
        <v>1224</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2691</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2691</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2691</v>
      </c>
      <c r="C658" s="487"/>
      <c r="D658" s="1283" t="s">
        <v>1282</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2691</v>
      </c>
      <c r="C664" s="487"/>
      <c r="D664" s="1283" t="s">
        <v>1281</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2691</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c r="A685" s="484"/>
      <c r="B685" s="485" t="s">
        <v>2763</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2691</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2763</v>
      </c>
      <c r="C694" s="483"/>
      <c r="D694" s="1284" t="s">
        <v>916</v>
      </c>
      <c r="E694" s="1284"/>
      <c r="F694" s="1284"/>
      <c r="H694" s="501"/>
      <c r="I694" s="483"/>
      <c r="J694" s="501"/>
      <c r="K694" s="501"/>
    </row>
    <row r="695" spans="1:11">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2691</v>
      </c>
      <c r="C698" s="483"/>
      <c r="D698" s="1284" t="s">
        <v>2469</v>
      </c>
      <c r="E698" s="1284"/>
      <c r="F698" s="1284"/>
      <c r="H698" s="501"/>
      <c r="I698" s="483"/>
      <c r="J698" s="501"/>
      <c r="K698" s="501"/>
    </row>
    <row r="699" spans="1:11">
      <c r="A699" s="484"/>
      <c r="B699" s="484"/>
      <c r="C699" s="483"/>
      <c r="D699" s="1284" t="s">
        <v>893</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2691</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2691</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2691</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2691</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2691</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2691</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2691</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2691</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c r="A758" s="484"/>
      <c r="B758" s="485" t="s">
        <v>2763</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2691</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2691</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2691</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2691</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2763</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2691</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2691</v>
      </c>
      <c r="C794" s="989"/>
      <c r="D794" s="1316" t="s">
        <v>1757</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2691</v>
      </c>
      <c r="C798" s="989"/>
      <c r="D798" s="1316" t="s">
        <v>1758</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1801</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2691</v>
      </c>
      <c r="C808" s="989"/>
      <c r="D808" s="1316" t="s">
        <v>1759</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2691</v>
      </c>
      <c r="C815" s="989"/>
      <c r="D815" s="1316" t="s">
        <v>1760</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2691</v>
      </c>
      <c r="C822" s="989"/>
      <c r="D822" s="1288" t="s">
        <v>1761</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2763</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2763</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2691</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2691</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2691</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2763</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2763</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2691</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2691</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2691</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2763</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2763</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2763</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2691</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2691</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2691</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2691</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2763</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2763</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2691</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2691</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2691</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2691</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2763</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2763</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2691</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2691</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2691</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2691</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2763</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2763</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2691</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2691</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2691</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2691</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2763</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306</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2691</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2691</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2763</v>
      </c>
      <c r="C1062" s="402"/>
      <c r="D1062" s="402" t="s">
        <v>1811</v>
      </c>
      <c r="I1062" s="490"/>
    </row>
    <row r="1063" spans="1:9">
      <c r="A1063" s="402"/>
      <c r="B1063" s="402"/>
      <c r="C1063" s="402"/>
      <c r="I1063" s="490"/>
    </row>
    <row r="1064" spans="1:9">
      <c r="A1064" s="402"/>
      <c r="B1064" s="485" t="s">
        <v>2691</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2763</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2763</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2691</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2691</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2691</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2691</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2691</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2691</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2691</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2763</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2691</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05" zoomScaleNormal="105"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Bay Area ((Alameda, Contra Costa, Marin, San Francisco, San Mateo, Santa Clara, and Santa Cruz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56</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2510</v>
      </c>
      <c r="BE8" s="1249">
        <f>SUMIF($AC$718:$AC$752,"&lt;=35%",$G$718:G$752)-SUM($BE$5:BE7)</f>
        <v>0</v>
      </c>
    </row>
    <row r="9" spans="1:58" ht="13" customHeight="1">
      <c r="A9" s="1836" t="s">
        <v>2076</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2502</v>
      </c>
      <c r="BE9" s="1249">
        <f>SUMIF($AC$718:$AC$752,"&lt;=40%",$G$718:G$752)-SUM($BE$5:BE8)</f>
        <v>0</v>
      </c>
    </row>
    <row r="10" spans="1:58" ht="13" customHeight="1">
      <c r="A10" s="1836" t="s">
        <v>2459</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2511</v>
      </c>
      <c r="BE10" s="1249">
        <f>SUMIF($AC$718:$AC$752,"&lt;=45%",$G$718:G$752)-SUM($BE$5:BE9)</f>
        <v>0</v>
      </c>
    </row>
    <row r="11" spans="1:58" ht="13" customHeight="1">
      <c r="A11" s="1836" t="s">
        <v>2605</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2503</v>
      </c>
      <c r="BE11" s="1249">
        <f>SUMIF($AC$718:$AC$752,"&lt;=50%",$G$718:G$752)-SUM($BE$5:BE10)</f>
        <v>6</v>
      </c>
    </row>
    <row r="12" spans="1:58" ht="13" customHeight="1">
      <c r="A12" s="1837" t="s">
        <v>2610</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2512</v>
      </c>
      <c r="BE12" s="1249">
        <f>SUMIF($AC$718:$AC$752,"&lt;=55%",$G$718:G$752)-SUM($BE$5:BE11)</f>
        <v>0</v>
      </c>
    </row>
    <row r="13" spans="1:58" ht="13"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6</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171</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2078</v>
      </c>
      <c r="C16" s="4"/>
      <c r="D16" s="4"/>
      <c r="E16" s="4"/>
      <c r="F16" s="4"/>
      <c r="G16" s="4"/>
      <c r="H16" s="1568" t="s">
        <v>2611</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655</v>
      </c>
      <c r="BE16" s="1249" t="str">
        <f>Application!H18</f>
        <v>Warm Springs Apartments</v>
      </c>
    </row>
    <row r="17" spans="1:58" ht="13" customHeight="1">
      <c r="BD17" s="1247" t="s">
        <v>2519</v>
      </c>
      <c r="BE17" s="1249">
        <f>Application!AA934</f>
        <v>0</v>
      </c>
    </row>
    <row r="18" spans="1:58" ht="13" customHeight="1">
      <c r="A18" s="57" t="s">
        <v>101</v>
      </c>
      <c r="C18" s="4"/>
      <c r="D18" s="4"/>
      <c r="E18" s="4"/>
      <c r="F18" s="4"/>
      <c r="G18" s="4"/>
      <c r="H18" s="1522" t="s">
        <v>2612</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3" customHeight="1">
      <c r="BD19" s="1247" t="s">
        <v>2521</v>
      </c>
      <c r="BE19" s="1249">
        <f>Application!M26</f>
        <v>8084459</v>
      </c>
    </row>
    <row r="20" spans="1:58" ht="13" customHeight="1">
      <c r="A20" s="1838" t="s">
        <v>872</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2522</v>
      </c>
      <c r="BE20" s="1249">
        <f>Application!M27</f>
        <v>0</v>
      </c>
    </row>
    <row r="21" spans="1:58" ht="13" customHeight="1">
      <c r="A21" s="1841" t="s">
        <v>1008</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80000000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159864935</v>
      </c>
      <c r="BF22" s="3" t="s">
        <v>2596</v>
      </c>
    </row>
    <row r="23" spans="1:58" ht="13"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246149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3" customHeight="1">
      <c r="A26" s="4"/>
      <c r="C26" s="4"/>
      <c r="D26" s="4"/>
      <c r="E26" s="4"/>
      <c r="F26" s="4"/>
      <c r="G26" s="4"/>
      <c r="H26" s="4"/>
      <c r="I26" s="4"/>
      <c r="J26" s="4"/>
      <c r="K26" s="4"/>
      <c r="L26" s="4"/>
      <c r="M26" s="1840">
        <f>'Basis &amp; Credits'!AB56</f>
        <v>8084459</v>
      </c>
      <c r="N26" s="1840"/>
      <c r="O26" s="1840"/>
      <c r="P26" s="1840"/>
      <c r="Q26" s="1840"/>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1266</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6" t="s">
        <v>2147</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0</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1277</v>
      </c>
      <c r="C33" s="519"/>
      <c r="D33" s="519"/>
      <c r="E33" s="519"/>
      <c r="F33" s="519"/>
      <c r="G33" s="519"/>
      <c r="H33" s="519"/>
      <c r="I33" s="519"/>
      <c r="J33" s="519"/>
      <c r="K33" s="519"/>
      <c r="L33" s="519"/>
      <c r="M33" s="519"/>
      <c r="N33" s="519"/>
      <c r="O33" s="1415" t="s">
        <v>668</v>
      </c>
      <c r="P33" s="1415"/>
      <c r="Q33" s="1839" t="s">
        <v>2148</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2597</v>
      </c>
      <c r="BE33" s="1249" t="str">
        <f>Application!D220</f>
        <v>East Bay Region: Alameda and Contra Costa Counties</v>
      </c>
    </row>
    <row r="34" spans="1:57" ht="13" customHeight="1">
      <c r="A34" s="1536" t="s">
        <v>2149</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45021 Warm Springs Boulevard</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Fremont</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Alameda</v>
      </c>
    </row>
    <row r="38" spans="1:57" ht="13" customHeight="1">
      <c r="A38" s="3"/>
      <c r="AZ38" s="20"/>
      <c r="BD38" s="1248" t="s">
        <v>2535</v>
      </c>
      <c r="BE38" s="1249">
        <f>Application!I190</f>
        <v>94539</v>
      </c>
    </row>
    <row r="39" spans="1:57" ht="13"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241</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239</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0.598744769874477</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0.59889102323657761</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663339.97925311199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Central Valley Coalition for Affordable Housing</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3"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TPC Holdings IX,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The Pacific Companies</v>
      </c>
    </row>
    <row r="54" spans="1:57" ht="13"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t="str">
        <f>Application!M259</f>
        <v>Maracor Holdings, LLC</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t="str">
        <f>Application!M262</f>
        <v>Bradford S. Dickason</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t="str">
        <f>Application!AA265</f>
        <v>Maracor Development, Inc.</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Pacific West Communities,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Eagle, ID 83616</v>
      </c>
    </row>
    <row r="60" spans="1:57" ht="13"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Caleb Roope</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0.81991800999999997</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546" t="s">
        <v>2156</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2594</v>
      </c>
      <c r="BE65" s="1249">
        <f>Z205</f>
        <v>0</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2559</v>
      </c>
      <c r="BE66" s="1249"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6" t="s">
        <v>2157</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2562</v>
      </c>
      <c r="BE69" s="1249" t="str">
        <f>Application!W700</f>
        <v>California Municipal Finance Authority (CMFA)</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2563</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536" t="s">
        <v>2158</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10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5" t="s">
        <v>2159</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2568</v>
      </c>
      <c r="BE75" s="1249">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2569</v>
      </c>
      <c r="BE76" s="1249">
        <f>'Points System'!AF811</f>
        <v>10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6" t="s">
        <v>2160</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2572</v>
      </c>
      <c r="BE79" s="1249">
        <f>'Points System'!AF815</f>
        <v>10</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2573</v>
      </c>
      <c r="BE80" s="1249">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0.91364665582143201</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Fremont</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Karena Shackelford</v>
      </c>
    </row>
    <row r="86" spans="1:57" ht="13"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3300 Capitol Avenue, Building A</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Fremont</v>
      </c>
    </row>
    <row r="89" spans="1:57" ht="13" customHeight="1">
      <c r="A89" s="1554" t="s">
        <v>2163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2582</v>
      </c>
      <c r="BE89" s="1249">
        <f>Application!O158</f>
        <v>94538</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2583</v>
      </c>
      <c r="BE90" s="1249" t="str">
        <f>Application!H16</f>
        <v>Fremont Warm Springs Pacific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430 E. State Street, Suite 100</v>
      </c>
    </row>
    <row r="92" spans="1:57" ht="13" customHeight="1">
      <c r="A92" s="1545" t="s">
        <v>2164</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2585</v>
      </c>
      <c r="BE92" s="1249" t="str">
        <f>Application!M234</f>
        <v>Eagle</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2586</v>
      </c>
      <c r="BE93" s="1249" t="str">
        <f>Application!W234</f>
        <v>ID</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2587</v>
      </c>
      <c r="BE94" s="1249">
        <f>Application!AC234</f>
        <v>83616</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2588</v>
      </c>
      <c r="BE95" s="1249" t="str">
        <f>Application!M235</f>
        <v>Caleb Roope</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2589</v>
      </c>
      <c r="BE96" s="1249" t="str">
        <f>Application!M237</f>
        <v>calebr@tpchousing.com</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2590</v>
      </c>
      <c r="BE97" s="1249" t="str">
        <f>Application!M248</f>
        <v>chris@centralvalleycoalition.com</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2591</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bdickason@maracordev.com</v>
      </c>
    </row>
    <row r="100" spans="1:57" ht="13" customHeight="1">
      <c r="A100" s="1555" t="s">
        <v>2165</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2593</v>
      </c>
      <c r="BE100" s="1249" t="str">
        <f>Application!L279</f>
        <v>tonyc@tpchousing.com</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2598</v>
      </c>
      <c r="BE101">
        <f>'Sources and Uses Budget'!C105</f>
        <v>159864935</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2599</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2166</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48"/>
      <c r="H113" s="1548"/>
      <c r="I113" s="3" t="s">
        <v>181</v>
      </c>
      <c r="L113" s="1548" t="s">
        <v>2616</v>
      </c>
      <c r="M113" s="1548"/>
      <c r="N113" s="1548"/>
      <c r="O113" s="1548"/>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t="s">
        <v>2613</v>
      </c>
      <c r="D115" s="1549"/>
      <c r="E115" s="1549"/>
      <c r="F115" s="1549"/>
      <c r="G115" s="1549"/>
      <c r="H115" s="1549"/>
      <c r="I115" s="1549"/>
      <c r="J115" s="1549"/>
      <c r="K115" s="1549"/>
      <c r="L115" s="202" t="s">
        <v>2614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48"/>
      <c r="Z117" s="1548"/>
      <c r="AA117" s="1548"/>
      <c r="AB117" s="1548"/>
      <c r="AC117" s="1548"/>
      <c r="AD117" s="1548"/>
      <c r="AE117" s="1548"/>
      <c r="AF117" s="1548"/>
      <c r="AG117" s="1548"/>
      <c r="AH117" s="1548"/>
      <c r="AI117" s="1548"/>
      <c r="AJ117" s="1548"/>
      <c r="AK117" s="1548"/>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t="s">
        <v>2615</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4" t="s">
        <v>469</v>
      </c>
      <c r="CV122" s="1695"/>
      <c r="CW122" s="14"/>
      <c r="CX122" s="14" t="s">
        <v>633</v>
      </c>
      <c r="CY122" s="14"/>
      <c r="CZ122" s="14"/>
      <c r="DA122" s="14"/>
      <c r="DB122" s="14"/>
      <c r="DC122" s="14"/>
      <c r="DD122" s="14"/>
      <c r="DE122" s="14"/>
      <c r="DF122" s="14"/>
      <c r="DG122" s="1691" t="str">
        <f>T189</f>
        <v>Alameda</v>
      </c>
      <c r="DH122" s="1692"/>
      <c r="DI122" s="1692"/>
      <c r="DJ122" s="1692"/>
      <c r="DK122" s="1692"/>
      <c r="DL122" s="1692"/>
      <c r="DM122" s="1693"/>
    </row>
    <row r="123" spans="1:117" ht="13" customHeight="1">
      <c r="A123" s="3"/>
      <c r="B123" s="3"/>
      <c r="T123" s="3"/>
      <c r="U123" s="3"/>
      <c r="V123" s="3"/>
      <c r="W123" s="3"/>
      <c r="X123" s="3"/>
      <c r="Y123" s="1548" t="s">
        <v>2617</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644</v>
      </c>
      <c r="O153" s="1522" t="s">
        <v>2618</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439</v>
      </c>
      <c r="O154" s="1533" t="s">
        <v>2619</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2" t="s">
        <v>440</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7" t="s">
        <v>2620</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2" t="s">
        <v>2621</v>
      </c>
      <c r="P157" s="1526"/>
      <c r="Q157" s="1526"/>
      <c r="R157" s="1526"/>
      <c r="S157" s="1526"/>
      <c r="T157" s="1526"/>
      <c r="U157" s="1526"/>
      <c r="V157" s="1526"/>
      <c r="W157" s="1526"/>
      <c r="X157" s="1526"/>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8">
        <v>94538</v>
      </c>
      <c r="P158" s="1558"/>
      <c r="Q158" s="1558"/>
      <c r="R158" s="1558"/>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3" t="s">
        <v>2622</v>
      </c>
      <c r="P159" s="1553"/>
      <c r="Q159" s="1553"/>
      <c r="R159" s="1553"/>
      <c r="S159" s="1553"/>
      <c r="T159" s="1553"/>
      <c r="V159" s="97" t="s">
        <v>270</v>
      </c>
      <c r="W159" s="1559"/>
      <c r="X159" s="1559"/>
      <c r="Y159" s="10"/>
      <c r="Z159" s="10"/>
      <c r="AA159" s="10"/>
      <c r="AB159" s="10"/>
      <c r="AC159" s="10"/>
      <c r="AD159" s="10"/>
      <c r="AE159" s="10"/>
      <c r="AF159" s="10"/>
      <c r="BN159" s="23" t="s">
        <v>338</v>
      </c>
      <c r="BS159">
        <v>7</v>
      </c>
      <c r="BT159" t="s">
        <v>478</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3" customHeight="1">
      <c r="D160" t="s">
        <v>316</v>
      </c>
      <c r="O160" s="1553" t="s">
        <v>2623</v>
      </c>
      <c r="P160" s="1553"/>
      <c r="Q160" s="1553"/>
      <c r="R160" s="1553"/>
      <c r="S160" s="1553"/>
      <c r="T160" s="1553"/>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317</v>
      </c>
      <c r="O161" s="1540" t="s">
        <v>2624</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550" t="s">
        <v>2216</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5" t="s">
        <v>668</v>
      </c>
      <c r="V175" s="1415"/>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09"/>
      <c r="V176" s="1509"/>
      <c r="W176" s="1" t="s">
        <v>305</v>
      </c>
      <c r="X176" s="1567"/>
      <c r="Y176" s="1567"/>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5" t="s">
        <v>668</v>
      </c>
      <c r="S177" s="1415"/>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2079</v>
      </c>
      <c r="AE178" s="27" t="s">
        <v>304</v>
      </c>
      <c r="AF178" s="1566"/>
      <c r="AG178" s="1566"/>
      <c r="AH178" s="1" t="s">
        <v>305</v>
      </c>
      <c r="AI178" s="1446"/>
      <c r="AJ178" s="1446"/>
      <c r="AK178" s="1446"/>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5" t="s">
        <v>668</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3" t="str">
        <f>H18</f>
        <v>Warm Springs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371" t="s">
        <v>2625</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522" t="s">
        <v>2621</v>
      </c>
      <c r="J189" s="1407"/>
      <c r="K189" s="1407"/>
      <c r="L189" s="1407"/>
      <c r="M189" s="1407"/>
      <c r="N189" s="1407"/>
      <c r="O189" s="1407"/>
      <c r="P189" s="1407"/>
      <c r="Q189" t="s">
        <v>582</v>
      </c>
      <c r="T189" s="1407" t="s">
        <v>476</v>
      </c>
      <c r="U189" s="1407"/>
      <c r="V189" s="1407"/>
      <c r="W189" s="1407"/>
      <c r="X189" s="1407"/>
      <c r="Y189" s="1407"/>
      <c r="Z189" s="1407"/>
      <c r="AA189" s="1407"/>
      <c r="AB189" s="1407"/>
      <c r="AC189" s="1407"/>
      <c r="AD189" s="1407"/>
      <c r="AE189" s="1407"/>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1">
        <v>94539</v>
      </c>
      <c r="J190" s="1371"/>
      <c r="K190" s="1371"/>
      <c r="L190" s="1371"/>
      <c r="M190" s="1371"/>
      <c r="N190" s="1371"/>
      <c r="O190" t="s">
        <v>585</v>
      </c>
      <c r="T190" s="1556">
        <v>4415.25</v>
      </c>
      <c r="U190" s="1556"/>
      <c r="V190" s="1556"/>
      <c r="W190" s="1556"/>
      <c r="X190" s="1556"/>
      <c r="Y190" s="1556"/>
      <c r="Z190" s="1556"/>
      <c r="AA190" s="1556"/>
      <c r="AB190" s="1556"/>
      <c r="AC190" s="1556"/>
      <c r="AD190" s="1556"/>
      <c r="AE190" s="155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29" t="s">
        <v>2626</v>
      </c>
      <c r="O191" s="1529"/>
      <c r="P191" s="1529"/>
      <c r="Q191" s="1529"/>
      <c r="R191" s="1529"/>
      <c r="S191" s="1529"/>
      <c r="T191" s="1529"/>
      <c r="U191" s="1529"/>
      <c r="V191" s="1529"/>
      <c r="W191" s="1529"/>
      <c r="X191" s="1529"/>
      <c r="Y191" s="1529"/>
      <c r="Z191" s="1529"/>
      <c r="AA191" s="1529"/>
      <c r="AB191" s="1529"/>
      <c r="AC191" s="1529"/>
      <c r="AD191" s="1529"/>
      <c r="AE191" s="152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0" t="s">
        <v>1937</v>
      </c>
      <c r="U193" s="1560"/>
      <c r="V193" s="1560"/>
      <c r="W193" s="1560"/>
      <c r="X193" s="1560"/>
      <c r="Y193" s="1560"/>
      <c r="Z193" s="1560"/>
      <c r="AA193" s="1560"/>
      <c r="AB193" s="1560"/>
      <c r="AC193" s="1560"/>
      <c r="AD193" s="1560"/>
      <c r="AE193" s="1560"/>
      <c r="AF193" s="1560"/>
      <c r="AG193" s="1560"/>
      <c r="AH193" s="1560"/>
      <c r="AI193" s="1560"/>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5" t="s">
        <v>668</v>
      </c>
      <c r="AI194" s="1415"/>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330</v>
      </c>
      <c r="T195" s="1415" t="s">
        <v>545</v>
      </c>
      <c r="U195" s="1415"/>
      <c r="W195" t="s">
        <v>683</v>
      </c>
      <c r="AH195" s="1415">
        <v>17</v>
      </c>
      <c r="AI195" s="1415"/>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385</v>
      </c>
      <c r="T196" s="1427" t="s">
        <v>668</v>
      </c>
      <c r="U196" s="1427"/>
      <c r="W196" t="s">
        <v>684</v>
      </c>
      <c r="AH196" s="1415">
        <v>24</v>
      </c>
      <c r="AI196" s="1415"/>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168</v>
      </c>
      <c r="T197" s="1427" t="s">
        <v>668</v>
      </c>
      <c r="U197" s="1427"/>
      <c r="W197" t="s">
        <v>685</v>
      </c>
      <c r="AH197" s="1415">
        <v>10</v>
      </c>
      <c r="AI197" s="1415"/>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7" t="s">
        <v>591</v>
      </c>
      <c r="U198" s="1427"/>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5" t="s">
        <v>668</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2515</v>
      </c>
      <c r="T200" s="1415" t="s">
        <v>668</v>
      </c>
      <c r="U200" s="1415"/>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611</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483" t="s">
        <v>384</v>
      </c>
      <c r="E204" s="1483"/>
      <c r="F204" s="1483"/>
      <c r="G204" s="1483"/>
      <c r="H204" s="1483"/>
      <c r="I204" s="1483"/>
      <c r="J204" s="1483"/>
      <c r="K204" s="1483"/>
      <c r="L204" s="1483"/>
      <c r="M204" s="1483"/>
      <c r="P204" s="1551">
        <f>M26</f>
        <v>8084459</v>
      </c>
      <c r="Q204" s="1552"/>
      <c r="R204" s="1552"/>
      <c r="S204" s="1552"/>
      <c r="T204" s="1552"/>
      <c r="U204" s="1552"/>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538" t="s">
        <v>1246</v>
      </c>
      <c r="E205" s="1483"/>
      <c r="F205" s="1483"/>
      <c r="G205" s="1483"/>
      <c r="H205" s="1483"/>
      <c r="I205" s="1483"/>
      <c r="J205" s="1483"/>
      <c r="K205" s="1483"/>
      <c r="L205" s="1483"/>
      <c r="M205" s="1483"/>
      <c r="P205" s="1552">
        <f>M27</f>
        <v>0</v>
      </c>
      <c r="Q205" s="1552"/>
      <c r="R205" s="1552"/>
      <c r="S205" s="1552"/>
      <c r="T205" s="1552"/>
      <c r="U205" s="1552"/>
      <c r="V205" s="28"/>
      <c r="W205" s="3" t="s">
        <v>1719</v>
      </c>
      <c r="Z205" s="1534"/>
      <c r="AA205" s="1534"/>
      <c r="AB205" s="1534"/>
      <c r="AC205" s="1534"/>
      <c r="AD205" s="1534"/>
      <c r="AE205" s="1534"/>
      <c r="AF205" s="1534"/>
      <c r="AG205" s="1534"/>
      <c r="AH205" s="1534"/>
      <c r="AI205" s="1534"/>
      <c r="AJ205" s="1534"/>
      <c r="AK205" s="1534"/>
      <c r="AL205" s="1534"/>
      <c r="AM205" s="1534"/>
      <c r="AN205" s="1534"/>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526" t="s">
        <v>2627</v>
      </c>
      <c r="E208" s="1526"/>
      <c r="F208" s="1526"/>
      <c r="G208" s="1526"/>
      <c r="H208" s="1526"/>
      <c r="I208" s="1526"/>
      <c r="J208" s="1526"/>
      <c r="K208" s="1526"/>
      <c r="L208" s="1526"/>
      <c r="M208" s="1526"/>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6" t="s">
        <v>1040</v>
      </c>
      <c r="E211" s="1526"/>
      <c r="F211" s="1526"/>
      <c r="G211" s="1526"/>
      <c r="H211" s="1526"/>
      <c r="I211" s="1526"/>
      <c r="J211" s="1526"/>
      <c r="K211" s="1526"/>
      <c r="L211" s="1526"/>
      <c r="M211" s="152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5">
        <v>0</v>
      </c>
      <c r="R212" s="1415"/>
      <c r="T212" s="1564">
        <f>IFERROR(Q212/AG440,0)</f>
        <v>0</v>
      </c>
      <c r="U212" s="156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2234</v>
      </c>
      <c r="D218" s="28"/>
      <c r="AC218" s="2" t="s">
        <v>2463</v>
      </c>
      <c r="BC218" t="s">
        <v>529</v>
      </c>
    </row>
    <row r="219" spans="1:108" ht="13" customHeight="1">
      <c r="A219" s="2"/>
      <c r="C219" s="2"/>
      <c r="D219" s="3" t="s">
        <v>2464</v>
      </c>
      <c r="AZ219" s="3"/>
      <c r="BA219" s="3"/>
      <c r="BC219" t="s">
        <v>376</v>
      </c>
    </row>
    <row r="220" spans="1:108" ht="13" customHeight="1">
      <c r="A220" s="2"/>
      <c r="C220" s="2"/>
      <c r="D220" s="1526" t="s">
        <v>1062</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2466</v>
      </c>
      <c r="AD220" s="1537"/>
      <c r="AE220" s="1537"/>
      <c r="AF220" s="1537"/>
      <c r="AG220" s="1537"/>
      <c r="AH220" s="1537"/>
      <c r="AI220" s="1537"/>
      <c r="AJ220" s="1537"/>
      <c r="AK220" s="1537"/>
      <c r="AL220" s="1537"/>
      <c r="AM220" s="1537"/>
      <c r="AN220" s="1537"/>
      <c r="AO220" s="1537"/>
      <c r="AP220" s="1537"/>
      <c r="AQ220" s="1537"/>
      <c r="BA220" s="3"/>
      <c r="BC220" t="s">
        <v>299</v>
      </c>
    </row>
    <row r="221" spans="1:108" ht="13" customHeight="1">
      <c r="A221" s="2"/>
      <c r="B221" s="14"/>
      <c r="C221" s="2"/>
      <c r="BA221" s="3"/>
    </row>
    <row r="222" spans="1:108" ht="13"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545</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2</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7" t="str">
        <f>H16</f>
        <v>Fremont Warm Springs Pacific Associates,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538</v>
      </c>
      <c r="BG232" s="241">
        <f>IF(AND(AND($M$249="nonprofit",$M$257="nonprofit",$M$265="for profit")),2,0)</f>
        <v>0</v>
      </c>
    </row>
    <row r="233" spans="1:59" ht="13" customHeight="1">
      <c r="D233" s="4" t="s">
        <v>85</v>
      </c>
      <c r="E233" s="4"/>
      <c r="F233" s="4"/>
      <c r="G233" s="4"/>
      <c r="H233" s="4"/>
      <c r="I233" s="4"/>
      <c r="J233" s="4"/>
      <c r="K233" s="4"/>
      <c r="M233" s="1522" t="s">
        <v>2628</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3" customHeight="1">
      <c r="D234" s="4" t="s">
        <v>580</v>
      </c>
      <c r="E234" s="4"/>
      <c r="M234" s="1522" t="s">
        <v>2613</v>
      </c>
      <c r="N234" s="1526"/>
      <c r="O234" s="1526"/>
      <c r="P234" s="1526"/>
      <c r="Q234" s="1526"/>
      <c r="R234" s="1526"/>
      <c r="S234" s="1526"/>
      <c r="T234" s="1526"/>
      <c r="V234" s="33" t="s">
        <v>86</v>
      </c>
      <c r="W234" s="1533" t="s">
        <v>2629</v>
      </c>
      <c r="X234" s="1471"/>
      <c r="Y234" s="4" t="s">
        <v>583</v>
      </c>
      <c r="AC234" s="1526">
        <v>83616</v>
      </c>
      <c r="AD234" s="1526"/>
      <c r="AE234" s="1526"/>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2" t="s">
        <v>2615</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 customHeight="1">
      <c r="D236" s="4" t="s">
        <v>88</v>
      </c>
      <c r="E236" s="4"/>
      <c r="F236" s="4"/>
      <c r="M236" s="1524" t="s">
        <v>2630</v>
      </c>
      <c r="N236" s="1487"/>
      <c r="O236" s="1487"/>
      <c r="P236" s="1487"/>
      <c r="Q236" s="1487"/>
      <c r="R236" s="1487"/>
      <c r="S236" s="4" t="s">
        <v>205</v>
      </c>
      <c r="T236" s="4"/>
      <c r="U236" s="1471">
        <v>3015</v>
      </c>
      <c r="V236" s="1471"/>
      <c r="W236" s="1471"/>
      <c r="X236" s="4" t="s">
        <v>89</v>
      </c>
      <c r="Z236" s="1524" t="s">
        <v>2631</v>
      </c>
      <c r="AA236" s="1487"/>
      <c r="AB236" s="1487"/>
      <c r="AC236" s="1487"/>
      <c r="AD236" s="1487"/>
      <c r="AE236" s="1487"/>
      <c r="AU236" s="4"/>
      <c r="AV236" s="4"/>
      <c r="AW236" s="4"/>
      <c r="AX236" s="4"/>
      <c r="AY236" s="4"/>
      <c r="AZ236" s="4"/>
      <c r="BB236" s="204" t="s">
        <v>537</v>
      </c>
      <c r="BG236" s="241">
        <f>IF(AND(AND($M$249="nonprofit",$M$257="nonprofit",$M$265="(select one)")),1,0)</f>
        <v>0</v>
      </c>
    </row>
    <row r="237" spans="1:59" ht="13" customHeight="1">
      <c r="D237" s="4" t="s">
        <v>90</v>
      </c>
      <c r="E237" s="4"/>
      <c r="F237" s="4"/>
      <c r="M237" s="1540" t="s">
        <v>2632</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1" t="s">
        <v>528</v>
      </c>
      <c r="N238" s="1371"/>
      <c r="O238" s="1371"/>
      <c r="P238" s="1371"/>
      <c r="Q238" s="1371"/>
      <c r="R238" s="1371"/>
      <c r="S238" s="1371"/>
      <c r="T238" s="1371"/>
      <c r="U238" s="204" t="s">
        <v>905</v>
      </c>
      <c r="V238" s="204"/>
      <c r="W238" s="204"/>
      <c r="X238" s="204"/>
      <c r="Y238" s="204"/>
      <c r="Z238" s="204"/>
      <c r="AA238" s="1561" t="s">
        <v>591</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68" t="s">
        <v>2633</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2634</v>
      </c>
      <c r="AG243" s="1542"/>
      <c r="AH243" s="1542"/>
      <c r="AI243" s="1542"/>
      <c r="AJ243" s="1542"/>
      <c r="AK243" s="154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2" t="s">
        <v>2635</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22" t="s">
        <v>55</v>
      </c>
      <c r="N245" s="1526"/>
      <c r="O245" s="1526"/>
      <c r="P245" s="1526"/>
      <c r="Q245" s="1526"/>
      <c r="R245" s="1526"/>
      <c r="S245" s="1526"/>
      <c r="T245" s="1526"/>
      <c r="V245" s="33" t="s">
        <v>86</v>
      </c>
      <c r="W245" s="1533" t="s">
        <v>2636</v>
      </c>
      <c r="X245" s="1471"/>
      <c r="Y245" s="4" t="s">
        <v>583</v>
      </c>
      <c r="AC245" s="1526">
        <v>95348</v>
      </c>
      <c r="AD245" s="1526"/>
      <c r="AE245" s="1526"/>
      <c r="AF245" s="3" t="s">
        <v>1179</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22" t="s">
        <v>2637</v>
      </c>
      <c r="N246" s="1526"/>
      <c r="O246" s="1526"/>
      <c r="P246" s="1526"/>
      <c r="Q246" s="1526"/>
      <c r="R246" s="1526"/>
      <c r="S246" s="1526"/>
      <c r="T246" s="1526"/>
      <c r="U246" s="1526"/>
      <c r="V246" s="1526"/>
      <c r="W246" s="1526"/>
      <c r="X246" s="1526"/>
      <c r="Y246" s="1526"/>
      <c r="Z246" s="1526"/>
      <c r="AA246" s="1526"/>
      <c r="AB246" s="1526"/>
      <c r="AC246" s="1526"/>
      <c r="AD246" s="1526"/>
      <c r="AE246" s="1526"/>
      <c r="AH246" s="1539">
        <v>3.3E-3</v>
      </c>
      <c r="AI246" s="1539"/>
      <c r="AJ246" s="1539"/>
      <c r="AK246" s="1539"/>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524" t="s">
        <v>2638</v>
      </c>
      <c r="N247" s="1487"/>
      <c r="O247" s="1487"/>
      <c r="P247" s="1487"/>
      <c r="Q247" s="1487"/>
      <c r="R247" s="1487"/>
      <c r="S247" s="4" t="s">
        <v>205</v>
      </c>
      <c r="T247" s="4"/>
      <c r="U247" s="1471"/>
      <c r="V247" s="1471"/>
      <c r="W247" s="1471"/>
      <c r="X247" s="4" t="s">
        <v>89</v>
      </c>
      <c r="Z247" s="1524" t="s">
        <v>2639</v>
      </c>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40" t="s">
        <v>2640</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905</v>
      </c>
      <c r="V249" s="204"/>
      <c r="W249" s="204"/>
      <c r="X249" s="204"/>
      <c r="Y249" s="204"/>
      <c r="Z249" s="204"/>
      <c r="AA249" s="1561" t="s">
        <v>591</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68" t="s">
        <v>2641</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2642</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2" t="s">
        <v>2628</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1178</v>
      </c>
      <c r="AL252" s="4"/>
      <c r="AM252" s="4"/>
      <c r="AN252" s="4"/>
      <c r="AO252" s="4"/>
      <c r="AP252" s="4"/>
      <c r="AQ252" s="4"/>
      <c r="AR252" s="4"/>
      <c r="AS252" s="4"/>
      <c r="AT252" s="4"/>
      <c r="BN252" s="34"/>
    </row>
    <row r="253" spans="1:67" ht="13" customHeight="1">
      <c r="A253" s="19"/>
      <c r="B253" s="4"/>
      <c r="C253" s="4"/>
      <c r="D253" s="4" t="s">
        <v>580</v>
      </c>
      <c r="E253" s="4"/>
      <c r="M253" s="1522" t="s">
        <v>2613</v>
      </c>
      <c r="N253" s="1526"/>
      <c r="O253" s="1526"/>
      <c r="P253" s="1526"/>
      <c r="Q253" s="1526"/>
      <c r="R253" s="1526"/>
      <c r="S253" s="1526"/>
      <c r="T253" s="1526"/>
      <c r="V253" s="33" t="s">
        <v>86</v>
      </c>
      <c r="W253" s="1533" t="s">
        <v>2629</v>
      </c>
      <c r="X253" s="1471"/>
      <c r="Y253" s="4" t="s">
        <v>583</v>
      </c>
      <c r="AC253" s="1526">
        <v>83616</v>
      </c>
      <c r="AD253" s="1526"/>
      <c r="AE253" s="1526"/>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522" t="s">
        <v>2615</v>
      </c>
      <c r="N254" s="1526"/>
      <c r="O254" s="1526"/>
      <c r="P254" s="1526"/>
      <c r="Q254" s="1526"/>
      <c r="R254" s="1526"/>
      <c r="S254" s="1526"/>
      <c r="T254" s="1526"/>
      <c r="U254" s="1526"/>
      <c r="V254" s="1526"/>
      <c r="W254" s="1526"/>
      <c r="X254" s="1526"/>
      <c r="Y254" s="1526"/>
      <c r="Z254" s="1526"/>
      <c r="AA254" s="1526"/>
      <c r="AB254" s="1526"/>
      <c r="AC254" s="1526"/>
      <c r="AD254" s="1526"/>
      <c r="AE254" s="1526"/>
      <c r="AH254" s="1539">
        <v>3.3999999999999998E-3</v>
      </c>
      <c r="AI254" s="1539"/>
      <c r="AJ254" s="1539"/>
      <c r="AK254" s="1539"/>
      <c r="AL254" s="4"/>
      <c r="AM254" s="4"/>
      <c r="AN254" s="4"/>
      <c r="AO254" s="4"/>
      <c r="AP254" s="4"/>
      <c r="AQ254" s="4"/>
      <c r="AR254" s="4"/>
      <c r="AS254" s="4"/>
      <c r="AT254" s="4"/>
    </row>
    <row r="255" spans="1:67" ht="13" customHeight="1">
      <c r="A255" s="19"/>
      <c r="B255" s="4"/>
      <c r="C255" s="4"/>
      <c r="D255" s="4" t="s">
        <v>88</v>
      </c>
      <c r="E255" s="4"/>
      <c r="F255" s="4"/>
      <c r="M255" s="1524" t="s">
        <v>2630</v>
      </c>
      <c r="N255" s="1487"/>
      <c r="O255" s="1487"/>
      <c r="P255" s="1487"/>
      <c r="Q255" s="1487"/>
      <c r="R255" s="1487"/>
      <c r="S255" s="4" t="s">
        <v>205</v>
      </c>
      <c r="T255" s="4"/>
      <c r="U255" s="1471">
        <v>3015</v>
      </c>
      <c r="V255" s="1471"/>
      <c r="W255" s="1471"/>
      <c r="X255" s="4" t="s">
        <v>89</v>
      </c>
      <c r="Z255" s="1524" t="s">
        <v>2631</v>
      </c>
      <c r="AA255" s="1487"/>
      <c r="AB255" s="1487"/>
      <c r="AC255" s="1487"/>
      <c r="AD255" s="1487"/>
      <c r="AE255" s="1487"/>
      <c r="AU255" s="4"/>
      <c r="AV255" s="4"/>
      <c r="AW255" s="4"/>
      <c r="AX255" s="4"/>
      <c r="AY255" s="4"/>
      <c r="BN255" s="34"/>
    </row>
    <row r="256" spans="1:67" ht="13" customHeight="1">
      <c r="A256" s="19"/>
      <c r="B256" s="4"/>
      <c r="C256" s="4"/>
      <c r="D256" s="4" t="s">
        <v>90</v>
      </c>
      <c r="E256" s="4"/>
      <c r="F256" s="4"/>
      <c r="M256" s="1540" t="s">
        <v>2632</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905</v>
      </c>
      <c r="V257" s="204"/>
      <c r="W257" s="204"/>
      <c r="X257" s="204"/>
      <c r="Y257" s="204"/>
      <c r="Z257" s="204"/>
      <c r="AA257" s="1561" t="s">
        <v>2643</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568" t="s">
        <v>2644</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2642</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2" t="s">
        <v>2645</v>
      </c>
      <c r="N260" s="1526"/>
      <c r="O260" s="1526"/>
      <c r="P260" s="1526"/>
      <c r="Q260" s="1526"/>
      <c r="R260" s="1526"/>
      <c r="S260" s="1526"/>
      <c r="T260" s="1526"/>
      <c r="U260" s="1526"/>
      <c r="V260" s="1526"/>
      <c r="W260" s="1526"/>
      <c r="X260" s="1526"/>
      <c r="Y260" s="1526"/>
      <c r="Z260" s="1526"/>
      <c r="AA260" s="1526"/>
      <c r="AB260" s="1526"/>
      <c r="AC260" s="1526"/>
      <c r="AD260" s="1526"/>
      <c r="AE260" s="1526"/>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2" t="s">
        <v>2646</v>
      </c>
      <c r="N261" s="1526"/>
      <c r="O261" s="1526"/>
      <c r="P261" s="1526"/>
      <c r="Q261" s="1526"/>
      <c r="R261" s="1526"/>
      <c r="S261" s="1526"/>
      <c r="T261" s="1526"/>
      <c r="V261" s="33" t="s">
        <v>86</v>
      </c>
      <c r="W261" s="1533" t="s">
        <v>2636</v>
      </c>
      <c r="X261" s="1471"/>
      <c r="Y261" s="4" t="s">
        <v>583</v>
      </c>
      <c r="AC261" s="1526">
        <v>94563</v>
      </c>
      <c r="AD261" s="1526"/>
      <c r="AE261" s="1526"/>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2" t="s">
        <v>2647</v>
      </c>
      <c r="N262" s="1526"/>
      <c r="O262" s="1526"/>
      <c r="P262" s="1526"/>
      <c r="Q262" s="1526"/>
      <c r="R262" s="1526"/>
      <c r="S262" s="1526"/>
      <c r="T262" s="1526"/>
      <c r="U262" s="1526"/>
      <c r="V262" s="1526"/>
      <c r="W262" s="1526"/>
      <c r="X262" s="1526"/>
      <c r="Y262" s="1526"/>
      <c r="Z262" s="1526"/>
      <c r="AA262" s="1526"/>
      <c r="AB262" s="1526"/>
      <c r="AC262" s="1526"/>
      <c r="AD262" s="1526"/>
      <c r="AE262" s="1526"/>
      <c r="AH262" s="1539">
        <v>3.3E-3</v>
      </c>
      <c r="AI262" s="1539"/>
      <c r="AJ262" s="1539"/>
      <c r="AK262" s="153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524" t="s">
        <v>2650</v>
      </c>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t="s">
        <v>2648</v>
      </c>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1" t="s">
        <v>536</v>
      </c>
      <c r="N265" s="1371"/>
      <c r="O265" s="1371"/>
      <c r="P265" s="1371"/>
      <c r="Q265" s="1371"/>
      <c r="R265" s="1371"/>
      <c r="S265" s="1371"/>
      <c r="T265" s="1371"/>
      <c r="U265" s="204" t="s">
        <v>905</v>
      </c>
      <c r="V265" s="204"/>
      <c r="W265" s="204"/>
      <c r="X265" s="204"/>
      <c r="Y265" s="204"/>
      <c r="Z265" s="204"/>
      <c r="AA265" s="1575" t="s">
        <v>2649</v>
      </c>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526" t="s">
        <v>279</v>
      </c>
      <c r="E270" s="1526"/>
      <c r="F270" s="1526"/>
      <c r="G270" s="1526"/>
      <c r="H270" s="1526"/>
      <c r="J270" t="s">
        <v>278</v>
      </c>
      <c r="X270" s="1506"/>
      <c r="Y270" s="1506"/>
      <c r="Z270" s="1506"/>
      <c r="AA270" s="1506"/>
      <c r="AB270" s="1506"/>
      <c r="AC270" s="1506"/>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68" t="s">
        <v>2651</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2" t="s">
        <v>2628</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580</v>
      </c>
      <c r="E276" s="4"/>
      <c r="L276" s="1522" t="s">
        <v>2613</v>
      </c>
      <c r="M276" s="1526"/>
      <c r="N276" s="1526"/>
      <c r="O276" s="1526"/>
      <c r="P276" s="1526"/>
      <c r="Q276" s="1526"/>
      <c r="R276" s="1526"/>
      <c r="S276" s="1526"/>
      <c r="U276" s="33" t="s">
        <v>86</v>
      </c>
      <c r="V276" s="1533" t="s">
        <v>2629</v>
      </c>
      <c r="W276" s="1471"/>
      <c r="X276" s="4" t="s">
        <v>583</v>
      </c>
      <c r="AB276" s="1526">
        <v>83616</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2652</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524" t="s">
        <v>2653</v>
      </c>
      <c r="M278" s="1487"/>
      <c r="N278" s="1487"/>
      <c r="O278" s="1487"/>
      <c r="P278" s="1487"/>
      <c r="Q278" s="1487"/>
      <c r="R278" s="4" t="s">
        <v>205</v>
      </c>
      <c r="S278" s="4"/>
      <c r="T278" s="1471"/>
      <c r="U278" s="1471"/>
      <c r="V278" s="1471"/>
      <c r="W278" s="4" t="s">
        <v>89</v>
      </c>
      <c r="Y278" s="1524" t="s">
        <v>2631</v>
      </c>
      <c r="Z278" s="1487"/>
      <c r="AA278" s="1487"/>
      <c r="AB278" s="1487"/>
      <c r="AC278" s="1487"/>
      <c r="AD278" s="1487"/>
    </row>
    <row r="279" spans="1:51" ht="13" customHeight="1">
      <c r="D279" s="4" t="s">
        <v>90</v>
      </c>
      <c r="E279" s="4"/>
      <c r="F279" s="4"/>
      <c r="L279" s="1540" t="s">
        <v>2654</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623</v>
      </c>
      <c r="E280" s="3"/>
      <c r="F280" s="3"/>
      <c r="G280" s="3"/>
      <c r="H280" s="3"/>
      <c r="I280" s="3"/>
      <c r="L280" s="1533" t="s">
        <v>2655</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7" t="s">
        <v>2651</v>
      </c>
      <c r="I287" s="1407"/>
      <c r="J287" s="1407"/>
      <c r="K287" s="1407"/>
      <c r="L287" s="1407"/>
      <c r="M287" s="1407"/>
      <c r="N287" s="1407"/>
      <c r="O287" s="1407"/>
      <c r="P287" s="1407"/>
      <c r="Q287" s="1407"/>
      <c r="R287" s="1407"/>
      <c r="T287" s="3" t="s">
        <v>567</v>
      </c>
      <c r="V287" s="3"/>
      <c r="W287" s="3"/>
      <c r="X287" s="3"/>
      <c r="Y287" s="3"/>
      <c r="AA287" s="1407" t="s">
        <v>2656</v>
      </c>
      <c r="AB287" s="1407"/>
      <c r="AC287" s="1407"/>
      <c r="AD287" s="1407"/>
      <c r="AE287" s="1407"/>
      <c r="AF287" s="1407"/>
      <c r="AG287" s="1407"/>
      <c r="AH287" s="1407"/>
      <c r="AI287" s="1407"/>
      <c r="AJ287" s="1407"/>
      <c r="AK287" s="1407"/>
    </row>
    <row r="288" spans="1:51" ht="13" customHeight="1">
      <c r="B288" s="3" t="s">
        <v>471</v>
      </c>
      <c r="C288" s="3"/>
      <c r="D288" s="3"/>
      <c r="E288" s="3"/>
      <c r="F288" s="3"/>
      <c r="H288" s="1371" t="s">
        <v>2628</v>
      </c>
      <c r="I288" s="1371"/>
      <c r="J288" s="1371"/>
      <c r="K288" s="1371"/>
      <c r="L288" s="1371"/>
      <c r="M288" s="1371"/>
      <c r="N288" s="1371"/>
      <c r="O288" s="1371"/>
      <c r="P288" s="1371"/>
      <c r="Q288" s="1371"/>
      <c r="R288" s="1371"/>
      <c r="T288" s="3" t="s">
        <v>471</v>
      </c>
      <c r="V288" s="3"/>
      <c r="W288" s="3"/>
      <c r="X288" s="3"/>
      <c r="Y288" s="3"/>
      <c r="AA288" s="1371" t="s">
        <v>2657</v>
      </c>
      <c r="AB288" s="1371"/>
      <c r="AC288" s="1371"/>
      <c r="AD288" s="1371"/>
      <c r="AE288" s="1371"/>
      <c r="AF288" s="1371"/>
      <c r="AG288" s="1371"/>
      <c r="AH288" s="1371"/>
      <c r="AI288" s="1371"/>
      <c r="AJ288" s="1371"/>
      <c r="AK288" s="1371"/>
    </row>
    <row r="289" spans="2:37" ht="13" customHeight="1">
      <c r="B289" s="3" t="s">
        <v>472</v>
      </c>
      <c r="C289" s="3"/>
      <c r="D289" s="3"/>
      <c r="E289" s="3"/>
      <c r="F289" s="3"/>
      <c r="H289" s="1371" t="s">
        <v>2658</v>
      </c>
      <c r="I289" s="1371"/>
      <c r="J289" s="1371"/>
      <c r="K289" s="1371"/>
      <c r="L289" s="1371"/>
      <c r="M289" s="1371"/>
      <c r="N289" s="1371"/>
      <c r="O289" s="1371"/>
      <c r="P289" s="1371"/>
      <c r="Q289" s="1371"/>
      <c r="R289" s="1371"/>
      <c r="T289" s="3" t="s">
        <v>75</v>
      </c>
      <c r="V289" s="3"/>
      <c r="W289" s="3"/>
      <c r="X289" s="3"/>
      <c r="Y289" s="3"/>
      <c r="AA289" s="1371" t="s">
        <v>2659</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2615</v>
      </c>
      <c r="I290" s="1371"/>
      <c r="J290" s="1371"/>
      <c r="K290" s="1371"/>
      <c r="L290" s="1371"/>
      <c r="M290" s="1371"/>
      <c r="N290" s="1371"/>
      <c r="O290" s="1371"/>
      <c r="P290" s="1371"/>
      <c r="Q290" s="1371"/>
      <c r="R290" s="1371"/>
      <c r="T290" s="3" t="s">
        <v>87</v>
      </c>
      <c r="V290" s="3"/>
      <c r="W290" s="3"/>
      <c r="X290" s="3"/>
      <c r="Y290" s="3"/>
      <c r="AA290" s="1371" t="s">
        <v>2660</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3" t="s">
        <v>2630</v>
      </c>
      <c r="I291" s="1544"/>
      <c r="J291" s="1544"/>
      <c r="K291" s="1544"/>
      <c r="L291" s="1544"/>
      <c r="M291" s="1544"/>
      <c r="N291" s="4" t="s">
        <v>205</v>
      </c>
      <c r="O291" s="4"/>
      <c r="P291" s="1526">
        <v>3015</v>
      </c>
      <c r="Q291" s="1526"/>
      <c r="R291" s="1526"/>
      <c r="S291" s="3"/>
      <c r="T291" s="3" t="s">
        <v>88</v>
      </c>
      <c r="V291" s="3"/>
      <c r="W291" s="3"/>
      <c r="X291" s="3"/>
      <c r="Y291" s="3"/>
      <c r="AA291" s="1543" t="s">
        <v>2661</v>
      </c>
      <c r="AB291" s="1544"/>
      <c r="AC291" s="1544"/>
      <c r="AD291" s="1544"/>
      <c r="AE291" s="1544"/>
      <c r="AF291" s="1544"/>
      <c r="AG291" s="4" t="s">
        <v>205</v>
      </c>
      <c r="AH291" s="4"/>
      <c r="AI291" s="1526"/>
      <c r="AJ291" s="1526"/>
      <c r="AK291" s="1526"/>
    </row>
    <row r="292" spans="2:37" ht="13" customHeight="1">
      <c r="B292" s="3" t="s">
        <v>89</v>
      </c>
      <c r="C292" s="3"/>
      <c r="D292" s="3"/>
      <c r="E292" s="3"/>
      <c r="F292" s="3"/>
      <c r="G292" s="3"/>
      <c r="H292" s="1524" t="s">
        <v>2631</v>
      </c>
      <c r="I292" s="1487"/>
      <c r="J292" s="1487"/>
      <c r="K292" s="1487"/>
      <c r="L292" s="1487"/>
      <c r="M292" s="1487"/>
      <c r="N292" s="4"/>
      <c r="O292" s="4"/>
      <c r="P292" s="35"/>
      <c r="Q292" s="35"/>
      <c r="R292" s="35"/>
      <c r="S292" s="3"/>
      <c r="T292" s="3" t="s">
        <v>89</v>
      </c>
      <c r="V292" s="3"/>
      <c r="W292" s="3"/>
      <c r="X292" s="3"/>
      <c r="Y292" s="3"/>
      <c r="AA292" s="1524" t="s">
        <v>2662</v>
      </c>
      <c r="AB292" s="1487"/>
      <c r="AC292" s="1487"/>
      <c r="AD292" s="1487"/>
      <c r="AE292" s="1487"/>
      <c r="AF292" s="1487"/>
      <c r="AG292" s="4"/>
      <c r="AH292" s="4"/>
      <c r="AI292" s="35"/>
      <c r="AJ292" s="35"/>
      <c r="AK292" s="35"/>
    </row>
    <row r="293" spans="2:37" ht="13" customHeight="1">
      <c r="B293" s="3" t="s">
        <v>76</v>
      </c>
      <c r="C293" s="3"/>
      <c r="D293" s="3"/>
      <c r="E293" s="3"/>
      <c r="F293" s="3"/>
      <c r="G293" s="3"/>
      <c r="H293" s="1371" t="s">
        <v>2632</v>
      </c>
      <c r="I293" s="1371"/>
      <c r="J293" s="1371"/>
      <c r="K293" s="1371"/>
      <c r="L293" s="1371"/>
      <c r="M293" s="1371"/>
      <c r="N293" s="1407"/>
      <c r="O293" s="1407"/>
      <c r="P293" s="1407"/>
      <c r="Q293" s="1407"/>
      <c r="R293" s="1407"/>
      <c r="S293" s="3"/>
      <c r="T293" s="3" t="s">
        <v>76</v>
      </c>
      <c r="V293" s="3"/>
      <c r="W293" s="3"/>
      <c r="X293" s="3"/>
      <c r="Y293" s="3"/>
      <c r="AA293" s="1371" t="s">
        <v>2663</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7" t="s">
        <v>2664</v>
      </c>
      <c r="I295" s="1407"/>
      <c r="J295" s="1407"/>
      <c r="K295" s="1407"/>
      <c r="L295" s="1407"/>
      <c r="M295" s="1407"/>
      <c r="N295" s="1407"/>
      <c r="O295" s="1407"/>
      <c r="P295" s="1407"/>
      <c r="Q295" s="1407"/>
      <c r="R295" s="1407"/>
      <c r="T295" s="3" t="s">
        <v>363</v>
      </c>
      <c r="V295" s="3"/>
      <c r="W295" s="3"/>
      <c r="X295" s="3"/>
      <c r="Y295" s="3"/>
      <c r="AA295" s="1407" t="s">
        <v>2665</v>
      </c>
      <c r="AB295" s="1407"/>
      <c r="AC295" s="1407"/>
      <c r="AD295" s="1407"/>
      <c r="AE295" s="1407"/>
      <c r="AF295" s="1407"/>
      <c r="AG295" s="1407"/>
      <c r="AH295" s="1407"/>
      <c r="AI295" s="1407"/>
      <c r="AJ295" s="1407"/>
      <c r="AK295" s="1407"/>
    </row>
    <row r="296" spans="2:37" ht="13" customHeight="1">
      <c r="B296" s="3" t="s">
        <v>471</v>
      </c>
      <c r="C296" s="3"/>
      <c r="D296" s="3"/>
      <c r="E296" s="3"/>
      <c r="F296" s="3"/>
      <c r="H296" s="1371" t="s">
        <v>2666</v>
      </c>
      <c r="I296" s="1371"/>
      <c r="J296" s="1371"/>
      <c r="K296" s="1371"/>
      <c r="L296" s="1371"/>
      <c r="M296" s="1371"/>
      <c r="N296" s="1371"/>
      <c r="O296" s="1371"/>
      <c r="P296" s="1371"/>
      <c r="Q296" s="1371"/>
      <c r="R296" s="1371"/>
      <c r="T296" s="3" t="s">
        <v>471</v>
      </c>
      <c r="V296" s="3"/>
      <c r="W296" s="3"/>
      <c r="X296" s="3"/>
      <c r="Y296" s="3"/>
      <c r="AA296" s="1371" t="s">
        <v>2628</v>
      </c>
      <c r="AB296" s="1371"/>
      <c r="AC296" s="1371"/>
      <c r="AD296" s="1371"/>
      <c r="AE296" s="1371"/>
      <c r="AF296" s="1371"/>
      <c r="AG296" s="1371"/>
      <c r="AH296" s="1371"/>
      <c r="AI296" s="1371"/>
      <c r="AJ296" s="1371"/>
      <c r="AK296" s="1371"/>
    </row>
    <row r="297" spans="2:37" ht="13" customHeight="1">
      <c r="B297" s="3" t="s">
        <v>472</v>
      </c>
      <c r="C297" s="3"/>
      <c r="D297" s="3"/>
      <c r="E297" s="3"/>
      <c r="F297" s="3"/>
      <c r="H297" s="1371" t="s">
        <v>2658</v>
      </c>
      <c r="I297" s="1371"/>
      <c r="J297" s="1371"/>
      <c r="K297" s="1371"/>
      <c r="L297" s="1371"/>
      <c r="M297" s="1371"/>
      <c r="N297" s="1371"/>
      <c r="O297" s="1371"/>
      <c r="P297" s="1371"/>
      <c r="Q297" s="1371"/>
      <c r="R297" s="1371"/>
      <c r="T297" s="3" t="s">
        <v>75</v>
      </c>
      <c r="V297" s="3"/>
      <c r="W297" s="3"/>
      <c r="X297" s="3"/>
      <c r="Y297" s="3"/>
      <c r="AA297" s="1371" t="s">
        <v>2658</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2667</v>
      </c>
      <c r="I298" s="1371"/>
      <c r="J298" s="1371"/>
      <c r="K298" s="1371"/>
      <c r="L298" s="1371"/>
      <c r="M298" s="1371"/>
      <c r="N298" s="1371"/>
      <c r="O298" s="1371"/>
      <c r="P298" s="1371"/>
      <c r="Q298" s="1371"/>
      <c r="R298" s="1371"/>
      <c r="T298" s="3" t="s">
        <v>87</v>
      </c>
      <c r="V298" s="3"/>
      <c r="W298" s="3"/>
      <c r="X298" s="3"/>
      <c r="Y298" s="3"/>
      <c r="AA298" s="1371" t="s">
        <v>2615</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3" t="s">
        <v>2668</v>
      </c>
      <c r="I299" s="1544"/>
      <c r="J299" s="1544"/>
      <c r="K299" s="1544"/>
      <c r="L299" s="1544"/>
      <c r="M299" s="1544"/>
      <c r="N299" s="4" t="s">
        <v>205</v>
      </c>
      <c r="O299" s="4"/>
      <c r="P299" s="1526"/>
      <c r="Q299" s="1526"/>
      <c r="R299" s="1526"/>
      <c r="S299" s="3"/>
      <c r="T299" s="3" t="s">
        <v>88</v>
      </c>
      <c r="V299" s="3"/>
      <c r="W299" s="3"/>
      <c r="X299" s="3"/>
      <c r="Y299" s="3"/>
      <c r="AA299" s="1543" t="s">
        <v>2630</v>
      </c>
      <c r="AB299" s="1544"/>
      <c r="AC299" s="1544"/>
      <c r="AD299" s="1544"/>
      <c r="AE299" s="1544"/>
      <c r="AF299" s="1544"/>
      <c r="AG299" s="4" t="s">
        <v>205</v>
      </c>
      <c r="AH299" s="4"/>
      <c r="AI299" s="1526">
        <v>3015</v>
      </c>
      <c r="AJ299" s="1526"/>
      <c r="AK299" s="1526"/>
    </row>
    <row r="300" spans="2:37" ht="13" customHeight="1">
      <c r="B300" s="3" t="s">
        <v>89</v>
      </c>
      <c r="C300" s="3"/>
      <c r="D300" s="3"/>
      <c r="E300" s="3"/>
      <c r="F300" s="3"/>
      <c r="G300" s="3"/>
      <c r="H300" s="1524" t="s">
        <v>2631</v>
      </c>
      <c r="I300" s="1487"/>
      <c r="J300" s="1487"/>
      <c r="K300" s="1487"/>
      <c r="L300" s="1487"/>
      <c r="M300" s="1487"/>
      <c r="N300" s="4"/>
      <c r="O300" s="4"/>
      <c r="P300" s="35"/>
      <c r="Q300" s="35"/>
      <c r="R300" s="35"/>
      <c r="S300" s="3"/>
      <c r="T300" s="3" t="s">
        <v>89</v>
      </c>
      <c r="V300" s="3"/>
      <c r="W300" s="3"/>
      <c r="X300" s="3"/>
      <c r="Y300" s="3"/>
      <c r="AA300" s="1524" t="s">
        <v>2669</v>
      </c>
      <c r="AB300" s="1487"/>
      <c r="AC300" s="1487"/>
      <c r="AD300" s="1487"/>
      <c r="AE300" s="1487"/>
      <c r="AF300" s="1487"/>
      <c r="AG300" s="4"/>
      <c r="AH300" s="4"/>
      <c r="AI300" s="35"/>
      <c r="AJ300" s="35"/>
      <c r="AK300" s="35"/>
    </row>
    <row r="301" spans="2:37" ht="13" customHeight="1">
      <c r="B301" s="3" t="s">
        <v>76</v>
      </c>
      <c r="C301" s="3"/>
      <c r="D301" s="3"/>
      <c r="E301" s="3"/>
      <c r="F301" s="3"/>
      <c r="G301" s="3"/>
      <c r="H301" s="1371" t="s">
        <v>2670</v>
      </c>
      <c r="I301" s="1371"/>
      <c r="J301" s="1371"/>
      <c r="K301" s="1371"/>
      <c r="L301" s="1371"/>
      <c r="M301" s="1371"/>
      <c r="N301" s="1407"/>
      <c r="O301" s="1407"/>
      <c r="P301" s="1407"/>
      <c r="Q301" s="1407"/>
      <c r="R301" s="1407"/>
      <c r="S301" s="3"/>
      <c r="T301" s="3" t="s">
        <v>76</v>
      </c>
      <c r="V301" s="3"/>
      <c r="W301" s="3"/>
      <c r="X301" s="3"/>
      <c r="Y301" s="3"/>
      <c r="AA301" s="1371" t="s">
        <v>2632</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2671</v>
      </c>
      <c r="I303" s="1407"/>
      <c r="J303" s="1407"/>
      <c r="K303" s="1407"/>
      <c r="L303" s="1407"/>
      <c r="M303" s="1407"/>
      <c r="N303" s="1407"/>
      <c r="O303" s="1407"/>
      <c r="P303" s="1407"/>
      <c r="Q303" s="1407"/>
      <c r="R303" s="1407"/>
      <c r="T303" s="4" t="s">
        <v>877</v>
      </c>
      <c r="V303" s="3"/>
      <c r="W303" s="3"/>
      <c r="X303" s="3"/>
      <c r="Y303" s="3"/>
      <c r="AA303" s="1407" t="s">
        <v>2672</v>
      </c>
      <c r="AB303" s="1407"/>
      <c r="AC303" s="1407"/>
      <c r="AD303" s="1407"/>
      <c r="AE303" s="1407"/>
      <c r="AF303" s="1407"/>
      <c r="AG303" s="1407"/>
      <c r="AH303" s="1407"/>
      <c r="AI303" s="1407"/>
      <c r="AJ303" s="1407"/>
      <c r="AK303" s="1407"/>
    </row>
    <row r="304" spans="2:37" ht="13" customHeight="1">
      <c r="B304" s="3" t="s">
        <v>471</v>
      </c>
      <c r="C304" s="3"/>
      <c r="D304" s="3"/>
      <c r="E304" s="3"/>
      <c r="F304" s="3"/>
      <c r="H304" s="1371" t="s">
        <v>2673</v>
      </c>
      <c r="I304" s="1371"/>
      <c r="J304" s="1371"/>
      <c r="K304" s="1371"/>
      <c r="L304" s="1371"/>
      <c r="M304" s="1371"/>
      <c r="N304" s="1371"/>
      <c r="O304" s="1371"/>
      <c r="P304" s="1371"/>
      <c r="Q304" s="1371"/>
      <c r="R304" s="1371"/>
      <c r="T304" s="3" t="s">
        <v>471</v>
      </c>
      <c r="V304" s="3"/>
      <c r="W304" s="3"/>
      <c r="X304" s="3"/>
      <c r="Y304" s="3"/>
      <c r="AA304" s="1371" t="s">
        <v>2674</v>
      </c>
      <c r="AB304" s="1371"/>
      <c r="AC304" s="1371"/>
      <c r="AD304" s="1371"/>
      <c r="AE304" s="1371"/>
      <c r="AF304" s="1371"/>
      <c r="AG304" s="1371"/>
      <c r="AH304" s="1371"/>
      <c r="AI304" s="1371"/>
      <c r="AJ304" s="1371"/>
      <c r="AK304" s="1371"/>
    </row>
    <row r="305" spans="2:37" ht="13" customHeight="1">
      <c r="B305" s="3" t="s">
        <v>472</v>
      </c>
      <c r="C305" s="3"/>
      <c r="D305" s="3"/>
      <c r="E305" s="3"/>
      <c r="F305" s="3"/>
      <c r="H305" s="1371" t="s">
        <v>2685</v>
      </c>
      <c r="I305" s="1371"/>
      <c r="J305" s="1371"/>
      <c r="K305" s="1371"/>
      <c r="L305" s="1371"/>
      <c r="M305" s="1371"/>
      <c r="N305" s="1371"/>
      <c r="O305" s="1371"/>
      <c r="P305" s="1371"/>
      <c r="Q305" s="1371"/>
      <c r="R305" s="1371"/>
      <c r="T305" s="3" t="s">
        <v>75</v>
      </c>
      <c r="V305" s="3"/>
      <c r="W305" s="3"/>
      <c r="X305" s="3"/>
      <c r="Y305" s="3"/>
      <c r="AA305" s="1371" t="s">
        <v>2675</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2676</v>
      </c>
      <c r="I306" s="1371"/>
      <c r="J306" s="1371"/>
      <c r="K306" s="1371"/>
      <c r="L306" s="1371"/>
      <c r="M306" s="1371"/>
      <c r="N306" s="1371"/>
      <c r="O306" s="1371"/>
      <c r="P306" s="1371"/>
      <c r="Q306" s="1371"/>
      <c r="R306" s="1371"/>
      <c r="T306" s="3" t="s">
        <v>87</v>
      </c>
      <c r="V306" s="3"/>
      <c r="W306" s="3"/>
      <c r="X306" s="3"/>
      <c r="Y306" s="3"/>
      <c r="AA306" s="1371" t="s">
        <v>2677</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3" t="s">
        <v>2678</v>
      </c>
      <c r="I307" s="1544"/>
      <c r="J307" s="1544"/>
      <c r="K307" s="1544"/>
      <c r="L307" s="1544"/>
      <c r="M307" s="1544"/>
      <c r="N307" s="4" t="s">
        <v>205</v>
      </c>
      <c r="O307" s="4"/>
      <c r="P307" s="1526"/>
      <c r="Q307" s="1526"/>
      <c r="R307" s="1526"/>
      <c r="S307" s="3"/>
      <c r="T307" s="3" t="s">
        <v>88</v>
      </c>
      <c r="V307" s="3"/>
      <c r="W307" s="3"/>
      <c r="X307" s="3"/>
      <c r="Y307" s="3"/>
      <c r="AA307" s="1543" t="s">
        <v>2679</v>
      </c>
      <c r="AB307" s="1544"/>
      <c r="AC307" s="1544"/>
      <c r="AD307" s="1544"/>
      <c r="AE307" s="1544"/>
      <c r="AF307" s="1544"/>
      <c r="AG307" s="4" t="s">
        <v>205</v>
      </c>
      <c r="AH307" s="4"/>
      <c r="AI307" s="1526"/>
      <c r="AJ307" s="1526"/>
      <c r="AK307" s="1526"/>
    </row>
    <row r="308" spans="2:37" ht="13" customHeight="1">
      <c r="B308" s="3" t="s">
        <v>89</v>
      </c>
      <c r="C308" s="3"/>
      <c r="D308" s="3"/>
      <c r="E308" s="3"/>
      <c r="F308" s="3"/>
      <c r="G308" s="3"/>
      <c r="H308" s="1524" t="s">
        <v>2680</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1" t="s">
        <v>2681</v>
      </c>
      <c r="I309" s="1371"/>
      <c r="J309" s="1371"/>
      <c r="K309" s="1371"/>
      <c r="L309" s="1371"/>
      <c r="M309" s="1371"/>
      <c r="N309" s="1407"/>
      <c r="O309" s="1407"/>
      <c r="P309" s="1407"/>
      <c r="Q309" s="1407"/>
      <c r="R309" s="1407"/>
      <c r="S309" s="3"/>
      <c r="T309" s="3" t="s">
        <v>76</v>
      </c>
      <c r="V309" s="3"/>
      <c r="W309" s="3"/>
      <c r="X309" s="3"/>
      <c r="Y309" s="3"/>
      <c r="AA309" s="1371" t="s">
        <v>2682</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407" t="s">
        <v>2671</v>
      </c>
      <c r="I311" s="1407"/>
      <c r="J311" s="1407"/>
      <c r="K311" s="1407"/>
      <c r="L311" s="1407"/>
      <c r="M311" s="1407"/>
      <c r="N311" s="1407"/>
      <c r="O311" s="1407"/>
      <c r="P311" s="1407"/>
      <c r="Q311" s="1407"/>
      <c r="R311" s="1407"/>
      <c r="S311" s="3"/>
      <c r="T311" s="3" t="s">
        <v>364</v>
      </c>
      <c r="V311" s="3"/>
      <c r="W311" s="3"/>
      <c r="X311" s="3"/>
      <c r="Y311" s="3"/>
      <c r="AA311" s="1407" t="s">
        <v>2683</v>
      </c>
      <c r="AB311" s="1407"/>
      <c r="AC311" s="1407"/>
      <c r="AD311" s="1407"/>
      <c r="AE311" s="1407"/>
      <c r="AF311" s="1407"/>
      <c r="AG311" s="1407"/>
      <c r="AH311" s="1407"/>
      <c r="AI311" s="1407"/>
      <c r="AJ311" s="1407"/>
      <c r="AK311" s="1407"/>
    </row>
    <row r="312" spans="2:37" ht="13" customHeight="1">
      <c r="B312" s="3" t="s">
        <v>471</v>
      </c>
      <c r="C312" s="3"/>
      <c r="D312" s="3"/>
      <c r="E312" s="3"/>
      <c r="F312" s="3"/>
      <c r="H312" s="1371" t="s">
        <v>2673</v>
      </c>
      <c r="I312" s="1371"/>
      <c r="J312" s="1371"/>
      <c r="K312" s="1371"/>
      <c r="L312" s="1371"/>
      <c r="M312" s="1371"/>
      <c r="N312" s="1371"/>
      <c r="O312" s="1371"/>
      <c r="P312" s="1371"/>
      <c r="Q312" s="1371"/>
      <c r="R312" s="1371"/>
      <c r="S312" s="3"/>
      <c r="T312" s="3" t="s">
        <v>471</v>
      </c>
      <c r="V312" s="3"/>
      <c r="W312" s="3"/>
      <c r="X312" s="3"/>
      <c r="Y312" s="3"/>
      <c r="AA312" s="1371" t="s">
        <v>2684</v>
      </c>
      <c r="AB312" s="1371"/>
      <c r="AC312" s="1371"/>
      <c r="AD312" s="1371"/>
      <c r="AE312" s="1371"/>
      <c r="AF312" s="1371"/>
      <c r="AG312" s="1371"/>
      <c r="AH312" s="1371"/>
      <c r="AI312" s="1371"/>
      <c r="AJ312" s="1371"/>
      <c r="AK312" s="1371"/>
    </row>
    <row r="313" spans="2:37" ht="13" customHeight="1">
      <c r="B313" s="3" t="s">
        <v>472</v>
      </c>
      <c r="C313" s="3"/>
      <c r="D313" s="3"/>
      <c r="E313" s="3"/>
      <c r="F313" s="3"/>
      <c r="H313" s="1371" t="s">
        <v>2685</v>
      </c>
      <c r="I313" s="1371"/>
      <c r="J313" s="1371"/>
      <c r="K313" s="1371"/>
      <c r="L313" s="1371"/>
      <c r="M313" s="1371"/>
      <c r="N313" s="1371"/>
      <c r="O313" s="1371"/>
      <c r="P313" s="1371"/>
      <c r="Q313" s="1371"/>
      <c r="R313" s="1371"/>
      <c r="S313" s="3"/>
      <c r="T313" s="3" t="s">
        <v>75</v>
      </c>
      <c r="V313" s="3"/>
      <c r="W313" s="3"/>
      <c r="X313" s="3"/>
      <c r="Y313" s="3"/>
      <c r="AA313" s="1371" t="s">
        <v>2686</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2676</v>
      </c>
      <c r="I314" s="1371"/>
      <c r="J314" s="1371"/>
      <c r="K314" s="1371"/>
      <c r="L314" s="1371"/>
      <c r="M314" s="1371"/>
      <c r="N314" s="1371"/>
      <c r="O314" s="1371"/>
      <c r="P314" s="1371"/>
      <c r="Q314" s="1371"/>
      <c r="R314" s="1371"/>
      <c r="S314" s="3"/>
      <c r="T314" s="3" t="s">
        <v>87</v>
      </c>
      <c r="V314" s="3"/>
      <c r="W314" s="3"/>
      <c r="X314" s="3"/>
      <c r="Y314" s="3"/>
      <c r="AA314" s="1371" t="s">
        <v>2687</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3" t="s">
        <v>2678</v>
      </c>
      <c r="I315" s="1544"/>
      <c r="J315" s="1544"/>
      <c r="K315" s="1544"/>
      <c r="L315" s="1544"/>
      <c r="M315" s="1544"/>
      <c r="N315" s="4" t="s">
        <v>205</v>
      </c>
      <c r="O315" s="4"/>
      <c r="P315" s="1526"/>
      <c r="Q315" s="1526"/>
      <c r="R315" s="1526"/>
      <c r="S315" s="3"/>
      <c r="T315" s="3" t="s">
        <v>88</v>
      </c>
      <c r="V315" s="3"/>
      <c r="W315" s="3"/>
      <c r="X315" s="3"/>
      <c r="Y315" s="3"/>
      <c r="AA315" s="1543" t="s">
        <v>2688</v>
      </c>
      <c r="AB315" s="1544"/>
      <c r="AC315" s="1544"/>
      <c r="AD315" s="1544"/>
      <c r="AE315" s="1544"/>
      <c r="AF315" s="1544"/>
      <c r="AG315" s="4" t="s">
        <v>205</v>
      </c>
      <c r="AH315" s="4"/>
      <c r="AI315" s="1526"/>
      <c r="AJ315" s="1526"/>
      <c r="AK315" s="1526"/>
    </row>
    <row r="316" spans="2:37" ht="13" customHeight="1">
      <c r="B316" s="3" t="s">
        <v>89</v>
      </c>
      <c r="C316" s="3"/>
      <c r="D316" s="3"/>
      <c r="E316" s="3"/>
      <c r="F316" s="3"/>
      <c r="G316" s="3"/>
      <c r="H316" s="1524" t="s">
        <v>2680</v>
      </c>
      <c r="I316" s="1487"/>
      <c r="J316" s="1487"/>
      <c r="K316" s="1487"/>
      <c r="L316" s="1487"/>
      <c r="M316" s="1487"/>
      <c r="N316" s="4"/>
      <c r="O316" s="4"/>
      <c r="P316" s="35"/>
      <c r="Q316" s="35"/>
      <c r="R316" s="35"/>
      <c r="S316" s="3"/>
      <c r="T316" s="3" t="s">
        <v>89</v>
      </c>
      <c r="V316" s="3"/>
      <c r="W316" s="3"/>
      <c r="X316" s="3"/>
      <c r="Y316" s="3"/>
      <c r="AA316" s="1524" t="s">
        <v>2689</v>
      </c>
      <c r="AB316" s="1487"/>
      <c r="AC316" s="1487"/>
      <c r="AD316" s="1487"/>
      <c r="AE316" s="1487"/>
      <c r="AF316" s="1487"/>
      <c r="AG316" s="4"/>
      <c r="AH316" s="4"/>
      <c r="AI316" s="35"/>
      <c r="AJ316" s="35"/>
      <c r="AK316" s="35"/>
    </row>
    <row r="317" spans="2:37" ht="13" customHeight="1">
      <c r="B317" s="3" t="s">
        <v>76</v>
      </c>
      <c r="C317" s="3"/>
      <c r="D317" s="3"/>
      <c r="E317" s="3"/>
      <c r="F317" s="3"/>
      <c r="G317" s="3"/>
      <c r="H317" s="1371" t="s">
        <v>2681</v>
      </c>
      <c r="I317" s="1371"/>
      <c r="J317" s="1371"/>
      <c r="K317" s="1371"/>
      <c r="L317" s="1371"/>
      <c r="M317" s="1371"/>
      <c r="N317" s="1407"/>
      <c r="O317" s="1407"/>
      <c r="P317" s="1407"/>
      <c r="Q317" s="1407"/>
      <c r="R317" s="1407"/>
      <c r="S317" s="3"/>
      <c r="T317" s="3" t="s">
        <v>76</v>
      </c>
      <c r="V317" s="3"/>
      <c r="W317" s="3"/>
      <c r="X317" s="3"/>
      <c r="Y317" s="3"/>
      <c r="AA317" s="1371" t="s">
        <v>2690</v>
      </c>
      <c r="AB317" s="1371"/>
      <c r="AC317" s="1371"/>
      <c r="AD317" s="1371"/>
      <c r="AE317" s="1371"/>
      <c r="AF317" s="1371"/>
      <c r="AG317" s="1407"/>
      <c r="AH317" s="1407"/>
      <c r="AI317" s="1407"/>
      <c r="AJ317" s="1407"/>
      <c r="AK317" s="1407"/>
    </row>
    <row r="318" spans="2:37" ht="13" customHeight="1"/>
    <row r="319" spans="2:37" ht="13" customHeight="1">
      <c r="B319" s="4" t="s">
        <v>907</v>
      </c>
      <c r="C319" s="3"/>
      <c r="D319" s="3"/>
      <c r="E319" s="3"/>
      <c r="F319" s="3"/>
      <c r="H319" s="1407" t="s">
        <v>2691</v>
      </c>
      <c r="I319" s="1407"/>
      <c r="J319" s="1407"/>
      <c r="K319" s="1407"/>
      <c r="L319" s="1407"/>
      <c r="M319" s="1407"/>
      <c r="N319" s="1407"/>
      <c r="O319" s="1407"/>
      <c r="P319" s="1407"/>
      <c r="Q319" s="1407"/>
      <c r="R319" s="1407"/>
      <c r="T319" s="3" t="s">
        <v>365</v>
      </c>
      <c r="V319" s="3"/>
      <c r="W319" s="3"/>
      <c r="X319" s="3"/>
      <c r="Y319" s="3"/>
      <c r="AA319" s="1407" t="s">
        <v>2692</v>
      </c>
      <c r="AB319" s="1407"/>
      <c r="AC319" s="1407"/>
      <c r="AD319" s="1407"/>
      <c r="AE319" s="1407"/>
      <c r="AF319" s="1407"/>
      <c r="AG319" s="1407"/>
      <c r="AH319" s="1407"/>
      <c r="AI319" s="1407"/>
      <c r="AJ319" s="1407"/>
      <c r="AK319" s="1407"/>
    </row>
    <row r="320" spans="2:37" ht="13"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2693</v>
      </c>
      <c r="AB320" s="1371"/>
      <c r="AC320" s="1371"/>
      <c r="AD320" s="1371"/>
      <c r="AE320" s="1371"/>
      <c r="AF320" s="1371"/>
      <c r="AG320" s="1371"/>
      <c r="AH320" s="1371"/>
      <c r="AI320" s="1371"/>
      <c r="AJ320" s="1371"/>
      <c r="AK320" s="1371"/>
    </row>
    <row r="321" spans="2:37" ht="13"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2694</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2695</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4"/>
      <c r="I323" s="1544"/>
      <c r="J323" s="1544"/>
      <c r="K323" s="1544"/>
      <c r="L323" s="1544"/>
      <c r="M323" s="1544"/>
      <c r="N323" s="4" t="s">
        <v>205</v>
      </c>
      <c r="O323" s="4"/>
      <c r="P323" s="1526"/>
      <c r="Q323" s="1526"/>
      <c r="R323" s="1526"/>
      <c r="S323" s="3"/>
      <c r="T323" s="3" t="s">
        <v>88</v>
      </c>
      <c r="V323" s="3"/>
      <c r="W323" s="3"/>
      <c r="X323" s="3"/>
      <c r="Y323" s="3"/>
      <c r="AA323" s="1543" t="s">
        <v>2696</v>
      </c>
      <c r="AB323" s="1544"/>
      <c r="AC323" s="1544"/>
      <c r="AD323" s="1544"/>
      <c r="AE323" s="1544"/>
      <c r="AF323" s="1544"/>
      <c r="AG323" s="4" t="s">
        <v>205</v>
      </c>
      <c r="AH323" s="4"/>
      <c r="AI323" s="1526"/>
      <c r="AJ323" s="1526"/>
      <c r="AK323" s="1526"/>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2697</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7" t="s">
        <v>2691</v>
      </c>
      <c r="I327" s="1407"/>
      <c r="J327" s="1407"/>
      <c r="K327" s="1407"/>
      <c r="L327" s="1407"/>
      <c r="M327" s="1407"/>
      <c r="N327" s="1407"/>
      <c r="O327" s="1407"/>
      <c r="P327" s="1407"/>
      <c r="Q327" s="1407"/>
      <c r="R327" s="1407"/>
      <c r="T327" s="3" t="s">
        <v>367</v>
      </c>
      <c r="V327" s="3"/>
      <c r="W327" s="3"/>
      <c r="X327" s="3"/>
      <c r="Y327" s="3"/>
      <c r="AA327" s="1407" t="s">
        <v>2691</v>
      </c>
      <c r="AB327" s="1407"/>
      <c r="AC327" s="1407"/>
      <c r="AD327" s="1407"/>
      <c r="AE327" s="1407"/>
      <c r="AF327" s="1407"/>
      <c r="AG327" s="1407"/>
      <c r="AH327" s="1407"/>
      <c r="AI327" s="1407"/>
      <c r="AJ327" s="1407"/>
      <c r="AK327" s="1407"/>
    </row>
    <row r="328" spans="2:37" ht="13"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3"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4"/>
      <c r="I331" s="1544"/>
      <c r="J331" s="1544"/>
      <c r="K331" s="1544"/>
      <c r="L331" s="1544"/>
      <c r="M331" s="1544"/>
      <c r="N331" s="4" t="s">
        <v>205</v>
      </c>
      <c r="O331" s="4"/>
      <c r="P331" s="1526"/>
      <c r="Q331" s="1526"/>
      <c r="R331" s="1526"/>
      <c r="S331" s="3"/>
      <c r="T331" s="3" t="s">
        <v>88</v>
      </c>
      <c r="V331" s="3"/>
      <c r="W331" s="3"/>
      <c r="X331" s="3"/>
      <c r="Y331" s="3"/>
      <c r="AA331" s="1544"/>
      <c r="AB331" s="1544"/>
      <c r="AC331" s="1544"/>
      <c r="AD331" s="1544"/>
      <c r="AE331" s="1544"/>
      <c r="AF331" s="1544"/>
      <c r="AG331" s="4" t="s">
        <v>205</v>
      </c>
      <c r="AH331" s="4"/>
      <c r="AI331" s="1526"/>
      <c r="AJ331" s="1526"/>
      <c r="AK331" s="1526"/>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7" t="s">
        <v>2698</v>
      </c>
      <c r="I335" s="1407"/>
      <c r="J335" s="1407"/>
      <c r="K335" s="1407"/>
      <c r="L335" s="1407"/>
      <c r="M335" s="1407"/>
      <c r="N335" s="1407"/>
      <c r="O335" s="1407"/>
      <c r="P335" s="1407"/>
      <c r="Q335" s="1407"/>
      <c r="R335" s="1407"/>
      <c r="T335" s="204" t="s">
        <v>885</v>
      </c>
      <c r="V335" s="3"/>
      <c r="W335" s="3"/>
      <c r="X335" s="3"/>
      <c r="Y335" s="3"/>
      <c r="AA335" s="1407" t="s">
        <v>2699</v>
      </c>
      <c r="AB335" s="1407"/>
      <c r="AC335" s="1407"/>
      <c r="AD335" s="1407"/>
      <c r="AE335" s="1407"/>
      <c r="AF335" s="1407"/>
      <c r="AG335" s="1407"/>
      <c r="AH335" s="1407"/>
      <c r="AI335" s="1407"/>
      <c r="AJ335" s="1407"/>
      <c r="AK335" s="1407"/>
    </row>
    <row r="336" spans="2:37" ht="13" customHeight="1">
      <c r="B336" s="3" t="s">
        <v>471</v>
      </c>
      <c r="C336" s="3"/>
      <c r="D336" s="3"/>
      <c r="E336" s="3"/>
      <c r="F336" s="3"/>
      <c r="H336" s="1371" t="s">
        <v>2700</v>
      </c>
      <c r="I336" s="1371"/>
      <c r="J336" s="1371"/>
      <c r="K336" s="1371"/>
      <c r="L336" s="1371"/>
      <c r="M336" s="1371"/>
      <c r="N336" s="1371"/>
      <c r="O336" s="1371"/>
      <c r="P336" s="1371"/>
      <c r="Q336" s="1371"/>
      <c r="R336" s="1371"/>
      <c r="T336" s="3" t="s">
        <v>471</v>
      </c>
      <c r="V336" s="3"/>
      <c r="W336" s="3"/>
      <c r="X336" s="3"/>
      <c r="Y336" s="3"/>
      <c r="AA336" s="1371" t="s">
        <v>2701</v>
      </c>
      <c r="AB336" s="1371"/>
      <c r="AC336" s="1371"/>
      <c r="AD336" s="1371"/>
      <c r="AE336" s="1371"/>
      <c r="AF336" s="1371"/>
      <c r="AG336" s="1371"/>
      <c r="AH336" s="1371"/>
      <c r="AI336" s="1371"/>
      <c r="AJ336" s="1371"/>
      <c r="AK336" s="1371"/>
    </row>
    <row r="337" spans="1:66" ht="13" customHeight="1">
      <c r="B337" s="3" t="s">
        <v>75</v>
      </c>
      <c r="C337" s="3"/>
      <c r="D337" s="3"/>
      <c r="E337" s="3"/>
      <c r="F337" s="3"/>
      <c r="H337" s="1371" t="s">
        <v>2702</v>
      </c>
      <c r="I337" s="1371"/>
      <c r="J337" s="1371"/>
      <c r="K337" s="1371"/>
      <c r="L337" s="1371"/>
      <c r="M337" s="1371"/>
      <c r="N337" s="1371"/>
      <c r="O337" s="1371"/>
      <c r="P337" s="1371"/>
      <c r="Q337" s="1371"/>
      <c r="R337" s="1371"/>
      <c r="T337" s="3" t="s">
        <v>75</v>
      </c>
      <c r="V337" s="3"/>
      <c r="W337" s="3"/>
      <c r="X337" s="3"/>
      <c r="Y337" s="3"/>
      <c r="AA337" s="1371" t="s">
        <v>2703</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2704</v>
      </c>
      <c r="I338" s="1371"/>
      <c r="J338" s="1371"/>
      <c r="K338" s="1371"/>
      <c r="L338" s="1371"/>
      <c r="M338" s="1371"/>
      <c r="N338" s="1371"/>
      <c r="O338" s="1371"/>
      <c r="P338" s="1371"/>
      <c r="Q338" s="1371"/>
      <c r="R338" s="1371"/>
      <c r="T338" s="3" t="s">
        <v>87</v>
      </c>
      <c r="V338" s="3"/>
      <c r="W338" s="3"/>
      <c r="X338" s="3"/>
      <c r="Y338" s="3"/>
      <c r="AA338" s="1371" t="s">
        <v>2705</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3" t="s">
        <v>2706</v>
      </c>
      <c r="I339" s="1544"/>
      <c r="J339" s="1544"/>
      <c r="K339" s="1544"/>
      <c r="L339" s="1544"/>
      <c r="M339" s="1544"/>
      <c r="N339" s="4" t="s">
        <v>205</v>
      </c>
      <c r="O339" s="4"/>
      <c r="P339" s="1526"/>
      <c r="Q339" s="1526"/>
      <c r="R339" s="1526"/>
      <c r="S339" s="3"/>
      <c r="T339" s="3" t="s">
        <v>88</v>
      </c>
      <c r="V339" s="3"/>
      <c r="W339" s="3"/>
      <c r="X339" s="3"/>
      <c r="Y339" s="3"/>
      <c r="AA339" s="1543" t="s">
        <v>2707</v>
      </c>
      <c r="AB339" s="1544"/>
      <c r="AC339" s="1544"/>
      <c r="AD339" s="1544"/>
      <c r="AE339" s="1544"/>
      <c r="AF339" s="1544"/>
      <c r="AG339" s="4" t="s">
        <v>205</v>
      </c>
      <c r="AH339" s="4"/>
      <c r="AI339" s="1526"/>
      <c r="AJ339" s="1526"/>
      <c r="AK339" s="1526"/>
    </row>
    <row r="340" spans="1:66" ht="13" customHeight="1">
      <c r="B340" s="3" t="s">
        <v>89</v>
      </c>
      <c r="C340" s="3"/>
      <c r="D340" s="3"/>
      <c r="E340" s="3"/>
      <c r="F340" s="3"/>
      <c r="G340" s="3"/>
      <c r="H340" s="1524" t="s">
        <v>2708</v>
      </c>
      <c r="I340" s="1487"/>
      <c r="J340" s="1487"/>
      <c r="K340" s="1487"/>
      <c r="L340" s="1487"/>
      <c r="M340" s="1487"/>
      <c r="N340" s="4"/>
      <c r="O340" s="4"/>
      <c r="P340" s="35"/>
      <c r="Q340" s="35"/>
      <c r="R340" s="35"/>
      <c r="S340" s="3"/>
      <c r="T340" s="3" t="s">
        <v>89</v>
      </c>
      <c r="V340" s="3"/>
      <c r="W340" s="3"/>
      <c r="X340" s="3"/>
      <c r="Y340" s="3"/>
      <c r="AA340" s="1524" t="s">
        <v>2709</v>
      </c>
      <c r="AB340" s="1487"/>
      <c r="AC340" s="1487"/>
      <c r="AD340" s="1487"/>
      <c r="AE340" s="1487"/>
      <c r="AF340" s="1487"/>
      <c r="AG340" s="4"/>
      <c r="AH340" s="4"/>
      <c r="AI340" s="35"/>
      <c r="AJ340" s="35"/>
      <c r="AK340" s="35"/>
    </row>
    <row r="341" spans="1:66" ht="13" customHeight="1">
      <c r="B341" s="3" t="s">
        <v>76</v>
      </c>
      <c r="C341" s="3"/>
      <c r="D341" s="3"/>
      <c r="E341" s="3"/>
      <c r="F341" s="3"/>
      <c r="G341" s="3"/>
      <c r="H341" s="1371" t="s">
        <v>2710</v>
      </c>
      <c r="I341" s="1371"/>
      <c r="J341" s="1371"/>
      <c r="K341" s="1371"/>
      <c r="L341" s="1371"/>
      <c r="M341" s="1371"/>
      <c r="N341" s="1407"/>
      <c r="O341" s="1407"/>
      <c r="P341" s="1407"/>
      <c r="Q341" s="1407"/>
      <c r="R341" s="1407"/>
      <c r="S341" s="3"/>
      <c r="T341" s="3" t="s">
        <v>76</v>
      </c>
      <c r="V341" s="3"/>
      <c r="W341" s="3"/>
      <c r="X341" s="3"/>
      <c r="Y341" s="3"/>
      <c r="AA341" s="1371" t="s">
        <v>2711</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407" t="s">
        <v>2691</v>
      </c>
      <c r="Q343" s="1407"/>
      <c r="R343" s="1407"/>
      <c r="S343" s="1407"/>
      <c r="T343" s="1407"/>
      <c r="U343" s="1407"/>
      <c r="V343" s="1407"/>
      <c r="W343" s="1407"/>
      <c r="X343" s="1407"/>
      <c r="Y343" s="1407"/>
      <c r="Z343" s="1407"/>
      <c r="AA343" s="1407"/>
      <c r="AB343" s="1407"/>
      <c r="AC343" s="1407"/>
      <c r="AD343" s="1407"/>
      <c r="AE343" s="1407"/>
      <c r="BN343" t="s">
        <v>668</v>
      </c>
    </row>
    <row r="344" spans="1:66" ht="13"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2098</v>
      </c>
      <c r="M355" s="1415" t="s">
        <v>545</v>
      </c>
      <c r="N355" s="1415"/>
      <c r="P355" t="s">
        <v>1649</v>
      </c>
      <c r="AJ355" s="1415" t="s">
        <v>668</v>
      </c>
      <c r="AK355" s="1415"/>
    </row>
    <row r="356" spans="1:46" ht="13" customHeight="1">
      <c r="D356" s="3" t="s">
        <v>1638</v>
      </c>
      <c r="M356" s="1415" t="s">
        <v>591</v>
      </c>
      <c r="N356" s="1415"/>
      <c r="P356" s="3" t="s">
        <v>1718</v>
      </c>
      <c r="AJ356" s="1382"/>
      <c r="AK356" s="1382"/>
    </row>
    <row r="357" spans="1:46" ht="13" customHeight="1">
      <c r="D357" s="3" t="s">
        <v>703</v>
      </c>
      <c r="M357" s="1415" t="s">
        <v>591</v>
      </c>
      <c r="N357" s="1415"/>
      <c r="P357" t="s">
        <v>1648</v>
      </c>
      <c r="AJ357" s="1415" t="s">
        <v>591</v>
      </c>
      <c r="AK357" s="1415"/>
    </row>
    <row r="358" spans="1:46" ht="13" customHeight="1">
      <c r="D358" s="3" t="s">
        <v>704</v>
      </c>
      <c r="M358" s="1415" t="s">
        <v>591</v>
      </c>
      <c r="N358" s="1415"/>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3" customHeight="1">
      <c r="E364" t="s">
        <v>369</v>
      </c>
      <c r="Y364" s="1415" t="s">
        <v>591</v>
      </c>
      <c r="Z364" s="1415"/>
    </row>
    <row r="365" spans="1:46" ht="13" customHeight="1">
      <c r="D365" s="4" t="s">
        <v>977</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705</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3"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3"/>
      <c r="T377" s="1443"/>
      <c r="U377" s="1" t="s">
        <v>305</v>
      </c>
      <c r="V377" s="1443"/>
      <c r="W377" s="1443"/>
      <c r="Y377" t="s">
        <v>2079</v>
      </c>
      <c r="AC377" s="27" t="s">
        <v>304</v>
      </c>
      <c r="AD377" s="1443"/>
      <c r="AE377" s="1443"/>
      <c r="AF377" s="1" t="s">
        <v>305</v>
      </c>
      <c r="AG377" s="1443"/>
      <c r="AH377" s="1443"/>
    </row>
    <row r="378" spans="1:34" ht="13" customHeight="1">
      <c r="E378" s="4" t="s">
        <v>986</v>
      </c>
      <c r="F378" s="4"/>
      <c r="G378" s="4"/>
      <c r="H378" s="4"/>
      <c r="I378" s="4"/>
      <c r="J378" s="4"/>
      <c r="K378" s="4"/>
      <c r="L378" s="4"/>
      <c r="N378" s="1443"/>
      <c r="O378" s="1443"/>
      <c r="P378" s="1443"/>
    </row>
    <row r="379" spans="1:34" ht="13" customHeight="1">
      <c r="E379" s="204" t="s">
        <v>2085</v>
      </c>
      <c r="F379" s="4"/>
      <c r="G379" s="4"/>
      <c r="H379" s="4"/>
      <c r="I379" s="4"/>
      <c r="J379" s="4"/>
      <c r="K379" s="4"/>
      <c r="L379" s="4"/>
      <c r="AG379" s="1446" t="s">
        <v>591</v>
      </c>
      <c r="AH379" s="1446"/>
    </row>
    <row r="380" spans="1:34" ht="13" customHeight="1">
      <c r="E380" s="4"/>
      <c r="F380" s="4"/>
      <c r="G380" s="4" t="s">
        <v>2086</v>
      </c>
      <c r="H380" s="4"/>
      <c r="I380" s="4"/>
      <c r="J380" s="4"/>
      <c r="K380" s="4"/>
      <c r="L380" s="4"/>
      <c r="AG380" s="1446" t="s">
        <v>591</v>
      </c>
      <c r="AH380" s="1446"/>
    </row>
    <row r="381" spans="1:34" ht="13" customHeight="1">
      <c r="E381" s="4"/>
      <c r="F381" s="4"/>
      <c r="G381" s="320" t="s">
        <v>987</v>
      </c>
      <c r="H381" s="4"/>
      <c r="I381" s="4"/>
      <c r="J381" s="4"/>
      <c r="K381" s="4"/>
      <c r="L381" s="4"/>
      <c r="V381" s="1415" t="s">
        <v>591</v>
      </c>
      <c r="W381" s="1415"/>
      <c r="Y381" s="22" t="s">
        <v>979</v>
      </c>
    </row>
    <row r="382" spans="1:34" ht="13" customHeight="1">
      <c r="E382" s="4" t="s">
        <v>980</v>
      </c>
      <c r="F382" s="4"/>
      <c r="G382" s="4"/>
      <c r="H382" s="4"/>
      <c r="I382" s="4"/>
      <c r="J382" s="4"/>
      <c r="K382" s="4"/>
      <c r="L382" s="4"/>
      <c r="V382" s="1415" t="s">
        <v>591</v>
      </c>
      <c r="W382" s="1415"/>
      <c r="Y382" s="4" t="s">
        <v>981</v>
      </c>
    </row>
    <row r="383" spans="1:34" ht="13" customHeight="1"/>
    <row r="384" spans="1:34" ht="13" customHeight="1">
      <c r="A384" s="2" t="s">
        <v>78</v>
      </c>
      <c r="B384" s="2"/>
    </row>
    <row r="385" spans="4:36" ht="13" customHeight="1">
      <c r="D385" t="s">
        <v>427</v>
      </c>
      <c r="J385" s="1407" t="s">
        <v>2651</v>
      </c>
      <c r="K385" s="1407"/>
      <c r="L385" s="1407"/>
      <c r="M385" s="1407"/>
      <c r="N385" s="1407"/>
      <c r="O385" s="1407"/>
      <c r="P385" s="1407"/>
      <c r="Q385" s="1407"/>
      <c r="R385" s="1407"/>
      <c r="S385" s="1407"/>
      <c r="T385" s="1407"/>
      <c r="U385" s="1407"/>
      <c r="V385" s="8" t="s">
        <v>83</v>
      </c>
      <c r="W385" s="8"/>
      <c r="X385" s="8"/>
      <c r="Y385" s="8"/>
      <c r="Z385" s="8"/>
      <c r="AA385" s="8"/>
      <c r="AB385" s="8"/>
      <c r="AC385" s="1407" t="s">
        <v>2615</v>
      </c>
      <c r="AD385" s="1407"/>
      <c r="AE385" s="1407"/>
      <c r="AF385" s="1407"/>
      <c r="AG385" s="1407"/>
      <c r="AH385" s="1407"/>
      <c r="AI385" s="1407"/>
      <c r="AJ385" s="1407"/>
    </row>
    <row r="386" spans="4:36" ht="13" customHeight="1">
      <c r="D386" s="3" t="s">
        <v>1181</v>
      </c>
      <c r="J386" s="1371" t="s">
        <v>2615</v>
      </c>
      <c r="K386" s="1371"/>
      <c r="L386" s="1371"/>
      <c r="M386" s="1371"/>
      <c r="N386" s="1371"/>
      <c r="O386" s="1371"/>
      <c r="P386" s="1371"/>
      <c r="Q386" s="1371"/>
      <c r="R386" s="1371"/>
      <c r="S386" s="1371"/>
      <c r="T386" s="1371"/>
      <c r="U386" s="1371"/>
      <c r="V386" s="3" t="s">
        <v>1181</v>
      </c>
      <c r="W386" s="8"/>
      <c r="X386" s="8"/>
      <c r="Y386" s="8"/>
      <c r="Z386" s="8"/>
      <c r="AA386" s="8"/>
      <c r="AB386" s="8"/>
      <c r="AC386" s="1407"/>
      <c r="AD386" s="1407"/>
      <c r="AE386" s="1407"/>
      <c r="AF386" s="1407"/>
      <c r="AG386" s="1407"/>
      <c r="AH386" s="1407"/>
      <c r="AI386" s="1407"/>
      <c r="AJ386" s="1407"/>
    </row>
    <row r="387" spans="4:36" ht="13" customHeight="1">
      <c r="D387" s="3" t="s">
        <v>441</v>
      </c>
      <c r="J387" s="1371" t="s">
        <v>2712</v>
      </c>
      <c r="K387" s="1371"/>
      <c r="L387" s="1371"/>
      <c r="M387" s="1371"/>
      <c r="N387" s="1371"/>
      <c r="O387" s="1371"/>
      <c r="P387" s="1371"/>
      <c r="Q387" s="1371"/>
      <c r="R387" s="1371"/>
      <c r="S387" s="1371"/>
      <c r="T387" s="1371"/>
      <c r="U387" s="1371"/>
      <c r="V387" s="3" t="s">
        <v>441</v>
      </c>
      <c r="W387" s="8"/>
      <c r="X387" s="8"/>
      <c r="Y387" s="8"/>
      <c r="Z387" s="8"/>
      <c r="AA387" s="8"/>
      <c r="AB387" s="8"/>
      <c r="AC387" s="1407"/>
      <c r="AD387" s="1407"/>
      <c r="AE387" s="1407"/>
      <c r="AF387" s="1407"/>
      <c r="AG387" s="1407"/>
      <c r="AH387" s="1407"/>
      <c r="AI387" s="1407"/>
      <c r="AJ387" s="1407"/>
    </row>
    <row r="388" spans="4:36" ht="13" customHeight="1">
      <c r="D388" t="s">
        <v>1177</v>
      </c>
      <c r="J388" s="1427" t="s">
        <v>2628</v>
      </c>
      <c r="K388" s="1427"/>
      <c r="L388" s="1427"/>
      <c r="M388" s="1427"/>
      <c r="N388" s="1427"/>
      <c r="O388" s="1427"/>
      <c r="P388" s="1427"/>
      <c r="Q388" s="1427"/>
      <c r="R388" s="1427"/>
      <c r="S388" s="1427"/>
      <c r="T388" s="1427"/>
      <c r="U388" s="1427"/>
      <c r="V388" s="1407" t="s">
        <v>2658</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0">
        <v>45771</v>
      </c>
      <c r="R389" s="1590"/>
      <c r="S389" s="1590"/>
      <c r="T389" s="1590"/>
      <c r="U389" s="1590"/>
      <c r="V389" t="s">
        <v>308</v>
      </c>
      <c r="AI389" s="1415" t="s">
        <v>545</v>
      </c>
      <c r="AJ389" s="1415"/>
    </row>
    <row r="390" spans="4:36" ht="13" customHeight="1">
      <c r="D390" t="s">
        <v>5</v>
      </c>
      <c r="Q390" s="1520">
        <v>46387</v>
      </c>
      <c r="R390" s="1521"/>
      <c r="S390" s="1521"/>
      <c r="T390" s="1521"/>
      <c r="U390" s="1521"/>
      <c r="W390" s="21" t="s">
        <v>74</v>
      </c>
      <c r="AG390" s="1448">
        <v>1.0000000000000001E-5</v>
      </c>
      <c r="AH390" s="1448"/>
      <c r="AI390" s="1448"/>
      <c r="AJ390" s="1448"/>
    </row>
    <row r="391" spans="4:36" ht="13" customHeight="1">
      <c r="D391" t="s">
        <v>426</v>
      </c>
      <c r="Q391" s="1449">
        <v>9500000</v>
      </c>
      <c r="R391" s="1449"/>
      <c r="S391" s="1449"/>
      <c r="T391" s="1449"/>
      <c r="U391" s="1449"/>
      <c r="V391" s="3" t="s">
        <v>1180</v>
      </c>
      <c r="AG391" s="1518">
        <v>46036</v>
      </c>
      <c r="AH391" s="1518"/>
      <c r="AI391" s="1518"/>
      <c r="AJ391" s="1518"/>
    </row>
    <row r="392" spans="4:36" ht="13" customHeight="1">
      <c r="D392" t="s">
        <v>88</v>
      </c>
      <c r="I392" s="1543" t="s">
        <v>2630</v>
      </c>
      <c r="J392" s="1544"/>
      <c r="K392" s="1544"/>
      <c r="L392" s="1544"/>
      <c r="M392" s="1544"/>
      <c r="N392" s="1544"/>
      <c r="Q392" s="4" t="s">
        <v>205</v>
      </c>
      <c r="S392" s="1447">
        <v>3015</v>
      </c>
      <c r="T392" s="1447"/>
      <c r="U392" s="1447"/>
      <c r="V392" t="s">
        <v>73</v>
      </c>
      <c r="AI392" s="1415" t="s">
        <v>668</v>
      </c>
      <c r="AJ392" s="1415"/>
    </row>
    <row r="393" spans="4:36" ht="13" customHeight="1">
      <c r="D393" t="s">
        <v>309</v>
      </c>
      <c r="Q393" s="1525">
        <f>AG393/9</f>
        <v>75000</v>
      </c>
      <c r="R393" s="1525"/>
      <c r="S393" s="1525"/>
      <c r="T393" s="1525"/>
      <c r="U393" s="1525"/>
      <c r="V393" t="s">
        <v>310</v>
      </c>
      <c r="AG393" s="1448">
        <v>675000</v>
      </c>
      <c r="AH393" s="1448"/>
      <c r="AI393" s="1448"/>
      <c r="AJ393" s="1448"/>
    </row>
    <row r="394" spans="4:36" ht="13" customHeight="1">
      <c r="D394" t="s">
        <v>311</v>
      </c>
      <c r="Q394" s="1580">
        <v>1E-8</v>
      </c>
      <c r="R394" s="1580"/>
      <c r="S394" s="1580"/>
      <c r="T394" s="1580"/>
      <c r="U394" s="1580"/>
      <c r="V394" t="s">
        <v>1162</v>
      </c>
      <c r="AG394" s="1448"/>
      <c r="AH394" s="1448"/>
      <c r="AI394" s="1448"/>
      <c r="AJ394" s="1448"/>
    </row>
    <row r="395" spans="4:36" ht="13" customHeight="1">
      <c r="D395" t="s">
        <v>1161</v>
      </c>
      <c r="AG395" s="1448"/>
      <c r="AH395" s="1448"/>
      <c r="AI395" s="1448"/>
      <c r="AJ395" s="1448"/>
    </row>
    <row r="396" spans="4:36" ht="13" customHeight="1">
      <c r="AG396" s="456"/>
      <c r="AH396" s="456"/>
      <c r="AI396" s="456"/>
      <c r="AJ396" s="456"/>
    </row>
    <row r="397" spans="4:36" ht="13" customHeight="1">
      <c r="D397" s="3" t="s">
        <v>2142</v>
      </c>
      <c r="AG397" s="456"/>
      <c r="AH397" s="456"/>
      <c r="AI397" s="1415" t="s">
        <v>668</v>
      </c>
      <c r="AJ397" s="1415"/>
    </row>
    <row r="398" spans="4:36" ht="13" customHeight="1">
      <c r="D398" s="3" t="s">
        <v>1666</v>
      </c>
      <c r="T398" s="1434" t="s">
        <v>591</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1665</v>
      </c>
      <c r="T399" s="1434" t="s">
        <v>591</v>
      </c>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1659</v>
      </c>
      <c r="S401" s="1434" t="s">
        <v>545</v>
      </c>
      <c r="T401" s="1434"/>
      <c r="U401" s="1434"/>
      <c r="V401" t="s">
        <v>1660</v>
      </c>
      <c r="AG401" s="1523">
        <v>99</v>
      </c>
      <c r="AH401" s="1523"/>
      <c r="AI401" s="1523"/>
      <c r="AJ401" s="1523"/>
    </row>
    <row r="402" spans="1:36" ht="13" customHeight="1">
      <c r="D402" s="3" t="s">
        <v>1657</v>
      </c>
      <c r="S402" s="1434" t="s">
        <v>545</v>
      </c>
      <c r="T402" s="1434"/>
      <c r="U402" s="1434"/>
      <c r="V402" t="s">
        <v>1662</v>
      </c>
      <c r="AE402" s="1517">
        <v>1280000</v>
      </c>
      <c r="AF402" s="1517"/>
      <c r="AG402" s="1517"/>
      <c r="AH402" s="1517"/>
      <c r="AI402" s="1517"/>
      <c r="AJ402" s="1517"/>
    </row>
    <row r="403" spans="1:36" ht="13" customHeight="1">
      <c r="D403" s="3" t="s">
        <v>1658</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1661</v>
      </c>
      <c r="K404" s="1519" t="s">
        <v>2713</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1664</v>
      </c>
      <c r="E405" s="477"/>
      <c r="F405" s="477"/>
      <c r="G405" s="477"/>
      <c r="H405" s="477"/>
      <c r="I405" s="477"/>
      <c r="J405" s="477"/>
      <c r="K405" s="477"/>
      <c r="L405" s="477"/>
      <c r="M405" s="477"/>
      <c r="N405" s="477"/>
      <c r="O405" s="477"/>
      <c r="P405" s="477"/>
      <c r="Q405" s="477"/>
      <c r="R405" s="477"/>
      <c r="S405" s="1445" t="s">
        <v>2714</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522" t="s">
        <v>2771</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5" t="s">
        <v>545</v>
      </c>
      <c r="S411" s="1415"/>
      <c r="AC411" s="27" t="s">
        <v>570</v>
      </c>
      <c r="AD411" s="1390">
        <v>6</v>
      </c>
      <c r="AE411" s="1390"/>
    </row>
    <row r="412" spans="1:36" ht="13" customHeight="1">
      <c r="E412" t="s">
        <v>107</v>
      </c>
      <c r="R412" s="1415" t="s">
        <v>591</v>
      </c>
      <c r="S412" s="1415"/>
      <c r="AC412" s="27" t="s">
        <v>570</v>
      </c>
      <c r="AD412" s="1390"/>
      <c r="AE412" s="1390"/>
    </row>
    <row r="413" spans="1:36" ht="13" customHeight="1">
      <c r="E413" t="s">
        <v>108</v>
      </c>
      <c r="S413" s="1415" t="s">
        <v>591</v>
      </c>
      <c r="T413" s="1415"/>
    </row>
    <row r="414" spans="1:36" ht="13" customHeight="1">
      <c r="E414" t="s">
        <v>169</v>
      </c>
      <c r="H414" s="1581" t="s">
        <v>2715</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590</v>
      </c>
      <c r="B417" s="2"/>
      <c r="C417" s="2"/>
      <c r="D417" s="2" t="s">
        <v>114</v>
      </c>
      <c r="AF417" s="2" t="s">
        <v>956</v>
      </c>
    </row>
    <row r="418" spans="1:39" ht="13" customHeight="1">
      <c r="E418" s="1443"/>
      <c r="F418" s="1443"/>
      <c r="G418" s="1443"/>
      <c r="H418" s="13" t="s">
        <v>115</v>
      </c>
      <c r="I418" s="1443"/>
      <c r="J418" s="1443"/>
      <c r="K418" s="1443"/>
      <c r="L418" t="s">
        <v>116</v>
      </c>
      <c r="N418" s="27" t="s">
        <v>575</v>
      </c>
      <c r="P418" s="1584">
        <v>2.91</v>
      </c>
      <c r="Q418" s="1584"/>
      <c r="R418" s="1584"/>
      <c r="S418" t="s">
        <v>117</v>
      </c>
      <c r="W418" s="1444">
        <f>IF(E418&gt;0,(E418*I418),(P418*43560))</f>
        <v>126759.6</v>
      </c>
      <c r="X418" s="1444"/>
      <c r="Y418" s="1444"/>
      <c r="Z418" t="s">
        <v>118</v>
      </c>
      <c r="AF418" s="1585">
        <f>IFERROR(IF(P418&gt;0,(AG437/P418),(AG437/(W418/43560))),0)</f>
        <v>82.81786941580755</v>
      </c>
      <c r="AG418" s="1585"/>
      <c r="AH418" s="1585"/>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1735</v>
      </c>
      <c r="F421" s="1013"/>
      <c r="G421" s="1013"/>
      <c r="H421" s="1013"/>
      <c r="I421" s="1583">
        <v>2.91</v>
      </c>
      <c r="J421" s="1583"/>
      <c r="K421" s="1583"/>
      <c r="L421" s="1013"/>
      <c r="M421" s="118"/>
      <c r="N421" s="1013"/>
      <c r="O421" s="1013"/>
      <c r="P421" s="1834">
        <f>(DU755+DU778+DU800)/I421</f>
        <v>148.10996563573883</v>
      </c>
      <c r="Q421" s="1834"/>
      <c r="R421" s="183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5">
        <v>1</v>
      </c>
      <c r="Q424" s="1415"/>
      <c r="S424" t="s">
        <v>188</v>
      </c>
      <c r="AE424" s="1415">
        <v>1</v>
      </c>
      <c r="AF424" s="1415"/>
    </row>
    <row r="425" spans="1:39" ht="13" customHeight="1">
      <c r="E425" t="s">
        <v>189</v>
      </c>
      <c r="P425" s="1415"/>
      <c r="Q425" s="1415"/>
      <c r="S425" t="s">
        <v>131</v>
      </c>
      <c r="AE425" s="1415" t="s">
        <v>591</v>
      </c>
      <c r="AF425" s="1415"/>
    </row>
    <row r="426" spans="1:39" ht="13" customHeight="1">
      <c r="F426" s="28" t="s">
        <v>132</v>
      </c>
    </row>
    <row r="427" spans="1:39" ht="13" customHeight="1">
      <c r="F427" s="1529" t="s">
        <v>2716</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608</v>
      </c>
      <c r="P429" s="1"/>
      <c r="Q429" s="1415" t="s">
        <v>545</v>
      </c>
      <c r="R429" s="1415"/>
    </row>
    <row r="430" spans="1:39" ht="13" customHeight="1">
      <c r="F430" t="s">
        <v>609</v>
      </c>
      <c r="P430" s="1"/>
      <c r="Q430" s="1"/>
      <c r="AF430" s="1415" t="s">
        <v>591</v>
      </c>
      <c r="AG430" s="1505"/>
    </row>
    <row r="431" spans="1:39" ht="13" customHeight="1"/>
    <row r="432" spans="1:39" ht="13" customHeight="1">
      <c r="A432" s="2"/>
      <c r="B432" s="2"/>
      <c r="C432" s="2"/>
      <c r="E432" s="4" t="s">
        <v>307</v>
      </c>
      <c r="Z432" s="1415" t="s">
        <v>668</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15" t="s">
        <v>591</v>
      </c>
      <c r="AA434" s="1415"/>
    </row>
    <row r="435" spans="1:55" ht="13" customHeight="1"/>
    <row r="436" spans="1:55" ht="13" customHeight="1">
      <c r="A436" s="2" t="s">
        <v>467</v>
      </c>
      <c r="B436" s="2"/>
      <c r="C436" s="2"/>
      <c r="D436" s="2" t="s">
        <v>763</v>
      </c>
      <c r="AF436" s="48"/>
    </row>
    <row r="437" spans="1:55" ht="13"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241</v>
      </c>
      <c r="AH437" s="1385"/>
      <c r="AI437" s="1385"/>
      <c r="AJ437" s="1385"/>
    </row>
    <row r="438" spans="1:55" ht="13"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c r="AH438" s="1464"/>
      <c r="AI438" s="1464"/>
      <c r="AJ438" s="1464"/>
    </row>
    <row r="439" spans="1:55" ht="13"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239</v>
      </c>
      <c r="AH439" s="1385"/>
      <c r="AI439" s="1385"/>
      <c r="AJ439" s="1385"/>
    </row>
    <row r="440" spans="1:55" ht="13"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239</v>
      </c>
      <c r="AH440" s="1385"/>
      <c r="AI440" s="1385"/>
      <c r="AJ440" s="1385"/>
    </row>
    <row r="441" spans="1:55" ht="13"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193985</v>
      </c>
      <c r="AH442" s="1416"/>
      <c r="AI442" s="1416"/>
      <c r="AJ442" s="1416"/>
    </row>
    <row r="443" spans="1:55" ht="13"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193985</v>
      </c>
      <c r="AH443" s="1416"/>
      <c r="AI443" s="1416"/>
      <c r="AJ443" s="1416"/>
    </row>
    <row r="444" spans="1:55" ht="13"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3424</v>
      </c>
      <c r="AH446" s="1416"/>
      <c r="AI446" s="1416"/>
      <c r="AJ446" s="1416"/>
      <c r="AZ446" s="34"/>
      <c r="BA446" s="34"/>
      <c r="BB446" s="34"/>
      <c r="BC446" s="34"/>
    </row>
    <row r="447" spans="1:55" ht="13"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c r="AH447" s="1416"/>
      <c r="AI447" s="1416"/>
      <c r="AJ447" s="1416"/>
      <c r="AZ447" s="3"/>
      <c r="BA447" s="3"/>
      <c r="BB447" s="3"/>
      <c r="BC447" s="3"/>
    </row>
    <row r="448" spans="1:55" ht="13"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48740</v>
      </c>
      <c r="AH448" s="1416"/>
      <c r="AI448" s="1416"/>
      <c r="AJ448" s="1416"/>
      <c r="AZ448" s="3"/>
      <c r="BA448" s="3"/>
      <c r="BB448" s="3"/>
      <c r="BC448" s="3"/>
    </row>
    <row r="449" spans="1:55" ht="13"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c r="AH449" s="1416"/>
      <c r="AI449" s="1416"/>
      <c r="AJ449" s="1416"/>
      <c r="BB449" s="3"/>
      <c r="BC449" s="3"/>
    </row>
    <row r="450" spans="1:55" ht="13" customHeight="1">
      <c r="D450" s="1577" t="s">
        <v>1038</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246149</v>
      </c>
      <c r="AH450" s="1429"/>
      <c r="AI450" s="1429"/>
      <c r="AJ450" s="1429"/>
      <c r="AZ450" s="3"/>
      <c r="BA450" s="3"/>
      <c r="BB450" s="3"/>
      <c r="BC450" s="3"/>
    </row>
    <row r="451" spans="1:55" ht="13" customHeight="1">
      <c r="D451" s="1586" t="s">
        <v>1205</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663339.97925311199</v>
      </c>
      <c r="AD454" s="1373"/>
      <c r="AE454" s="1373"/>
      <c r="AF454" s="1373"/>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663339.97925311199</v>
      </c>
      <c r="AD455" s="1373"/>
      <c r="AE455" s="1373"/>
      <c r="AF455" s="1373"/>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645105.24066390039</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692</v>
      </c>
      <c r="E466" s="1376"/>
      <c r="F466" s="1376"/>
      <c r="G466" s="1376"/>
      <c r="H466" s="1376"/>
      <c r="I466" s="1376"/>
      <c r="J466" s="1376"/>
      <c r="K466" s="1376"/>
      <c r="L466" s="1376"/>
      <c r="M466" s="1376"/>
      <c r="N466" s="1376"/>
      <c r="O466" s="1376"/>
      <c r="P466" s="1376"/>
      <c r="Q466" s="1376"/>
      <c r="R466" s="1376"/>
      <c r="S466" s="1376"/>
      <c r="T466" s="1376"/>
      <c r="U466" s="1376"/>
      <c r="V466" s="1377"/>
      <c r="W466" s="1391"/>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693</v>
      </c>
      <c r="E467" s="1376"/>
      <c r="F467" s="1376"/>
      <c r="G467" s="1376"/>
      <c r="H467" s="1376"/>
      <c r="I467" s="1376"/>
      <c r="J467" s="1376"/>
      <c r="K467" s="1376"/>
      <c r="L467" s="1376"/>
      <c r="M467" s="1376"/>
      <c r="N467" s="1376"/>
      <c r="O467" s="1376"/>
      <c r="P467" s="1376"/>
      <c r="Q467" s="1376"/>
      <c r="R467" s="1376"/>
      <c r="S467" s="1376"/>
      <c r="T467" s="1376"/>
      <c r="U467" s="1376"/>
      <c r="V467" s="1377"/>
      <c r="W467" s="1391"/>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694</v>
      </c>
      <c r="E468" s="1376"/>
      <c r="F468" s="1376"/>
      <c r="G468" s="1376"/>
      <c r="H468" s="1376"/>
      <c r="I468" s="1376"/>
      <c r="J468" s="1376"/>
      <c r="K468" s="1376"/>
      <c r="L468" s="1376"/>
      <c r="M468" s="1376"/>
      <c r="N468" s="1376"/>
      <c r="O468" s="1376"/>
      <c r="P468" s="1376"/>
      <c r="Q468" s="1376"/>
      <c r="R468" s="1376"/>
      <c r="S468" s="1376"/>
      <c r="T468" s="1376"/>
      <c r="U468" s="1376"/>
      <c r="V468" s="1377"/>
      <c r="W468" s="1391"/>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880</v>
      </c>
      <c r="E469" s="1376"/>
      <c r="F469" s="1376"/>
      <c r="G469" s="1376"/>
      <c r="H469" s="1376"/>
      <c r="I469" s="1376"/>
      <c r="J469" s="1376"/>
      <c r="K469" s="1376"/>
      <c r="L469" s="1376"/>
      <c r="M469" s="1376"/>
      <c r="N469" s="1376"/>
      <c r="O469" s="1376"/>
      <c r="P469" s="1376"/>
      <c r="Q469" s="1376"/>
      <c r="R469" s="1376"/>
      <c r="S469" s="1376"/>
      <c r="T469" s="1376"/>
      <c r="U469" s="1376"/>
      <c r="V469" s="1377"/>
      <c r="W469" s="1391"/>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695</v>
      </c>
      <c r="E470" s="1376"/>
      <c r="F470" s="1376"/>
      <c r="G470" s="1376"/>
      <c r="H470" s="1376"/>
      <c r="I470" s="1376"/>
      <c r="J470" s="1376"/>
      <c r="K470" s="1376"/>
      <c r="L470" s="1376"/>
      <c r="M470" s="1376"/>
      <c r="N470" s="1376"/>
      <c r="O470" s="1376"/>
      <c r="P470" s="1376"/>
      <c r="Q470" s="1376"/>
      <c r="R470" s="1376"/>
      <c r="S470" s="1376"/>
      <c r="T470" s="1376"/>
      <c r="U470" s="1376"/>
      <c r="V470" s="1377"/>
      <c r="W470" s="1391"/>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v>37</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72" t="s">
        <v>2717</v>
      </c>
      <c r="H474" s="1673"/>
      <c r="I474" s="1673"/>
      <c r="J474" s="1673"/>
      <c r="K474" s="1673"/>
      <c r="L474" s="1673"/>
      <c r="M474" s="1673"/>
      <c r="N474" s="1673"/>
      <c r="O474" s="1673"/>
      <c r="P474" s="1673"/>
      <c r="Q474" s="1673"/>
      <c r="R474" s="1673"/>
      <c r="S474" s="1673"/>
      <c r="T474" s="1673"/>
      <c r="U474" s="1673"/>
      <c r="V474" s="1674"/>
      <c r="W474" s="1391">
        <v>25</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5" t="s">
        <v>809</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393</v>
      </c>
      <c r="C486" s="5"/>
      <c r="D486" s="5"/>
      <c r="E486" s="5"/>
      <c r="F486" s="5"/>
      <c r="G486" s="5"/>
      <c r="H486" s="5"/>
      <c r="I486" s="5"/>
      <c r="J486" s="5"/>
      <c r="K486" s="5"/>
      <c r="L486" s="5"/>
      <c r="M486" s="5"/>
      <c r="N486" s="5"/>
      <c r="O486" s="5"/>
      <c r="P486" s="5"/>
      <c r="Q486" s="1370" t="s">
        <v>2720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394</v>
      </c>
      <c r="C487" s="5"/>
      <c r="D487" s="5"/>
      <c r="E487" s="5"/>
      <c r="F487" s="5"/>
      <c r="G487" s="5"/>
      <c r="H487" s="5"/>
      <c r="I487" s="5"/>
      <c r="J487" s="5"/>
      <c r="K487" s="5"/>
      <c r="L487" s="5"/>
      <c r="M487" s="5"/>
      <c r="N487" s="5"/>
      <c r="O487" s="5"/>
      <c r="P487" s="5"/>
      <c r="Q487" s="1370" t="s">
        <v>2721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395</v>
      </c>
      <c r="C488" s="5"/>
      <c r="D488" s="5"/>
      <c r="E488" s="5"/>
      <c r="F488" s="5"/>
      <c r="G488" s="5"/>
      <c r="H488" s="5"/>
      <c r="I488" s="5"/>
      <c r="J488" s="5"/>
      <c r="K488" s="5"/>
      <c r="L488" s="5"/>
      <c r="M488" s="5"/>
      <c r="N488" s="5"/>
      <c r="O488" s="5"/>
      <c r="P488" s="5"/>
      <c r="Q488" s="1370" t="s">
        <v>2721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396</v>
      </c>
      <c r="C489" s="1454"/>
      <c r="D489" s="1454"/>
      <c r="E489" s="1454"/>
      <c r="F489" s="1454"/>
      <c r="G489" s="1454"/>
      <c r="H489" s="1454"/>
      <c r="I489" s="1454"/>
      <c r="J489" s="1454"/>
      <c r="K489" s="1454"/>
      <c r="L489" s="1454"/>
      <c r="M489" s="1454"/>
      <c r="N489" s="1454"/>
      <c r="O489" s="1454"/>
      <c r="P489" s="1455"/>
      <c r="Q489" s="1459" t="s">
        <v>545</v>
      </c>
      <c r="R489" s="1460"/>
      <c r="S489" s="1570" t="s">
        <v>2718</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3"/>
      <c r="T490" s="1530"/>
      <c r="U490" s="1530"/>
      <c r="V490" s="1530"/>
      <c r="W490" s="1530"/>
      <c r="X490" s="1530"/>
      <c r="Y490" s="1530"/>
      <c r="Z490" s="1530"/>
      <c r="AA490" s="1530"/>
      <c r="AB490" s="1530"/>
      <c r="AC490" s="1530"/>
      <c r="AD490" s="1530"/>
      <c r="AE490" s="1530"/>
      <c r="AF490" s="1530"/>
      <c r="AG490" s="1530"/>
      <c r="AH490" s="1530"/>
      <c r="AI490" s="1530"/>
      <c r="AJ490" s="1530"/>
      <c r="AK490" s="1574"/>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78" t="s">
        <v>668</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397</v>
      </c>
      <c r="C492" s="5"/>
      <c r="D492" s="5"/>
      <c r="E492" s="5"/>
      <c r="F492" s="5"/>
      <c r="G492" s="5"/>
      <c r="H492" s="5"/>
      <c r="I492" s="5"/>
      <c r="J492" s="5"/>
      <c r="K492" s="5"/>
      <c r="L492" s="5"/>
      <c r="M492" s="5"/>
      <c r="N492" s="5"/>
      <c r="O492" s="5"/>
      <c r="P492" s="5"/>
      <c r="Q492" s="1370" t="s">
        <v>2772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398</v>
      </c>
      <c r="C493" s="5"/>
      <c r="D493" s="5"/>
      <c r="E493" s="5"/>
      <c r="F493" s="5"/>
      <c r="G493" s="5"/>
      <c r="H493" s="5"/>
      <c r="I493" s="5"/>
      <c r="J493" s="5"/>
      <c r="K493" s="5"/>
      <c r="L493" s="5"/>
      <c r="M493" s="5"/>
      <c r="N493" s="5"/>
      <c r="O493" s="5"/>
      <c r="P493" s="5"/>
      <c r="Q493" s="1370" t="s">
        <v>2719</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0">
        <v>248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1668</v>
      </c>
      <c r="C495" s="5"/>
      <c r="D495" s="5"/>
      <c r="E495" s="5"/>
      <c r="F495" s="5"/>
      <c r="G495" s="5"/>
      <c r="H495" s="5"/>
      <c r="I495" s="5"/>
      <c r="J495" s="5"/>
      <c r="K495" s="5"/>
      <c r="L495" s="5"/>
      <c r="M495" s="1381">
        <v>175</v>
      </c>
      <c r="N495" s="1382"/>
      <c r="O495" s="1382"/>
      <c r="P495" s="1383"/>
      <c r="Q495" s="121" t="s">
        <v>1669</v>
      </c>
      <c r="R495" s="5"/>
      <c r="S495" s="5"/>
      <c r="T495" s="5"/>
      <c r="U495" s="5"/>
      <c r="V495" s="5"/>
      <c r="W495" s="5"/>
      <c r="X495" s="5"/>
      <c r="Y495" s="5"/>
      <c r="Z495" s="5"/>
      <c r="AA495" s="5"/>
      <c r="AB495" s="5"/>
      <c r="AC495" s="5"/>
      <c r="AD495" s="5"/>
      <c r="AE495" s="5"/>
      <c r="AF495" s="5"/>
      <c r="AG495" s="5"/>
      <c r="AH495" s="1381">
        <v>73</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591</v>
      </c>
      <c r="AD501" s="1390"/>
      <c r="AE501" s="1390"/>
      <c r="AF501" s="1390"/>
      <c r="AG501" s="13" t="s">
        <v>402</v>
      </c>
      <c r="AH501" s="1427"/>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t="s">
        <v>591</v>
      </c>
      <c r="AD502" s="1390"/>
      <c r="AE502" s="1390"/>
      <c r="AF502" s="1390"/>
      <c r="AG502" s="38" t="s">
        <v>402</v>
      </c>
      <c r="AH502" s="1427"/>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410</v>
      </c>
      <c r="AC505" s="1389" t="s">
        <v>591</v>
      </c>
      <c r="AD505" s="1390"/>
      <c r="AE505" s="1390"/>
      <c r="AF505" s="1390"/>
      <c r="AG505" s="13" t="s">
        <v>402</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411</v>
      </c>
      <c r="AC506" s="1389">
        <v>1</v>
      </c>
      <c r="AD506" s="1390"/>
      <c r="AE506" s="1390"/>
      <c r="AF506" s="1390"/>
      <c r="AG506" s="13" t="s">
        <v>402</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412</v>
      </c>
      <c r="AC507" s="1355">
        <v>1</v>
      </c>
      <c r="AD507" s="1356"/>
      <c r="AE507" s="1356"/>
      <c r="AF507" s="1356"/>
      <c r="AG507" s="13" t="s">
        <v>402</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169</v>
      </c>
      <c r="J508" s="48"/>
      <c r="K508" s="48"/>
      <c r="L508" s="1433" t="s">
        <v>2770</v>
      </c>
      <c r="M508" s="1434"/>
      <c r="N508" s="1434"/>
      <c r="O508" s="1434"/>
      <c r="P508" s="1434"/>
      <c r="Q508" s="1434"/>
      <c r="R508" s="1434"/>
      <c r="S508" s="1434"/>
      <c r="T508" s="1434"/>
      <c r="U508" s="1434"/>
      <c r="V508" s="1434"/>
      <c r="W508" s="1434"/>
      <c r="X508" s="1434"/>
      <c r="Y508" s="1434"/>
      <c r="Z508" s="1434"/>
      <c r="AA508" s="1434"/>
      <c r="AB508" s="1435"/>
      <c r="AC508" s="1389">
        <v>5</v>
      </c>
      <c r="AD508" s="1390"/>
      <c r="AE508" s="1390"/>
      <c r="AF508" s="1390"/>
      <c r="AG508" s="38" t="s">
        <v>402</v>
      </c>
      <c r="AH508" s="1427">
        <v>2025</v>
      </c>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5" t="s">
        <v>668</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0">
        <v>0.3</v>
      </c>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3"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4</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 customHeight="1">
      <c r="B515" s="1399"/>
      <c r="C515" s="1400"/>
      <c r="D515" s="1400"/>
      <c r="E515" s="1400"/>
      <c r="F515" s="1400"/>
      <c r="G515" s="1400"/>
      <c r="H515" s="1401"/>
      <c r="I515" t="s">
        <v>415</v>
      </c>
      <c r="AC515" s="1389">
        <v>5</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3" customHeight="1">
      <c r="B518" s="1399"/>
      <c r="C518" s="1400"/>
      <c r="D518" s="1400"/>
      <c r="E518" s="1400"/>
      <c r="F518" s="1400"/>
      <c r="G518" s="1400"/>
      <c r="H518" s="1401"/>
      <c r="I518" t="s">
        <v>415</v>
      </c>
      <c r="AC518" s="1389">
        <v>5</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3"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7</v>
      </c>
      <c r="AD519" s="1390"/>
      <c r="AE519" s="1390"/>
      <c r="AF519" s="1390"/>
      <c r="AG519" s="38" t="s">
        <v>402</v>
      </c>
      <c r="AH519" s="1427">
        <v>2029</v>
      </c>
      <c r="AI519" s="1427"/>
      <c r="AJ519" s="1427"/>
      <c r="AK519" s="1428"/>
      <c r="BB519" s="3"/>
      <c r="BC519" s="3"/>
      <c r="BD519" s="3"/>
      <c r="BE519" s="3"/>
      <c r="BF519" s="3"/>
      <c r="BG519" s="3"/>
      <c r="BH519" s="3"/>
      <c r="BI519" s="3"/>
      <c r="BJ519" s="3"/>
      <c r="BK519" s="3"/>
      <c r="BL519" s="3"/>
      <c r="BM519" s="3"/>
      <c r="BN519" s="3" t="s">
        <v>2110</v>
      </c>
    </row>
    <row r="520" spans="2:66" ht="13" customHeight="1">
      <c r="B520" s="1396" t="s">
        <v>418</v>
      </c>
      <c r="C520" s="1397"/>
      <c r="D520" s="1397"/>
      <c r="E520" s="1397"/>
      <c r="F520" s="1397"/>
      <c r="G520" s="1397"/>
      <c r="H520" s="1398"/>
      <c r="I520" s="41" t="s">
        <v>419</v>
      </c>
      <c r="J520" s="42"/>
      <c r="K520" s="42"/>
      <c r="L520" s="42"/>
      <c r="M520" s="42"/>
      <c r="N520" s="42"/>
      <c r="O520" s="1433" t="s">
        <v>2722</v>
      </c>
      <c r="P520" s="1434"/>
      <c r="Q520" s="1434"/>
      <c r="R520" s="1434"/>
      <c r="S520" s="1434"/>
      <c r="T520" s="1434"/>
      <c r="U520" s="1434"/>
      <c r="V520" s="1434"/>
      <c r="W520" s="1434"/>
      <c r="X520" s="1434"/>
      <c r="Y520" s="1434"/>
      <c r="Z520" s="1434"/>
      <c r="AA520" s="1434"/>
      <c r="AB520" s="58"/>
      <c r="AC520" s="1355"/>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2111</v>
      </c>
    </row>
    <row r="521" spans="2:66" ht="13" customHeight="1">
      <c r="B521" s="1399"/>
      <c r="C521" s="1400"/>
      <c r="D521" s="1400"/>
      <c r="E521" s="1400"/>
      <c r="F521" s="1400"/>
      <c r="G521" s="1400"/>
      <c r="H521" s="1401"/>
      <c r="I521" s="114" t="s">
        <v>420</v>
      </c>
      <c r="AB521" s="65"/>
      <c r="AC521" s="1389">
        <v>3</v>
      </c>
      <c r="AD521" s="1390"/>
      <c r="AE521" s="1390"/>
      <c r="AF521" s="1390"/>
      <c r="AG521" s="13" t="s">
        <v>402</v>
      </c>
      <c r="AH521" s="1427">
        <v>2024</v>
      </c>
      <c r="AI521" s="1427"/>
      <c r="AJ521" s="1427"/>
      <c r="AK521" s="1428"/>
      <c r="AZ521" s="3"/>
      <c r="BB521" s="3"/>
      <c r="BC521" s="3"/>
      <c r="BD521" s="3"/>
      <c r="BE521" s="3"/>
      <c r="BF521" s="3"/>
      <c r="BG521" s="3"/>
      <c r="BH521" s="3"/>
      <c r="BI521" s="3"/>
      <c r="BJ521" s="3"/>
      <c r="BK521" s="3"/>
      <c r="BL521" s="3"/>
      <c r="BM521" s="3"/>
      <c r="BN521" s="3" t="s">
        <v>2112</v>
      </c>
    </row>
    <row r="522" spans="2:66" ht="13"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1</v>
      </c>
      <c r="AD522" s="1390"/>
      <c r="AE522" s="1390"/>
      <c r="AF522" s="1390"/>
      <c r="AG522" s="38" t="s">
        <v>402</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3" customHeight="1">
      <c r="B523" s="1399"/>
      <c r="C523" s="1400"/>
      <c r="D523" s="1400"/>
      <c r="E523" s="1400"/>
      <c r="F523" s="1400"/>
      <c r="G523" s="1400"/>
      <c r="H523" s="1401"/>
      <c r="I523" s="42" t="s">
        <v>422</v>
      </c>
      <c r="J523" s="42"/>
      <c r="K523" s="42"/>
      <c r="L523" s="42"/>
      <c r="M523" s="42"/>
      <c r="N523" s="42"/>
      <c r="O523" s="1433" t="s">
        <v>2723</v>
      </c>
      <c r="P523" s="1434"/>
      <c r="Q523" s="1434"/>
      <c r="R523" s="1434"/>
      <c r="S523" s="1434"/>
      <c r="T523" s="1434"/>
      <c r="U523" s="1434"/>
      <c r="V523" s="1434"/>
      <c r="W523" s="1434"/>
      <c r="X523" s="1434"/>
      <c r="Y523" s="1434"/>
      <c r="Z523" s="1434"/>
      <c r="AA523" s="1434"/>
      <c r="AC523" s="1389"/>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 customHeight="1">
      <c r="B524" s="1399"/>
      <c r="C524" s="1400"/>
      <c r="D524" s="1400"/>
      <c r="E524" s="1400"/>
      <c r="F524" s="1400"/>
      <c r="G524" s="1400"/>
      <c r="H524" s="1401"/>
      <c r="I524" t="s">
        <v>420</v>
      </c>
      <c r="AC524" s="1389">
        <v>4</v>
      </c>
      <c r="AD524" s="1390"/>
      <c r="AE524" s="1390"/>
      <c r="AF524" s="1390"/>
      <c r="AG524" s="13" t="s">
        <v>402</v>
      </c>
      <c r="AH524" s="1427">
        <v>2025</v>
      </c>
      <c r="AI524" s="1427"/>
      <c r="AJ524" s="1427"/>
      <c r="AK524" s="1428"/>
      <c r="AZ524" s="3"/>
      <c r="BA524" s="3"/>
      <c r="BB524" s="3"/>
      <c r="BC524" s="3"/>
      <c r="BD524" s="3"/>
      <c r="BE524" s="3"/>
      <c r="BF524" s="3"/>
      <c r="BG524" s="3"/>
      <c r="BH524" s="3"/>
      <c r="BI524" s="3"/>
      <c r="BJ524" s="3"/>
      <c r="BK524" s="3"/>
      <c r="BL524" s="3"/>
      <c r="BM524" s="3"/>
      <c r="BN524" s="3" t="s">
        <v>2115</v>
      </c>
    </row>
    <row r="525" spans="2:66" ht="13"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v>1</v>
      </c>
      <c r="AD525" s="1390"/>
      <c r="AE525" s="1390"/>
      <c r="AF525" s="1390"/>
      <c r="AG525" s="38" t="s">
        <v>402</v>
      </c>
      <c r="AH525" s="1427">
        <v>2026</v>
      </c>
      <c r="AI525" s="1427"/>
      <c r="AJ525" s="1427"/>
      <c r="AK525" s="1428"/>
      <c r="AZ525" s="3"/>
      <c r="BA525" s="3"/>
      <c r="BB525" s="3"/>
      <c r="BC525" s="3"/>
      <c r="BD525" s="3"/>
      <c r="BE525" s="3"/>
      <c r="BF525" s="3"/>
      <c r="BG525" s="3"/>
      <c r="BH525" s="3"/>
      <c r="BI525" s="3"/>
      <c r="BJ525" s="3"/>
      <c r="BK525" s="3"/>
      <c r="BL525" s="3"/>
      <c r="BM525" s="3"/>
      <c r="BN525" s="3" t="s">
        <v>2116</v>
      </c>
    </row>
    <row r="526" spans="2:66" ht="13"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 customHeight="1">
      <c r="B527" s="1399"/>
      <c r="C527" s="1400"/>
      <c r="D527" s="1400"/>
      <c r="E527" s="1400"/>
      <c r="F527" s="1400"/>
      <c r="G527" s="1400"/>
      <c r="H527" s="1401"/>
      <c r="I527" t="s">
        <v>420</v>
      </c>
      <c r="AC527" s="1389" t="s">
        <v>591</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3"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3"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 customHeight="1">
      <c r="B530" s="1399"/>
      <c r="C530" s="1400"/>
      <c r="D530" s="1400"/>
      <c r="E530" s="1400"/>
      <c r="F530" s="1400"/>
      <c r="G530" s="1400"/>
      <c r="H530" s="1401"/>
      <c r="I530" t="s">
        <v>420</v>
      </c>
      <c r="AC530" s="1389" t="s">
        <v>591</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 customHeight="1">
      <c r="B533" s="1399"/>
      <c r="C533" s="1400"/>
      <c r="D533" s="1400"/>
      <c r="E533" s="1400"/>
      <c r="F533" s="1400"/>
      <c r="G533" s="1400"/>
      <c r="H533" s="1401"/>
      <c r="I533" t="s">
        <v>420</v>
      </c>
      <c r="AC533" s="1389" t="s">
        <v>591</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6</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563</v>
      </c>
      <c r="AC539" s="1389">
        <v>1</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564</v>
      </c>
      <c r="AC540" s="1389">
        <v>7</v>
      </c>
      <c r="AD540" s="1390"/>
      <c r="AE540" s="1390"/>
      <c r="AF540" s="1390"/>
      <c r="AG540" s="38" t="s">
        <v>402</v>
      </c>
      <c r="AH540" s="1427">
        <v>2028</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565</v>
      </c>
      <c r="AC541" s="1389">
        <v>7</v>
      </c>
      <c r="AD541" s="1390"/>
      <c r="AE541" s="1390"/>
      <c r="AF541" s="1390"/>
      <c r="AG541" s="38" t="s">
        <v>402</v>
      </c>
      <c r="AH541" s="1427">
        <v>2028</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402</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1675</v>
      </c>
      <c r="AF551" s="1397"/>
      <c r="AG551" s="1397"/>
      <c r="AH551" s="1398"/>
      <c r="AI551" s="1396" t="s">
        <v>1676</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2724</v>
      </c>
      <c r="D554" s="1439"/>
      <c r="E554" s="1439"/>
      <c r="F554" s="1439"/>
      <c r="G554" s="1439"/>
      <c r="H554" s="1439"/>
      <c r="I554" s="1439"/>
      <c r="J554" s="1439"/>
      <c r="K554" s="1439"/>
      <c r="L554" s="1439"/>
      <c r="M554" s="1439" t="s">
        <v>2119</v>
      </c>
      <c r="N554" s="1439"/>
      <c r="O554" s="1439"/>
      <c r="P554" s="1439"/>
      <c r="Q554" s="1425">
        <v>42</v>
      </c>
      <c r="R554" s="1425"/>
      <c r="S554" s="1426"/>
      <c r="T554" s="1424"/>
      <c r="U554" s="1425"/>
      <c r="V554" s="1426"/>
      <c r="W554" s="1421">
        <v>0.06</v>
      </c>
      <c r="X554" s="1422"/>
      <c r="Y554" s="1423"/>
      <c r="Z554" s="1430" t="s">
        <v>2725</v>
      </c>
      <c r="AA554" s="1430"/>
      <c r="AB554" s="1430"/>
      <c r="AC554" s="1430"/>
      <c r="AD554" s="1430"/>
      <c r="AE554" s="1412">
        <v>1</v>
      </c>
      <c r="AF554" s="1413"/>
      <c r="AG554" s="1413"/>
      <c r="AH554" s="1414"/>
      <c r="AI554" s="1436"/>
      <c r="AJ554" s="1437"/>
      <c r="AK554" s="1437"/>
      <c r="AL554" s="1438"/>
      <c r="AM554" s="1465">
        <v>80000000</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2726</v>
      </c>
      <c r="D555" s="1440"/>
      <c r="E555" s="1440"/>
      <c r="F555" s="1440"/>
      <c r="G555" s="1440"/>
      <c r="H555" s="1440"/>
      <c r="I555" s="1440"/>
      <c r="J555" s="1440"/>
      <c r="K555" s="1440"/>
      <c r="L555" s="1440"/>
      <c r="M555" s="1439" t="s">
        <v>2120</v>
      </c>
      <c r="N555" s="1439"/>
      <c r="O555" s="1439"/>
      <c r="P555" s="1439"/>
      <c r="Q555" s="1424">
        <v>42</v>
      </c>
      <c r="R555" s="1425"/>
      <c r="S555" s="1426"/>
      <c r="T555" s="1424"/>
      <c r="U555" s="1425"/>
      <c r="V555" s="1426"/>
      <c r="W555" s="1421">
        <v>0.08</v>
      </c>
      <c r="X555" s="1422"/>
      <c r="Y555" s="1423"/>
      <c r="Z555" s="1430" t="s">
        <v>2725</v>
      </c>
      <c r="AA555" s="1430"/>
      <c r="AB555" s="1430"/>
      <c r="AC555" s="1430"/>
      <c r="AD555" s="1430"/>
      <c r="AE555" s="1412">
        <v>2</v>
      </c>
      <c r="AF555" s="1413"/>
      <c r="AG555" s="1413"/>
      <c r="AH555" s="1414"/>
      <c r="AI555" s="1436"/>
      <c r="AJ555" s="1437"/>
      <c r="AK555" s="1437"/>
      <c r="AL555" s="1438"/>
      <c r="AM555" s="1465">
        <v>21500000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2618</v>
      </c>
      <c r="D556" s="1440"/>
      <c r="E556" s="1440"/>
      <c r="F556" s="1440"/>
      <c r="G556" s="1440"/>
      <c r="H556" s="1440"/>
      <c r="I556" s="1440"/>
      <c r="J556" s="1440"/>
      <c r="K556" s="1440"/>
      <c r="L556" s="1440"/>
      <c r="M556" s="1439" t="s">
        <v>2115</v>
      </c>
      <c r="N556" s="1439"/>
      <c r="O556" s="1439"/>
      <c r="P556" s="1439"/>
      <c r="Q556" s="1424">
        <v>42</v>
      </c>
      <c r="R556" s="1425"/>
      <c r="S556" s="1426"/>
      <c r="T556" s="1424"/>
      <c r="U556" s="1425"/>
      <c r="V556" s="1426"/>
      <c r="W556" s="1421">
        <v>0.03</v>
      </c>
      <c r="X556" s="1422"/>
      <c r="Y556" s="1423"/>
      <c r="Z556" s="1430" t="s">
        <v>2725</v>
      </c>
      <c r="AA556" s="1430"/>
      <c r="AB556" s="1430"/>
      <c r="AC556" s="1430"/>
      <c r="AD556" s="1430"/>
      <c r="AE556" s="1412">
        <v>3</v>
      </c>
      <c r="AF556" s="1413"/>
      <c r="AG556" s="1413"/>
      <c r="AH556" s="1414"/>
      <c r="AI556" s="1436"/>
      <c r="AJ556" s="1437"/>
      <c r="AK556" s="1437"/>
      <c r="AL556" s="1438"/>
      <c r="AM556" s="1465">
        <v>12000000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581</v>
      </c>
      <c r="C557" s="1440" t="s">
        <v>2651</v>
      </c>
      <c r="D557" s="1440"/>
      <c r="E557" s="1440"/>
      <c r="F557" s="1440"/>
      <c r="G557" s="1440"/>
      <c r="H557" s="1440"/>
      <c r="I557" s="1440"/>
      <c r="J557" s="1440"/>
      <c r="K557" s="1440"/>
      <c r="L557" s="1440"/>
      <c r="M557" s="1439" t="s">
        <v>2106</v>
      </c>
      <c r="N557" s="1439"/>
      <c r="O557" s="1439"/>
      <c r="P557" s="1439"/>
      <c r="Q557" s="1424">
        <v>42</v>
      </c>
      <c r="R557" s="1425"/>
      <c r="S557" s="1426"/>
      <c r="T557" s="1424"/>
      <c r="U557" s="1425"/>
      <c r="V557" s="1426"/>
      <c r="W557" s="1421">
        <v>9.9999999999999995E-8</v>
      </c>
      <c r="X557" s="1422"/>
      <c r="Y557" s="1423"/>
      <c r="Z557" s="1430" t="s">
        <v>2725</v>
      </c>
      <c r="AA557" s="1430"/>
      <c r="AB557" s="1430"/>
      <c r="AC557" s="1430"/>
      <c r="AD557" s="1430"/>
      <c r="AE557" s="1412"/>
      <c r="AF557" s="1413"/>
      <c r="AG557" s="1413"/>
      <c r="AH557" s="1414"/>
      <c r="AI557" s="1436"/>
      <c r="AJ557" s="1437"/>
      <c r="AK557" s="1437"/>
      <c r="AL557" s="1438"/>
      <c r="AM557" s="1465">
        <v>19800000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762</v>
      </c>
      <c r="C558" s="1440" t="s">
        <v>2727</v>
      </c>
      <c r="D558" s="1440"/>
      <c r="E558" s="1440"/>
      <c r="F558" s="1440"/>
      <c r="G558" s="1440"/>
      <c r="H558" s="1440"/>
      <c r="I558" s="1440"/>
      <c r="J558" s="1440"/>
      <c r="K558" s="1440"/>
      <c r="L558" s="1440"/>
      <c r="M558" s="1439" t="s">
        <v>2105</v>
      </c>
      <c r="N558" s="1439"/>
      <c r="O558" s="1439"/>
      <c r="P558" s="1439"/>
      <c r="Q558" s="1424"/>
      <c r="R558" s="1425"/>
      <c r="S558" s="1426"/>
      <c r="T558" s="1424"/>
      <c r="U558" s="1425"/>
      <c r="V558" s="1426"/>
      <c r="W558" s="1421"/>
      <c r="X558" s="1422"/>
      <c r="Y558" s="1423"/>
      <c r="Z558" s="1430" t="s">
        <v>591</v>
      </c>
      <c r="AA558" s="1430"/>
      <c r="AB558" s="1430"/>
      <c r="AC558" s="1430"/>
      <c r="AD558" s="1430"/>
      <c r="AE558" s="1412"/>
      <c r="AF558" s="1413"/>
      <c r="AG558" s="1413"/>
      <c r="AH558" s="1414"/>
      <c r="AI558" s="1436"/>
      <c r="AJ558" s="1437"/>
      <c r="AK558" s="1437"/>
      <c r="AL558" s="1438"/>
      <c r="AM558" s="1465">
        <v>2160093</v>
      </c>
      <c r="AN558" s="1466"/>
      <c r="AO558" s="1466"/>
      <c r="AP558" s="1466"/>
      <c r="AQ558" s="1466"/>
      <c r="AR558" s="1466"/>
      <c r="AS558" s="1467"/>
      <c r="AT558" s="1148" t="str">
        <f t="shared" ref="AT558:AT565" si="0">IF(AND(NOT(C557=""),C558="",NOT(C559="")),"!","")</f>
        <v/>
      </c>
      <c r="AU558" s="1147"/>
      <c r="BB558" s="3"/>
      <c r="BC558" s="3"/>
      <c r="BD558" s="3"/>
      <c r="BE558" s="3"/>
      <c r="BF558" s="3"/>
      <c r="BG558" s="3"/>
      <c r="BH558" s="3" t="s">
        <v>762</v>
      </c>
      <c r="BI558" s="3" t="str">
        <f>N665</f>
        <v>Yes</v>
      </c>
    </row>
    <row r="559" spans="1:61" ht="13" customHeight="1">
      <c r="B559" s="52" t="s">
        <v>584</v>
      </c>
      <c r="C559" s="1440" t="s">
        <v>2713</v>
      </c>
      <c r="D559" s="1440"/>
      <c r="E559" s="1440"/>
      <c r="F559" s="1440"/>
      <c r="G559" s="1440"/>
      <c r="H559" s="1440"/>
      <c r="I559" s="1440"/>
      <c r="J559" s="1440"/>
      <c r="K559" s="1440"/>
      <c r="L559" s="1440"/>
      <c r="M559" s="1439" t="s">
        <v>2111</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5">
        <v>14679000</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3" customHeight="1">
      <c r="B560" s="52" t="s">
        <v>455</v>
      </c>
      <c r="C560" s="1440" t="s">
        <v>2683</v>
      </c>
      <c r="D560" s="1440"/>
      <c r="E560" s="1440"/>
      <c r="F560" s="1440"/>
      <c r="G560" s="1440"/>
      <c r="H560" s="1440"/>
      <c r="I560" s="1440"/>
      <c r="J560" s="1440"/>
      <c r="K560" s="1440"/>
      <c r="L560" s="1440"/>
      <c r="M560" s="1439" t="s">
        <v>2110</v>
      </c>
      <c r="N560" s="1439"/>
      <c r="O560" s="1439"/>
      <c r="P560" s="1439"/>
      <c r="Q560" s="1424"/>
      <c r="R560" s="1425"/>
      <c r="S560" s="1426"/>
      <c r="T560" s="1424"/>
      <c r="U560" s="1425"/>
      <c r="V560" s="1426"/>
      <c r="W560" s="1421"/>
      <c r="X560" s="1422"/>
      <c r="Y560" s="1423"/>
      <c r="Z560" s="1430" t="s">
        <v>591</v>
      </c>
      <c r="AA560" s="1430"/>
      <c r="AB560" s="1430"/>
      <c r="AC560" s="1430"/>
      <c r="AD560" s="1430"/>
      <c r="AE560" s="1412"/>
      <c r="AF560" s="1413"/>
      <c r="AG560" s="1413"/>
      <c r="AH560" s="1414"/>
      <c r="AI560" s="1436"/>
      <c r="AJ560" s="1437"/>
      <c r="AK560" s="1437"/>
      <c r="AL560" s="1438"/>
      <c r="AM560" s="1465">
        <v>9725842</v>
      </c>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456</v>
      </c>
      <c r="C561" s="1440"/>
      <c r="D561" s="1440"/>
      <c r="E561" s="1440"/>
      <c r="F561" s="1440"/>
      <c r="G561" s="1440"/>
      <c r="H561" s="1440"/>
      <c r="I561" s="1440"/>
      <c r="J561" s="1440"/>
      <c r="K561" s="1440"/>
      <c r="L561" s="1440"/>
      <c r="M561" s="1439"/>
      <c r="N561" s="1439"/>
      <c r="O561" s="1439"/>
      <c r="P561" s="1439"/>
      <c r="Q561" s="1424"/>
      <c r="R561" s="1425"/>
      <c r="S561" s="1426"/>
      <c r="T561" s="1424"/>
      <c r="U561" s="1425"/>
      <c r="V561" s="1426"/>
      <c r="W561" s="1421"/>
      <c r="X561" s="1422"/>
      <c r="Y561" s="1423"/>
      <c r="Z561" s="1430"/>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461</v>
      </c>
      <c r="C562" s="1440"/>
      <c r="D562" s="1440"/>
      <c r="E562" s="1440"/>
      <c r="F562" s="1440"/>
      <c r="G562" s="1440"/>
      <c r="H562" s="1440"/>
      <c r="I562" s="1440"/>
      <c r="J562" s="1440"/>
      <c r="K562" s="1440"/>
      <c r="L562" s="1440"/>
      <c r="M562" s="1439"/>
      <c r="N562" s="1439"/>
      <c r="O562" s="1439"/>
      <c r="P562" s="1439"/>
      <c r="Q562" s="1424"/>
      <c r="R562" s="1425"/>
      <c r="S562" s="1426"/>
      <c r="T562" s="1424"/>
      <c r="U562" s="1425"/>
      <c r="V562" s="1426"/>
      <c r="W562" s="1421"/>
      <c r="X562" s="1422"/>
      <c r="Y562" s="1423"/>
      <c r="Z562" s="1430"/>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645</v>
      </c>
      <c r="C563" s="1440"/>
      <c r="D563" s="1440"/>
      <c r="E563" s="1440"/>
      <c r="F563" s="1440"/>
      <c r="G563" s="1440"/>
      <c r="H563" s="1440"/>
      <c r="I563" s="1440"/>
      <c r="J563" s="1440"/>
      <c r="K563" s="1440"/>
      <c r="L563" s="1440"/>
      <c r="M563" s="1439"/>
      <c r="N563" s="1439"/>
      <c r="O563" s="1439"/>
      <c r="P563" s="1439"/>
      <c r="Q563" s="1424"/>
      <c r="R563" s="1425"/>
      <c r="S563" s="1426"/>
      <c r="T563" s="1424"/>
      <c r="U563" s="1425"/>
      <c r="V563" s="1426"/>
      <c r="W563" s="1421"/>
      <c r="X563" s="1422"/>
      <c r="Y563" s="1423"/>
      <c r="Z563" s="1430"/>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361</v>
      </c>
      <c r="C564" s="1440"/>
      <c r="D564" s="1440"/>
      <c r="E564" s="1440"/>
      <c r="F564" s="1440"/>
      <c r="G564" s="1440"/>
      <c r="H564" s="1440"/>
      <c r="I564" s="1440"/>
      <c r="J564" s="1440"/>
      <c r="K564" s="1440"/>
      <c r="L564" s="1440"/>
      <c r="M564" s="1439"/>
      <c r="N564" s="1439"/>
      <c r="O564" s="1439"/>
      <c r="P564" s="1439"/>
      <c r="Q564" s="1424"/>
      <c r="R564" s="1425"/>
      <c r="S564" s="1426"/>
      <c r="T564" s="1424"/>
      <c r="U564" s="1425"/>
      <c r="V564" s="1426"/>
      <c r="W564" s="1421"/>
      <c r="X564" s="1422"/>
      <c r="Y564" s="1423"/>
      <c r="Z564" s="1430"/>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362</v>
      </c>
      <c r="C565" s="1440"/>
      <c r="D565" s="1440"/>
      <c r="E565" s="1440"/>
      <c r="F565" s="1440"/>
      <c r="G565" s="1440"/>
      <c r="H565" s="1440"/>
      <c r="I565" s="1440"/>
      <c r="J565" s="1440"/>
      <c r="K565" s="1440"/>
      <c r="L565" s="1440"/>
      <c r="M565" s="1439"/>
      <c r="N565" s="1439"/>
      <c r="O565" s="1439"/>
      <c r="P565" s="1439"/>
      <c r="Q565" s="1424"/>
      <c r="R565" s="1425"/>
      <c r="S565" s="1426"/>
      <c r="T565" s="1424"/>
      <c r="U565" s="1425"/>
      <c r="V565" s="1426"/>
      <c r="W565" s="1421"/>
      <c r="X565" s="1422"/>
      <c r="Y565" s="1423"/>
      <c r="Z565" s="1430"/>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159864935</v>
      </c>
      <c r="AN566" s="1473"/>
      <c r="AO566" s="1473"/>
      <c r="AP566" s="1473"/>
      <c r="AQ566" s="1473"/>
      <c r="AR566" s="1473"/>
      <c r="AS566" s="1474"/>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3" t="str">
        <f>C554</f>
        <v>Citibank, N.A</v>
      </c>
      <c r="H568" s="1483"/>
      <c r="I568" s="1483"/>
      <c r="J568" s="1483"/>
      <c r="K568" s="1483"/>
      <c r="L568" s="1483"/>
      <c r="M568" s="1483"/>
      <c r="N568" s="1483"/>
      <c r="O568" s="1483"/>
      <c r="P568" s="1483"/>
      <c r="Q568" s="1483"/>
      <c r="R568" s="1483"/>
      <c r="S568" s="8"/>
      <c r="T568" s="55" t="s">
        <v>113</v>
      </c>
      <c r="U568" t="s">
        <v>463</v>
      </c>
      <c r="Z568" s="1483" t="str">
        <f>C555</f>
        <v>Bonneville</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2728</v>
      </c>
      <c r="H569" s="1407"/>
      <c r="I569" s="1407"/>
      <c r="J569" s="1407"/>
      <c r="K569" s="1407"/>
      <c r="L569" s="1407"/>
      <c r="M569" s="1407"/>
      <c r="N569" s="1407"/>
      <c r="O569" s="1407"/>
      <c r="P569" s="1407"/>
      <c r="Q569" s="1407"/>
      <c r="R569" s="1407"/>
      <c r="S569" s="8"/>
      <c r="T569" s="22"/>
      <c r="U569" t="s">
        <v>85</v>
      </c>
      <c r="Z569" s="1407" t="s">
        <v>2733</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580</v>
      </c>
      <c r="G570" s="1407" t="s">
        <v>2729</v>
      </c>
      <c r="H570" s="1407"/>
      <c r="I570" s="1407"/>
      <c r="J570" s="1407"/>
      <c r="K570" s="1407"/>
      <c r="L570" s="1407"/>
      <c r="M570" s="1407"/>
      <c r="N570" s="1407"/>
      <c r="O570" s="1407"/>
      <c r="P570" s="1407"/>
      <c r="Q570" s="1407"/>
      <c r="R570" s="1407"/>
      <c r="T570" s="22"/>
      <c r="U570" t="s">
        <v>580</v>
      </c>
      <c r="Z570" s="1371" t="s">
        <v>2734</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2730</v>
      </c>
      <c r="H571" s="1407"/>
      <c r="I571" s="1407"/>
      <c r="J571" s="1407"/>
      <c r="K571" s="1407"/>
      <c r="L571" s="1407"/>
      <c r="M571" s="1407"/>
      <c r="N571" s="1407"/>
      <c r="O571" s="1407"/>
      <c r="P571" s="1407"/>
      <c r="Q571" s="1407"/>
      <c r="R571" s="1407"/>
      <c r="S571" s="8"/>
      <c r="T571" s="22"/>
      <c r="U571" t="s">
        <v>17</v>
      </c>
      <c r="Z571" s="1371" t="s">
        <v>2735</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315</v>
      </c>
      <c r="G572" s="1524" t="s">
        <v>2731</v>
      </c>
      <c r="H572" s="1487"/>
      <c r="I572" s="1487"/>
      <c r="J572" s="1487"/>
      <c r="K572" s="1487"/>
      <c r="L572" s="1487"/>
      <c r="O572" s="33" t="s">
        <v>205</v>
      </c>
      <c r="P572" s="1471"/>
      <c r="Q572" s="1471"/>
      <c r="R572" s="1471"/>
      <c r="S572" s="10"/>
      <c r="T572" s="22"/>
      <c r="U572" t="s">
        <v>315</v>
      </c>
      <c r="Z572" s="1524" t="s">
        <v>2736</v>
      </c>
      <c r="AA572" s="1487"/>
      <c r="AB572" s="1487"/>
      <c r="AC572" s="1487"/>
      <c r="AD572" s="1487"/>
      <c r="AE572" s="1487"/>
      <c r="AH572" s="33" t="s">
        <v>205</v>
      </c>
      <c r="AI572" s="1471"/>
      <c r="AJ572" s="1471"/>
      <c r="AK572" s="1471"/>
      <c r="BB572" s="3"/>
      <c r="BC572" s="3"/>
      <c r="BD572" s="3"/>
      <c r="BE572" s="3"/>
      <c r="BF572" s="3"/>
      <c r="BG572" s="3"/>
      <c r="BH572" s="3"/>
      <c r="BI572" s="3"/>
    </row>
    <row r="573" spans="1:61" ht="13" customHeight="1">
      <c r="A573" s="22"/>
      <c r="B573" t="s">
        <v>18</v>
      </c>
      <c r="H573" s="1407" t="s">
        <v>2732</v>
      </c>
      <c r="I573" s="1407"/>
      <c r="J573" s="1407"/>
      <c r="K573" s="1407"/>
      <c r="L573" s="1407"/>
      <c r="M573" s="1407"/>
      <c r="N573" s="1407"/>
      <c r="O573" s="1407"/>
      <c r="P573" s="1407"/>
      <c r="Q573" s="1407"/>
      <c r="R573" s="1407"/>
      <c r="S573" s="8"/>
      <c r="T573" s="22"/>
      <c r="U573" t="s">
        <v>18</v>
      </c>
      <c r="AA573" s="1407" t="s">
        <v>2764</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1184</v>
      </c>
      <c r="H574" s="8"/>
      <c r="I574" s="8"/>
      <c r="J574" s="8"/>
      <c r="K574" s="8"/>
      <c r="L574" s="8"/>
      <c r="M574" s="1600" t="s">
        <v>591</v>
      </c>
      <c r="N574" s="1600"/>
      <c r="O574" s="1600"/>
      <c r="P574" s="1600"/>
      <c r="Q574" s="1600"/>
      <c r="R574" s="1600"/>
      <c r="S574" s="8"/>
      <c r="T574" s="22"/>
      <c r="U574" s="320" t="s">
        <v>1184</v>
      </c>
      <c r="AA574" s="8"/>
      <c r="AB574" s="8"/>
      <c r="AC574" s="8"/>
      <c r="AD574" s="8"/>
      <c r="AE574" s="8"/>
      <c r="AF574" s="1600" t="s">
        <v>591</v>
      </c>
      <c r="AG574" s="1600"/>
      <c r="AH574" s="1600"/>
      <c r="AI574" s="1600"/>
      <c r="AJ574" s="1600"/>
      <c r="AK574" s="1600"/>
      <c r="BB574" s="3"/>
      <c r="BC574" s="3"/>
      <c r="BD574" s="3"/>
      <c r="BE574" s="3"/>
      <c r="BF574" s="3"/>
      <c r="BG574" s="3"/>
      <c r="BH574" s="3"/>
      <c r="BI574" s="3"/>
    </row>
    <row r="575" spans="1:61" ht="13" customHeight="1">
      <c r="A575" s="22"/>
      <c r="B575" t="s">
        <v>20</v>
      </c>
      <c r="N575" s="1415" t="s">
        <v>545</v>
      </c>
      <c r="O575" s="1415"/>
      <c r="T575" s="22"/>
      <c r="U575" t="s">
        <v>20</v>
      </c>
      <c r="AG575" s="1415" t="s">
        <v>545</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3" t="str">
        <f>C556</f>
        <v>City of Fremont</v>
      </c>
      <c r="H577" s="1483"/>
      <c r="I577" s="1483"/>
      <c r="J577" s="1483"/>
      <c r="K577" s="1483"/>
      <c r="L577" s="1483"/>
      <c r="M577" s="1483"/>
      <c r="N577" s="1483"/>
      <c r="O577" s="1483"/>
      <c r="P577" s="1483"/>
      <c r="Q577" s="1483"/>
      <c r="R577" s="1483"/>
      <c r="T577" s="55" t="s">
        <v>581</v>
      </c>
      <c r="U577" t="s">
        <v>463</v>
      </c>
      <c r="Z577" s="1483" t="str">
        <f>C557</f>
        <v>Pacific West Communities, Inc.</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2737</v>
      </c>
      <c r="H578" s="1407"/>
      <c r="I578" s="1407"/>
      <c r="J578" s="1407"/>
      <c r="K578" s="1407"/>
      <c r="L578" s="1407"/>
      <c r="M578" s="1407"/>
      <c r="N578" s="1407"/>
      <c r="O578" s="1407"/>
      <c r="P578" s="1407"/>
      <c r="Q578" s="1407"/>
      <c r="R578" s="1407"/>
      <c r="T578" s="22"/>
      <c r="U578" t="s">
        <v>85</v>
      </c>
      <c r="Z578" s="1407" t="s">
        <v>2628</v>
      </c>
      <c r="AA578" s="1407"/>
      <c r="AB578" s="1407"/>
      <c r="AC578" s="1407"/>
      <c r="AD578" s="1407"/>
      <c r="AE578" s="1407"/>
      <c r="AF578" s="1407"/>
      <c r="AG578" s="1407"/>
      <c r="AH578" s="1407"/>
      <c r="AI578" s="1407"/>
      <c r="AJ578" s="1407"/>
      <c r="AK578" s="1407"/>
      <c r="BB578" s="3"/>
      <c r="BC578" s="3"/>
    </row>
    <row r="579" spans="1:55" ht="13" customHeight="1">
      <c r="A579" s="22"/>
      <c r="B579" t="s">
        <v>580</v>
      </c>
      <c r="G579" s="1371" t="s">
        <v>2738</v>
      </c>
      <c r="H579" s="1371"/>
      <c r="I579" s="1371"/>
      <c r="J579" s="1371"/>
      <c r="K579" s="1371"/>
      <c r="L579" s="1371"/>
      <c r="M579" s="1371"/>
      <c r="N579" s="1371"/>
      <c r="O579" s="1371"/>
      <c r="P579" s="1371"/>
      <c r="Q579" s="1371"/>
      <c r="R579" s="1371"/>
      <c r="T579" s="22"/>
      <c r="U579" t="s">
        <v>580</v>
      </c>
      <c r="Z579" s="1371" t="s">
        <v>2658</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2739</v>
      </c>
      <c r="H580" s="1371"/>
      <c r="I580" s="1371"/>
      <c r="J580" s="1371"/>
      <c r="K580" s="1371"/>
      <c r="L580" s="1371"/>
      <c r="M580" s="1371"/>
      <c r="N580" s="1371"/>
      <c r="O580" s="1371"/>
      <c r="P580" s="1371"/>
      <c r="Q580" s="1371"/>
      <c r="R580" s="1371"/>
      <c r="T580" s="22"/>
      <c r="U580" t="s">
        <v>17</v>
      </c>
      <c r="Z580" s="1371" t="s">
        <v>2615</v>
      </c>
      <c r="AA580" s="1371"/>
      <c r="AB580" s="1371"/>
      <c r="AC580" s="1371"/>
      <c r="AD580" s="1371"/>
      <c r="AE580" s="1371"/>
      <c r="AF580" s="1371"/>
      <c r="AG580" s="1371"/>
      <c r="AH580" s="1371"/>
      <c r="AI580" s="1371"/>
      <c r="AJ580" s="1371"/>
      <c r="AK580" s="1371"/>
      <c r="BB580" s="3"/>
      <c r="BC580" s="3"/>
    </row>
    <row r="581" spans="1:55" ht="13" customHeight="1">
      <c r="A581" s="22"/>
      <c r="B581" t="s">
        <v>315</v>
      </c>
      <c r="G581" s="1524" t="s">
        <v>2740</v>
      </c>
      <c r="H581" s="1487"/>
      <c r="I581" s="1487"/>
      <c r="J581" s="1487"/>
      <c r="K581" s="1487"/>
      <c r="L581" s="1487"/>
      <c r="O581" s="33" t="s">
        <v>205</v>
      </c>
      <c r="P581" s="1471"/>
      <c r="Q581" s="1471"/>
      <c r="R581" s="1471"/>
      <c r="T581" s="22"/>
      <c r="U581" t="s">
        <v>315</v>
      </c>
      <c r="Z581" s="1524" t="s">
        <v>2630</v>
      </c>
      <c r="AA581" s="1487"/>
      <c r="AB581" s="1487"/>
      <c r="AC581" s="1487"/>
      <c r="AD581" s="1487"/>
      <c r="AE581" s="1487"/>
      <c r="AH581" s="33" t="s">
        <v>205</v>
      </c>
      <c r="AI581" s="1471">
        <v>3015</v>
      </c>
      <c r="AJ581" s="1471"/>
      <c r="AK581" s="1471"/>
      <c r="BB581" s="3"/>
      <c r="BC581" s="3"/>
    </row>
    <row r="582" spans="1:55" ht="13" customHeight="1">
      <c r="A582" s="22"/>
      <c r="B582" t="s">
        <v>18</v>
      </c>
      <c r="H582" s="1407" t="s">
        <v>2741</v>
      </c>
      <c r="I582" s="1407"/>
      <c r="J582" s="1407"/>
      <c r="K582" s="1407"/>
      <c r="L582" s="1407"/>
      <c r="M582" s="1407"/>
      <c r="N582" s="1407"/>
      <c r="O582" s="1407"/>
      <c r="P582" s="1407"/>
      <c r="Q582" s="1407"/>
      <c r="R582" s="1407"/>
      <c r="T582" s="22"/>
      <c r="U582" t="s">
        <v>18</v>
      </c>
      <c r="AA582" s="1407" t="s">
        <v>2321</v>
      </c>
      <c r="AB582" s="1407"/>
      <c r="AC582" s="1407"/>
      <c r="AD582" s="1407"/>
      <c r="AE582" s="1407"/>
      <c r="AF582" s="1407"/>
      <c r="AG582" s="1407"/>
      <c r="AH582" s="1407"/>
      <c r="AI582" s="1407"/>
      <c r="AJ582" s="1407"/>
      <c r="AK582" s="1407"/>
      <c r="BB582" s="3"/>
      <c r="BC582" s="3"/>
    </row>
    <row r="583" spans="1:55" ht="13" customHeight="1">
      <c r="A583" s="22"/>
      <c r="B583" t="s">
        <v>20</v>
      </c>
      <c r="N583" s="1415" t="s">
        <v>545</v>
      </c>
      <c r="O583" s="1415"/>
      <c r="T583" s="22"/>
      <c r="U583" t="s">
        <v>20</v>
      </c>
      <c r="AG583" s="1415" t="s">
        <v>545</v>
      </c>
      <c r="AH583" s="1415"/>
      <c r="BB583" s="3"/>
      <c r="BC583" s="3"/>
    </row>
    <row r="584" spans="1:55" ht="13" customHeight="1">
      <c r="A584" s="22"/>
      <c r="T584" s="22"/>
      <c r="BB584" s="3"/>
      <c r="BC584" s="3"/>
    </row>
    <row r="585" spans="1:55" ht="13" customHeight="1">
      <c r="A585" s="55" t="s">
        <v>762</v>
      </c>
      <c r="B585" t="s">
        <v>463</v>
      </c>
      <c r="G585" s="1483" t="str">
        <f>C558</f>
        <v>Fremont Warm Springs Pacific Assoc.</v>
      </c>
      <c r="H585" s="1483"/>
      <c r="I585" s="1483"/>
      <c r="J585" s="1483"/>
      <c r="K585" s="1483"/>
      <c r="L585" s="1483"/>
      <c r="M585" s="1483"/>
      <c r="N585" s="1483"/>
      <c r="O585" s="1483"/>
      <c r="P585" s="1483"/>
      <c r="Q585" s="1483"/>
      <c r="R585" s="1483"/>
      <c r="T585" s="55" t="s">
        <v>584</v>
      </c>
      <c r="U585" t="s">
        <v>463</v>
      </c>
      <c r="Z585" s="1483" t="str">
        <f>C559</f>
        <v>Safehold Inc.</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2628</v>
      </c>
      <c r="H586" s="1407"/>
      <c r="I586" s="1407"/>
      <c r="J586" s="1407"/>
      <c r="K586" s="1407"/>
      <c r="L586" s="1407"/>
      <c r="M586" s="1407"/>
      <c r="N586" s="1407"/>
      <c r="O586" s="1407"/>
      <c r="P586" s="1407"/>
      <c r="Q586" s="1407"/>
      <c r="R586" s="1407"/>
      <c r="T586" s="22"/>
      <c r="U586" t="s">
        <v>85</v>
      </c>
      <c r="Z586" s="1407" t="s">
        <v>2773</v>
      </c>
      <c r="AA586" s="1407"/>
      <c r="AB586" s="1407"/>
      <c r="AC586" s="1407"/>
      <c r="AD586" s="1407"/>
      <c r="AE586" s="1407"/>
      <c r="AF586" s="1407"/>
      <c r="AG586" s="1407"/>
      <c r="AH586" s="1407"/>
      <c r="AI586" s="1407"/>
      <c r="AJ586" s="1407"/>
      <c r="AK586" s="1407"/>
      <c r="BB586" s="3"/>
      <c r="BC586" s="3"/>
    </row>
    <row r="587" spans="1:55" ht="13" customHeight="1">
      <c r="A587" s="22"/>
      <c r="B587" t="s">
        <v>580</v>
      </c>
      <c r="G587" s="1407" t="s">
        <v>2658</v>
      </c>
      <c r="H587" s="1407"/>
      <c r="I587" s="1407"/>
      <c r="J587" s="1407"/>
      <c r="K587" s="1407"/>
      <c r="L587" s="1407"/>
      <c r="M587" s="1407"/>
      <c r="N587" s="1407"/>
      <c r="O587" s="1407"/>
      <c r="P587" s="1407"/>
      <c r="Q587" s="1407"/>
      <c r="R587" s="1407"/>
      <c r="T587" s="22"/>
      <c r="U587" t="s">
        <v>580</v>
      </c>
      <c r="Z587" s="1371" t="s">
        <v>2774</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2615</v>
      </c>
      <c r="H588" s="1407"/>
      <c r="I588" s="1407"/>
      <c r="J588" s="1407"/>
      <c r="K588" s="1407"/>
      <c r="L588" s="1407"/>
      <c r="M588" s="1407"/>
      <c r="N588" s="1407"/>
      <c r="O588" s="1407"/>
      <c r="P588" s="1407"/>
      <c r="Q588" s="1407"/>
      <c r="R588" s="1407"/>
      <c r="T588" s="22"/>
      <c r="U588" t="s">
        <v>17</v>
      </c>
      <c r="Z588" s="1371" t="s">
        <v>2743</v>
      </c>
      <c r="AA588" s="1371"/>
      <c r="AB588" s="1371"/>
      <c r="AC588" s="1371"/>
      <c r="AD588" s="1371"/>
      <c r="AE588" s="1371"/>
      <c r="AF588" s="1371"/>
      <c r="AG588" s="1371"/>
      <c r="AH588" s="1371"/>
      <c r="AI588" s="1371"/>
      <c r="AJ588" s="1371"/>
      <c r="AK588" s="1371"/>
    </row>
    <row r="589" spans="1:55" ht="13" customHeight="1">
      <c r="A589" s="22"/>
      <c r="B589" t="s">
        <v>315</v>
      </c>
      <c r="G589" s="1524" t="s">
        <v>2630</v>
      </c>
      <c r="H589" s="1487"/>
      <c r="I589" s="1487"/>
      <c r="J589" s="1487"/>
      <c r="K589" s="1487"/>
      <c r="L589" s="1487"/>
      <c r="O589" s="33" t="s">
        <v>205</v>
      </c>
      <c r="P589" s="1471">
        <v>3015</v>
      </c>
      <c r="Q589" s="1471"/>
      <c r="R589" s="1471"/>
      <c r="T589" s="22"/>
      <c r="U589" t="s">
        <v>315</v>
      </c>
      <c r="Z589" s="1524" t="s">
        <v>2744</v>
      </c>
      <c r="AA589" s="1487"/>
      <c r="AB589" s="1487"/>
      <c r="AC589" s="1487"/>
      <c r="AD589" s="1487"/>
      <c r="AE589" s="1487"/>
      <c r="AH589" s="33" t="s">
        <v>205</v>
      </c>
      <c r="AI589" s="1471"/>
      <c r="AJ589" s="1471"/>
      <c r="AK589" s="1471"/>
      <c r="AZ589" s="3"/>
      <c r="BA589" s="3"/>
      <c r="BB589" s="3"/>
      <c r="BC589" s="3"/>
    </row>
    <row r="590" spans="1:55" ht="13" customHeight="1">
      <c r="A590" s="22"/>
      <c r="B590" t="s">
        <v>18</v>
      </c>
      <c r="H590" s="1407" t="s">
        <v>2742</v>
      </c>
      <c r="I590" s="1407"/>
      <c r="J590" s="1407"/>
      <c r="K590" s="1407"/>
      <c r="L590" s="1407"/>
      <c r="M590" s="1407"/>
      <c r="N590" s="1407"/>
      <c r="O590" s="1407"/>
      <c r="P590" s="1407"/>
      <c r="Q590" s="1407"/>
      <c r="R590" s="1407"/>
      <c r="T590" s="22"/>
      <c r="U590" t="s">
        <v>18</v>
      </c>
      <c r="AA590" s="1407" t="s">
        <v>2749</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545</v>
      </c>
      <c r="O591" s="1415"/>
      <c r="T591" s="22"/>
      <c r="U591" t="s">
        <v>20</v>
      </c>
      <c r="AG591" s="1415" t="s">
        <v>545</v>
      </c>
      <c r="AH591" s="1415"/>
      <c r="AZ591" s="3"/>
      <c r="BA591" s="3"/>
      <c r="BB591" s="3"/>
      <c r="BC591" s="3"/>
    </row>
    <row r="592" spans="1:55" ht="13" customHeight="1">
      <c r="A592" s="22"/>
      <c r="T592" s="22"/>
      <c r="AZ592" s="3"/>
      <c r="BA592" s="3"/>
      <c r="BB592" s="3"/>
      <c r="BC592" s="3"/>
    </row>
    <row r="593" spans="1:55" ht="13" customHeight="1">
      <c r="A593" s="55" t="s">
        <v>455</v>
      </c>
      <c r="B593" t="s">
        <v>463</v>
      </c>
      <c r="G593" s="1483" t="str">
        <f>C560</f>
        <v>Boston Financial</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t="s">
        <v>2684</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7" t="s">
        <v>2686</v>
      </c>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2687</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524" t="s">
        <v>2688</v>
      </c>
      <c r="H597" s="1487"/>
      <c r="I597" s="1487"/>
      <c r="J597" s="1487"/>
      <c r="K597" s="1487"/>
      <c r="L597" s="1487"/>
      <c r="M597"/>
      <c r="N597"/>
      <c r="O597" s="33" t="s">
        <v>205</v>
      </c>
      <c r="P597" s="1471"/>
      <c r="Q597" s="1471"/>
      <c r="R597" s="1471"/>
      <c r="S597"/>
      <c r="T597" s="22"/>
      <c r="U597" t="s">
        <v>315</v>
      </c>
      <c r="V597"/>
      <c r="W597"/>
      <c r="X597"/>
      <c r="Y597"/>
      <c r="Z597" s="1524"/>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2745</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668</v>
      </c>
      <c r="O599" s="1415"/>
      <c r="T599" s="22"/>
      <c r="U599" t="s">
        <v>20</v>
      </c>
      <c r="AG599" s="1415" t="s">
        <v>668</v>
      </c>
      <c r="AH599" s="1415"/>
      <c r="BB599" s="3"/>
      <c r="BC599" s="3"/>
    </row>
    <row r="600" spans="1:55" ht="13" customHeight="1">
      <c r="A600" s="22"/>
      <c r="T600" s="22"/>
      <c r="BB600" s="3"/>
      <c r="BC600" s="3"/>
    </row>
    <row r="601" spans="1:55" ht="13" customHeight="1">
      <c r="A601" s="55" t="s">
        <v>461</v>
      </c>
      <c r="B601" t="s">
        <v>463</v>
      </c>
      <c r="G601" s="1483">
        <f>C562</f>
        <v>0</v>
      </c>
      <c r="H601" s="1483"/>
      <c r="I601" s="1483"/>
      <c r="J601" s="1483"/>
      <c r="K601" s="1483"/>
      <c r="L601" s="1483"/>
      <c r="M601" s="1483"/>
      <c r="N601" s="1483"/>
      <c r="O601" s="1483"/>
      <c r="P601" s="1483"/>
      <c r="Q601" s="1483"/>
      <c r="R601" s="1483"/>
      <c r="T601" s="55" t="s">
        <v>645</v>
      </c>
      <c r="U601" t="s">
        <v>463</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668</v>
      </c>
      <c r="O607" s="1415"/>
      <c r="P607"/>
      <c r="Q607"/>
      <c r="R607"/>
      <c r="S607"/>
      <c r="T607" s="22"/>
      <c r="U607" t="s">
        <v>20</v>
      </c>
      <c r="V607"/>
      <c r="W607"/>
      <c r="X607"/>
      <c r="Y607"/>
      <c r="Z607"/>
      <c r="AA607"/>
      <c r="AB607"/>
      <c r="AC607"/>
      <c r="AD607"/>
      <c r="AE607"/>
      <c r="AF607"/>
      <c r="AG607" s="1415" t="s">
        <v>668</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3">
        <f>C564</f>
        <v>0</v>
      </c>
      <c r="H609" s="1483"/>
      <c r="I609" s="1483"/>
      <c r="J609" s="1483"/>
      <c r="K609" s="1483"/>
      <c r="L609" s="1483"/>
      <c r="M609" s="1483"/>
      <c r="N609" s="1483"/>
      <c r="O609" s="1483"/>
      <c r="P609" s="1483"/>
      <c r="Q609" s="1483"/>
      <c r="R609" s="1483"/>
      <c r="T609" s="55" t="s">
        <v>362</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668</v>
      </c>
      <c r="O615" s="1415"/>
      <c r="U615" t="s">
        <v>20</v>
      </c>
      <c r="AG615" s="1415" t="s">
        <v>668</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0" t="s">
        <v>2102</v>
      </c>
      <c r="C624" s="1670"/>
      <c r="D624" s="1670"/>
      <c r="E624" s="1670"/>
      <c r="F624" s="1670"/>
      <c r="G624" s="1670"/>
      <c r="H624" s="1670"/>
      <c r="I624" s="1670"/>
      <c r="J624" s="1670"/>
      <c r="K624" s="1670"/>
      <c r="L624" s="1670"/>
      <c r="M624" s="1675" t="s">
        <v>2103</v>
      </c>
      <c r="N624" s="1675"/>
      <c r="O624" s="1675"/>
      <c r="P624" s="1675"/>
      <c r="Q624" s="1675" t="s">
        <v>1852</v>
      </c>
      <c r="R624" s="1675"/>
      <c r="S624" s="1675"/>
      <c r="T624" s="1675" t="s">
        <v>1850</v>
      </c>
      <c r="U624" s="1675"/>
      <c r="V624" s="1675"/>
      <c r="W624" s="1671" t="s">
        <v>453</v>
      </c>
      <c r="X624" s="1671"/>
      <c r="Y624" s="1671"/>
      <c r="Z624" s="1397" t="s">
        <v>2132</v>
      </c>
      <c r="AA624" s="1397"/>
      <c r="AB624" s="1398"/>
      <c r="AC624" s="1676" t="s">
        <v>1675</v>
      </c>
      <c r="AD624" s="1677"/>
      <c r="AE624" s="1678"/>
      <c r="AF624" s="1396" t="s">
        <v>1930</v>
      </c>
      <c r="AG624" s="1397"/>
      <c r="AH624" s="1397"/>
      <c r="AI624" s="1397"/>
      <c r="AJ624" s="1398"/>
      <c r="AK624" s="1591" t="s">
        <v>1931</v>
      </c>
      <c r="AL624" s="1592"/>
      <c r="AM624" s="1592"/>
      <c r="AN624" s="1593"/>
      <c r="AO624" s="1675" t="s">
        <v>454</v>
      </c>
      <c r="AP624" s="1675"/>
      <c r="AQ624" s="1675"/>
      <c r="AR624" s="1675"/>
      <c r="AS624" s="1675"/>
      <c r="AU624" s="3"/>
      <c r="AZ624" s="3"/>
      <c r="BA624" s="3"/>
      <c r="BB624" s="3"/>
      <c r="BC624" s="3"/>
    </row>
    <row r="625" spans="2:157" ht="13"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3"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3" customHeight="1">
      <c r="B627" s="51" t="s">
        <v>112</v>
      </c>
      <c r="C627" s="1479" t="s">
        <v>2746</v>
      </c>
      <c r="D627" s="1479"/>
      <c r="E627" s="1479"/>
      <c r="F627" s="1479"/>
      <c r="G627" s="1479"/>
      <c r="H627" s="1479"/>
      <c r="I627" s="1479"/>
      <c r="J627" s="1479"/>
      <c r="K627" s="1479"/>
      <c r="L627" s="1479"/>
      <c r="M627" s="1493" t="s">
        <v>2119</v>
      </c>
      <c r="N627" s="1493"/>
      <c r="O627" s="1493"/>
      <c r="P627" s="1493"/>
      <c r="Q627" s="1509">
        <v>360</v>
      </c>
      <c r="R627" s="1509"/>
      <c r="S627" s="1510"/>
      <c r="T627" s="1508">
        <v>480</v>
      </c>
      <c r="U627" s="1509"/>
      <c r="V627" s="1510"/>
      <c r="W627" s="1480">
        <v>6.25E-2</v>
      </c>
      <c r="X627" s="1481"/>
      <c r="Y627" s="1482"/>
      <c r="Z627" s="1476" t="s">
        <v>2131</v>
      </c>
      <c r="AA627" s="1477"/>
      <c r="AB627" s="1478"/>
      <c r="AC627" s="1381">
        <v>1</v>
      </c>
      <c r="AD627" s="1382"/>
      <c r="AE627" s="1383"/>
      <c r="AF627" s="1490">
        <v>2152872</v>
      </c>
      <c r="AG627" s="1491"/>
      <c r="AH627" s="1491"/>
      <c r="AI627" s="1491"/>
      <c r="AJ627" s="1492"/>
      <c r="AK627" s="1484"/>
      <c r="AL627" s="1485"/>
      <c r="AM627" s="1485"/>
      <c r="AN627" s="1486"/>
      <c r="AO627" s="1639">
        <v>31600000</v>
      </c>
      <c r="AP627" s="1639"/>
      <c r="AQ627" s="1639"/>
      <c r="AR627" s="1639"/>
      <c r="AS627" s="1639"/>
      <c r="AT627" s="3"/>
      <c r="AU627" s="3"/>
      <c r="AZ627" s="3"/>
      <c r="BA627" s="3"/>
      <c r="BB627" s="3"/>
      <c r="BC627" s="3"/>
      <c r="BD627" s="3"/>
    </row>
    <row r="628" spans="2:157" ht="13" customHeight="1">
      <c r="B628" s="52" t="s">
        <v>113</v>
      </c>
      <c r="C628" s="1479" t="s">
        <v>2726</v>
      </c>
      <c r="D628" s="1479"/>
      <c r="E628" s="1479"/>
      <c r="F628" s="1479"/>
      <c r="G628" s="1479"/>
      <c r="H628" s="1479"/>
      <c r="I628" s="1479"/>
      <c r="J628" s="1479"/>
      <c r="K628" s="1479"/>
      <c r="L628" s="1479"/>
      <c r="M628" s="1493" t="s">
        <v>2120</v>
      </c>
      <c r="N628" s="1493"/>
      <c r="O628" s="1493"/>
      <c r="P628" s="1493"/>
      <c r="Q628" s="1508">
        <v>360</v>
      </c>
      <c r="R628" s="1509"/>
      <c r="S628" s="1510"/>
      <c r="T628" s="1508"/>
      <c r="U628" s="1509"/>
      <c r="V628" s="1510"/>
      <c r="W628" s="1480">
        <v>0.05</v>
      </c>
      <c r="X628" s="1481"/>
      <c r="Y628" s="1482"/>
      <c r="Z628" s="1476" t="s">
        <v>457</v>
      </c>
      <c r="AA628" s="1477"/>
      <c r="AB628" s="1478"/>
      <c r="AC628" s="1381">
        <v>2</v>
      </c>
      <c r="AD628" s="1382"/>
      <c r="AE628" s="1383"/>
      <c r="AF628" s="1490"/>
      <c r="AG628" s="1491"/>
      <c r="AH628" s="1491"/>
      <c r="AI628" s="1491"/>
      <c r="AJ628" s="1492"/>
      <c r="AK628" s="1484"/>
      <c r="AL628" s="1485"/>
      <c r="AM628" s="1485"/>
      <c r="AN628" s="1486"/>
      <c r="AO628" s="1475">
        <v>21500000</v>
      </c>
      <c r="AP628" s="1338"/>
      <c r="AQ628" s="1338"/>
      <c r="AR628" s="1338"/>
      <c r="AS628" s="1339"/>
      <c r="AT628" s="1148" t="str">
        <f>IF(AND(NOT(C627=""),C628="",NOT(C629="")),"!","")</f>
        <v/>
      </c>
      <c r="AU628" s="3"/>
      <c r="AZ628" s="3"/>
      <c r="BA628" s="3"/>
      <c r="BB628" s="3"/>
      <c r="BC628" s="3"/>
      <c r="BD628" s="3"/>
    </row>
    <row r="629" spans="2:157" ht="13" customHeight="1">
      <c r="B629" s="52" t="s">
        <v>119</v>
      </c>
      <c r="C629" s="1479" t="s">
        <v>2618</v>
      </c>
      <c r="D629" s="1479"/>
      <c r="E629" s="1479"/>
      <c r="F629" s="1479"/>
      <c r="G629" s="1479"/>
      <c r="H629" s="1479"/>
      <c r="I629" s="1479"/>
      <c r="J629" s="1479"/>
      <c r="K629" s="1479"/>
      <c r="L629" s="1479"/>
      <c r="M629" s="1493" t="s">
        <v>2115</v>
      </c>
      <c r="N629" s="1493"/>
      <c r="O629" s="1493"/>
      <c r="P629" s="1493"/>
      <c r="Q629" s="1508">
        <v>660</v>
      </c>
      <c r="R629" s="1509"/>
      <c r="S629" s="1510"/>
      <c r="T629" s="1508"/>
      <c r="U629" s="1509"/>
      <c r="V629" s="1510"/>
      <c r="W629" s="1480">
        <v>0.03</v>
      </c>
      <c r="X629" s="1481"/>
      <c r="Y629" s="1482"/>
      <c r="Z629" s="1476" t="s">
        <v>457</v>
      </c>
      <c r="AA629" s="1477"/>
      <c r="AB629" s="1478"/>
      <c r="AC629" s="1381">
        <v>3</v>
      </c>
      <c r="AD629" s="1382"/>
      <c r="AE629" s="1383"/>
      <c r="AF629" s="1490"/>
      <c r="AG629" s="1491"/>
      <c r="AH629" s="1491"/>
      <c r="AI629" s="1491"/>
      <c r="AJ629" s="1492"/>
      <c r="AK629" s="1484"/>
      <c r="AL629" s="1485"/>
      <c r="AM629" s="1485"/>
      <c r="AN629" s="1486"/>
      <c r="AO629" s="1475">
        <v>12000000</v>
      </c>
      <c r="AP629" s="1338"/>
      <c r="AQ629" s="1338"/>
      <c r="AR629" s="1338"/>
      <c r="AS629" s="1339"/>
      <c r="AT629" s="1148" t="str">
        <f t="shared" ref="AT629:AT638" si="1">IF(AND(NOT(C628=""),C629="",NOT(C630="")),"!","")</f>
        <v/>
      </c>
      <c r="AU629" s="3"/>
      <c r="AZ629" s="3"/>
      <c r="BA629" s="3"/>
      <c r="BB629" s="3"/>
      <c r="BC629" s="3"/>
      <c r="BD629" s="3"/>
    </row>
    <row r="630" spans="2:157" ht="13" customHeight="1">
      <c r="B630" s="52" t="s">
        <v>581</v>
      </c>
      <c r="C630" s="1479" t="s">
        <v>2651</v>
      </c>
      <c r="D630" s="1489"/>
      <c r="E630" s="1489"/>
      <c r="F630" s="1489"/>
      <c r="G630" s="1489"/>
      <c r="H630" s="1489"/>
      <c r="I630" s="1489"/>
      <c r="J630" s="1489"/>
      <c r="K630" s="1489"/>
      <c r="L630" s="1489"/>
      <c r="M630" s="1493" t="s">
        <v>2106</v>
      </c>
      <c r="N630" s="1493"/>
      <c r="O630" s="1493"/>
      <c r="P630" s="1493"/>
      <c r="Q630" s="1508">
        <v>156</v>
      </c>
      <c r="R630" s="1509"/>
      <c r="S630" s="1510"/>
      <c r="T630" s="1508"/>
      <c r="U630" s="1509"/>
      <c r="V630" s="1510"/>
      <c r="W630" s="1480">
        <v>9.9999999999999995E-8</v>
      </c>
      <c r="X630" s="1481"/>
      <c r="Y630" s="1482"/>
      <c r="Z630" s="1476" t="s">
        <v>457</v>
      </c>
      <c r="AA630" s="1477"/>
      <c r="AB630" s="1478"/>
      <c r="AC630" s="1381"/>
      <c r="AD630" s="1382"/>
      <c r="AE630" s="1383"/>
      <c r="AF630" s="1490"/>
      <c r="AG630" s="1491"/>
      <c r="AH630" s="1491"/>
      <c r="AI630" s="1491"/>
      <c r="AJ630" s="1492"/>
      <c r="AK630" s="1484"/>
      <c r="AL630" s="1485"/>
      <c r="AM630" s="1485"/>
      <c r="AN630" s="1486"/>
      <c r="AO630" s="1475">
        <v>13800000</v>
      </c>
      <c r="AP630" s="1338"/>
      <c r="AQ630" s="1338"/>
      <c r="AR630" s="1338"/>
      <c r="AS630" s="1339"/>
      <c r="AT630" s="1148" t="str">
        <f t="shared" si="1"/>
        <v/>
      </c>
      <c r="AU630" s="3"/>
      <c r="AZ630" s="3"/>
      <c r="BA630" s="3"/>
      <c r="BB630" s="3"/>
      <c r="BC630" s="3"/>
      <c r="BD630" s="3"/>
    </row>
    <row r="631" spans="2:157" ht="13" customHeight="1">
      <c r="B631" s="52" t="s">
        <v>762</v>
      </c>
      <c r="C631" s="1479" t="s">
        <v>2713</v>
      </c>
      <c r="D631" s="1489"/>
      <c r="E631" s="1489"/>
      <c r="F631" s="1489"/>
      <c r="G631" s="1489"/>
      <c r="H631" s="1489"/>
      <c r="I631" s="1489"/>
      <c r="J631" s="1489"/>
      <c r="K631" s="1489"/>
      <c r="L631" s="1489"/>
      <c r="M631" s="1493" t="s">
        <v>2111</v>
      </c>
      <c r="N631" s="1493"/>
      <c r="O631" s="1493"/>
      <c r="P631" s="1493"/>
      <c r="Q631" s="1508"/>
      <c r="R631" s="1509"/>
      <c r="S631" s="1510"/>
      <c r="T631" s="1508"/>
      <c r="U631" s="1509"/>
      <c r="V631" s="1510"/>
      <c r="W631" s="1480"/>
      <c r="X631" s="1481"/>
      <c r="Y631" s="1482"/>
      <c r="Z631" s="1476" t="s">
        <v>299</v>
      </c>
      <c r="AA631" s="1477"/>
      <c r="AB631" s="1478"/>
      <c r="AC631" s="1381"/>
      <c r="AD631" s="1382"/>
      <c r="AE631" s="1383"/>
      <c r="AF631" s="1490"/>
      <c r="AG631" s="1491"/>
      <c r="AH631" s="1491"/>
      <c r="AI631" s="1491"/>
      <c r="AJ631" s="1492"/>
      <c r="AK631" s="1484"/>
      <c r="AL631" s="1485"/>
      <c r="AM631" s="1485"/>
      <c r="AN631" s="1486"/>
      <c r="AO631" s="1475">
        <v>14679000</v>
      </c>
      <c r="AP631" s="1338"/>
      <c r="AQ631" s="1338"/>
      <c r="AR631" s="1338"/>
      <c r="AS631" s="1339"/>
      <c r="AT631" s="1148" t="str">
        <f t="shared" si="1"/>
        <v/>
      </c>
      <c r="AU631" s="3"/>
      <c r="AZ631" s="3"/>
      <c r="BA631" s="3"/>
      <c r="BB631" s="3"/>
      <c r="BC631" s="3"/>
      <c r="BD631" s="3"/>
    </row>
    <row r="632" spans="2:157" ht="13" customHeight="1">
      <c r="B632" s="52" t="s">
        <v>584</v>
      </c>
      <c r="C632" s="1489"/>
      <c r="D632" s="1489"/>
      <c r="E632" s="1489"/>
      <c r="F632" s="1489"/>
      <c r="G632" s="1489"/>
      <c r="H632" s="1489"/>
      <c r="I632" s="1489"/>
      <c r="J632" s="1489"/>
      <c r="K632" s="1489"/>
      <c r="L632" s="1489"/>
      <c r="M632" s="1493"/>
      <c r="N632" s="1493"/>
      <c r="O632" s="1493"/>
      <c r="P632" s="1493"/>
      <c r="Q632" s="1508"/>
      <c r="R632" s="1509"/>
      <c r="S632" s="1510"/>
      <c r="T632" s="1508"/>
      <c r="U632" s="1509"/>
      <c r="V632" s="1510"/>
      <c r="W632" s="1480"/>
      <c r="X632" s="1481"/>
      <c r="Y632" s="1482"/>
      <c r="Z632" s="1476"/>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3" customHeight="1">
      <c r="B633" s="52" t="s">
        <v>455</v>
      </c>
      <c r="C633" s="1489"/>
      <c r="D633" s="1489"/>
      <c r="E633" s="1489"/>
      <c r="F633" s="1489"/>
      <c r="G633" s="1489"/>
      <c r="H633" s="1489"/>
      <c r="I633" s="1489"/>
      <c r="J633" s="1489"/>
      <c r="K633" s="1489"/>
      <c r="L633" s="1489"/>
      <c r="M633" s="1493"/>
      <c r="N633" s="1493"/>
      <c r="O633" s="1493"/>
      <c r="P633" s="1493"/>
      <c r="Q633" s="1508"/>
      <c r="R633" s="1509"/>
      <c r="S633" s="1510"/>
      <c r="T633" s="1508"/>
      <c r="U633" s="1509"/>
      <c r="V633" s="1510"/>
      <c r="W633" s="1480"/>
      <c r="X633" s="1481"/>
      <c r="Y633" s="1482"/>
      <c r="Z633" s="1476"/>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3" customHeight="1">
      <c r="B634" s="52" t="s">
        <v>456</v>
      </c>
      <c r="C634" s="1489"/>
      <c r="D634" s="1489"/>
      <c r="E634" s="1489"/>
      <c r="F634" s="1489"/>
      <c r="G634" s="1489"/>
      <c r="H634" s="1489"/>
      <c r="I634" s="1489"/>
      <c r="J634" s="1489"/>
      <c r="K634" s="1489"/>
      <c r="L634" s="1489"/>
      <c r="M634" s="1493"/>
      <c r="N634" s="1493"/>
      <c r="O634" s="1493"/>
      <c r="P634" s="1493"/>
      <c r="Q634" s="1508"/>
      <c r="R634" s="1509"/>
      <c r="S634" s="1510"/>
      <c r="T634" s="1508"/>
      <c r="U634" s="1509"/>
      <c r="V634" s="1510"/>
      <c r="W634" s="1480"/>
      <c r="X634" s="1481"/>
      <c r="Y634" s="1482"/>
      <c r="Z634" s="1476"/>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1183</v>
      </c>
      <c r="BB634" s="3"/>
      <c r="BC634" s="3"/>
      <c r="BD634" s="3"/>
    </row>
    <row r="635" spans="2:157" ht="13" customHeight="1">
      <c r="B635" s="52" t="s">
        <v>461</v>
      </c>
      <c r="C635" s="1489"/>
      <c r="D635" s="1489"/>
      <c r="E635" s="1489"/>
      <c r="F635" s="1489"/>
      <c r="G635" s="1489"/>
      <c r="H635" s="1489"/>
      <c r="I635" s="1489"/>
      <c r="J635" s="1489"/>
      <c r="K635" s="1489"/>
      <c r="L635" s="1489"/>
      <c r="M635" s="1493"/>
      <c r="N635" s="1493"/>
      <c r="O635" s="1493"/>
      <c r="P635" s="1493"/>
      <c r="Q635" s="1508"/>
      <c r="R635" s="1509"/>
      <c r="S635" s="1510"/>
      <c r="T635" s="1508"/>
      <c r="U635" s="1509"/>
      <c r="V635" s="1510"/>
      <c r="W635" s="1480"/>
      <c r="X635" s="1481"/>
      <c r="Y635" s="1482"/>
      <c r="Z635" s="1476"/>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392.28070175438592</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645</v>
      </c>
      <c r="C636" s="1489"/>
      <c r="D636" s="1489"/>
      <c r="E636" s="1489"/>
      <c r="F636" s="1489"/>
      <c r="G636" s="1489"/>
      <c r="H636" s="1489"/>
      <c r="I636" s="1489"/>
      <c r="J636" s="1489"/>
      <c r="K636" s="1489"/>
      <c r="L636" s="1489"/>
      <c r="M636" s="1493"/>
      <c r="N636" s="1493"/>
      <c r="O636" s="1493"/>
      <c r="P636" s="1493"/>
      <c r="Q636" s="1508"/>
      <c r="R636" s="1509"/>
      <c r="S636" s="1510"/>
      <c r="T636" s="1508"/>
      <c r="U636" s="1509"/>
      <c r="V636" s="1510"/>
      <c r="W636" s="1480"/>
      <c r="X636" s="1481"/>
      <c r="Y636" s="1482"/>
      <c r="Z636" s="1476"/>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25.596491228070175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361</v>
      </c>
      <c r="C637" s="1489"/>
      <c r="D637" s="1489"/>
      <c r="E637" s="1489"/>
      <c r="F637" s="1489"/>
      <c r="G637" s="1489"/>
      <c r="H637" s="1489"/>
      <c r="I637" s="1489"/>
      <c r="J637" s="1489"/>
      <c r="K637" s="1489"/>
      <c r="L637" s="1489"/>
      <c r="M637" s="1493"/>
      <c r="N637" s="1493"/>
      <c r="O637" s="1493"/>
      <c r="P637" s="1493"/>
      <c r="Q637" s="1508"/>
      <c r="R637" s="1509"/>
      <c r="S637" s="1510"/>
      <c r="T637" s="1508"/>
      <c r="U637" s="1509"/>
      <c r="V637" s="1510"/>
      <c r="W637" s="1480"/>
      <c r="X637" s="1481"/>
      <c r="Y637" s="1482"/>
      <c r="Z637" s="1476"/>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30.859649122807017</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362</v>
      </c>
      <c r="C638" s="1489"/>
      <c r="D638" s="1489"/>
      <c r="E638" s="1489"/>
      <c r="F638" s="1489"/>
      <c r="G638" s="1489"/>
      <c r="H638" s="1489"/>
      <c r="I638" s="1489"/>
      <c r="J638" s="1489"/>
      <c r="K638" s="1489"/>
      <c r="L638" s="1489"/>
      <c r="M638" s="1493"/>
      <c r="N638" s="1493"/>
      <c r="O638" s="1493"/>
      <c r="P638" s="1493"/>
      <c r="Q638" s="1508"/>
      <c r="R638" s="1509"/>
      <c r="S638" s="1510"/>
      <c r="T638" s="1508"/>
      <c r="U638" s="1509"/>
      <c r="V638" s="1510"/>
      <c r="W638" s="1480"/>
      <c r="X638" s="1481"/>
      <c r="Y638" s="1482"/>
      <c r="Z638" s="1476"/>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1047.5614035087719</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93579000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33.483870967741936</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66285935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56.677419354838705</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2"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159864935</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68.290322580645153</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2237.2903225806449</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463</v>
      </c>
      <c r="G643" s="1483" t="str">
        <f>C627</f>
        <v>Citibank, N.A.</v>
      </c>
      <c r="H643" s="1483"/>
      <c r="I643" s="1483"/>
      <c r="J643" s="1483"/>
      <c r="K643" s="1483"/>
      <c r="L643" s="1483"/>
      <c r="M643" s="1483"/>
      <c r="N643" s="1483"/>
      <c r="O643" s="1483"/>
      <c r="P643" s="1483"/>
      <c r="Q643" s="1483"/>
      <c r="R643" s="1483"/>
      <c r="S643" s="8"/>
      <c r="T643" s="55" t="s">
        <v>113</v>
      </c>
      <c r="U643" t="s">
        <v>463</v>
      </c>
      <c r="Z643" s="1483" t="str">
        <f>C628</f>
        <v>Bonneville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38</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2728</v>
      </c>
      <c r="H644" s="1407"/>
      <c r="I644" s="1407"/>
      <c r="J644" s="1407"/>
      <c r="K644" s="1407"/>
      <c r="L644" s="1407"/>
      <c r="M644" s="1407"/>
      <c r="N644" s="1407"/>
      <c r="O644" s="1407"/>
      <c r="P644" s="1407"/>
      <c r="Q644" s="1407"/>
      <c r="R644" s="1407"/>
      <c r="S644" s="8"/>
      <c r="T644" s="22"/>
      <c r="U644" t="s">
        <v>85</v>
      </c>
      <c r="Z644" s="1407" t="s">
        <v>2733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64.38095238095238</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580</v>
      </c>
      <c r="G645" s="1407" t="s">
        <v>2729</v>
      </c>
      <c r="H645" s="1407"/>
      <c r="I645" s="1407"/>
      <c r="J645" s="1407"/>
      <c r="K645" s="1407"/>
      <c r="L645" s="1407"/>
      <c r="M645" s="1407"/>
      <c r="N645" s="1407"/>
      <c r="O645" s="1407"/>
      <c r="P645" s="1407"/>
      <c r="Q645" s="1407"/>
      <c r="R645" s="1407"/>
      <c r="T645" s="22"/>
      <c r="U645" t="s">
        <v>580</v>
      </c>
      <c r="Z645" s="1371" t="s">
        <v>2734</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77.587301587301582</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2730</v>
      </c>
      <c r="H646" s="1407"/>
      <c r="I646" s="1407"/>
      <c r="J646" s="1407"/>
      <c r="K646" s="1407"/>
      <c r="L646" s="1407"/>
      <c r="M646" s="1407"/>
      <c r="N646" s="1407"/>
      <c r="O646" s="1407"/>
      <c r="P646" s="1407"/>
      <c r="Q646" s="1407"/>
      <c r="R646" s="1407"/>
      <c r="S646" s="8"/>
      <c r="T646" s="22"/>
      <c r="U646" t="s">
        <v>17</v>
      </c>
      <c r="Z646" s="1371" t="s">
        <v>2735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2586.7142857142858</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315</v>
      </c>
      <c r="G647" s="1524" t="s">
        <v>2731</v>
      </c>
      <c r="H647" s="1487"/>
      <c r="I647" s="1487"/>
      <c r="J647" s="1487"/>
      <c r="K647" s="1487"/>
      <c r="L647" s="1487"/>
      <c r="O647" s="33" t="s">
        <v>205</v>
      </c>
      <c r="P647" s="1471"/>
      <c r="Q647" s="1471"/>
      <c r="R647" s="1471"/>
      <c r="S647" s="10"/>
      <c r="T647" s="22"/>
      <c r="U647" t="s">
        <v>315</v>
      </c>
      <c r="Z647" s="1524" t="s">
        <v>2736</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2747</v>
      </c>
      <c r="I648" s="1407"/>
      <c r="J648" s="1407"/>
      <c r="K648" s="1407"/>
      <c r="L648" s="1407"/>
      <c r="M648" s="1407"/>
      <c r="N648" s="1407"/>
      <c r="O648" s="1407"/>
      <c r="P648" s="1407"/>
      <c r="Q648" s="1407"/>
      <c r="R648" s="1407"/>
      <c r="S648" s="8"/>
      <c r="T648" s="22"/>
      <c r="U648" t="s">
        <v>18</v>
      </c>
      <c r="AA648" s="1407" t="s">
        <v>2748</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463</v>
      </c>
      <c r="G651" s="1483" t="str">
        <f>C629</f>
        <v>City of Fremont</v>
      </c>
      <c r="H651" s="1483"/>
      <c r="I651" s="1483"/>
      <c r="J651" s="1483"/>
      <c r="K651" s="1483"/>
      <c r="L651" s="1483"/>
      <c r="M651" s="1483"/>
      <c r="N651" s="1483"/>
      <c r="O651" s="1483"/>
      <c r="P651" s="1483"/>
      <c r="Q651" s="1483"/>
      <c r="R651" s="1483"/>
      <c r="T651" s="55" t="s">
        <v>581</v>
      </c>
      <c r="U651" t="s">
        <v>463</v>
      </c>
      <c r="Z651" s="1483" t="str">
        <f>C630</f>
        <v>Pacific West Communities, Inc.</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2737</v>
      </c>
      <c r="H652" s="1407"/>
      <c r="I652" s="1407"/>
      <c r="J652" s="1407"/>
      <c r="K652" s="1407"/>
      <c r="L652" s="1407"/>
      <c r="M652" s="1407"/>
      <c r="N652" s="1407"/>
      <c r="O652" s="1407"/>
      <c r="P652" s="1407"/>
      <c r="Q652" s="1407"/>
      <c r="R652" s="1407"/>
      <c r="T652" s="22"/>
      <c r="U652" t="s">
        <v>85</v>
      </c>
      <c r="Z652" s="1407" t="s">
        <v>2628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580</v>
      </c>
      <c r="G653" s="1371" t="s">
        <v>2738</v>
      </c>
      <c r="H653" s="1371"/>
      <c r="I653" s="1371"/>
      <c r="J653" s="1371"/>
      <c r="K653" s="1371"/>
      <c r="L653" s="1371"/>
      <c r="M653" s="1371"/>
      <c r="N653" s="1371"/>
      <c r="O653" s="1371"/>
      <c r="P653" s="1371"/>
      <c r="Q653" s="1371"/>
      <c r="R653" s="1371"/>
      <c r="T653" s="22"/>
      <c r="U653" t="s">
        <v>580</v>
      </c>
      <c r="Z653" s="1371" t="s">
        <v>2658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2739</v>
      </c>
      <c r="H654" s="1371"/>
      <c r="I654" s="1371"/>
      <c r="J654" s="1371"/>
      <c r="K654" s="1371"/>
      <c r="L654" s="1371"/>
      <c r="M654" s="1371"/>
      <c r="N654" s="1371"/>
      <c r="O654" s="1371"/>
      <c r="P654" s="1371"/>
      <c r="Q654" s="1371"/>
      <c r="R654" s="1371"/>
      <c r="T654" s="22"/>
      <c r="U654" t="s">
        <v>17</v>
      </c>
      <c r="Z654" s="1371" t="s">
        <v>2615</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315</v>
      </c>
      <c r="G655" s="1524" t="s">
        <v>2740</v>
      </c>
      <c r="H655" s="1487"/>
      <c r="I655" s="1487"/>
      <c r="J655" s="1487"/>
      <c r="K655" s="1487"/>
      <c r="L655" s="1487"/>
      <c r="O655" s="33" t="s">
        <v>205</v>
      </c>
      <c r="P655" s="1471"/>
      <c r="Q655" s="1471"/>
      <c r="R655" s="1471"/>
      <c r="T655" s="22"/>
      <c r="U655" t="s">
        <v>315</v>
      </c>
      <c r="Z655" s="1524" t="s">
        <v>2630</v>
      </c>
      <c r="AA655" s="1487"/>
      <c r="AB655" s="1487"/>
      <c r="AC655" s="1487"/>
      <c r="AD655" s="1487"/>
      <c r="AE655" s="1487"/>
      <c r="AH655" s="33" t="s">
        <v>205</v>
      </c>
      <c r="AI655" s="1471">
        <v>3015</v>
      </c>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2741</v>
      </c>
      <c r="I656" s="1407"/>
      <c r="J656" s="1407"/>
      <c r="K656" s="1407"/>
      <c r="L656" s="1407"/>
      <c r="M656" s="1407"/>
      <c r="N656" s="1407"/>
      <c r="O656" s="1407"/>
      <c r="P656" s="1407"/>
      <c r="Q656" s="1407"/>
      <c r="R656" s="1407"/>
      <c r="T656" s="22"/>
      <c r="U656" t="s">
        <v>18</v>
      </c>
      <c r="AA656" s="1407" t="s">
        <v>2321</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762</v>
      </c>
      <c r="B659" t="s">
        <v>463</v>
      </c>
      <c r="G659" s="1483" t="str">
        <f>C631</f>
        <v>Safehold Inc.</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t="s">
        <v>2773</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580</v>
      </c>
      <c r="G661" s="1407" t="s">
        <v>2774</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t="s">
        <v>2743</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315</v>
      </c>
      <c r="G663" s="1524" t="s">
        <v>2744</v>
      </c>
      <c r="H663" s="1487"/>
      <c r="I663" s="1487"/>
      <c r="J663" s="1487"/>
      <c r="K663" s="1487"/>
      <c r="L663" s="1487"/>
      <c r="O663" s="33" t="s">
        <v>205</v>
      </c>
      <c r="P663" s="1471">
        <v>3015</v>
      </c>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t="s">
        <v>2749</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545</v>
      </c>
      <c r="O665" s="1415"/>
      <c r="T665" s="22"/>
      <c r="U665" t="s">
        <v>20</v>
      </c>
      <c r="AG665" s="1415" t="s">
        <v>668</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1496.2982456140351</v>
      </c>
      <c r="ED670" s="1369"/>
      <c r="EE670" s="1369"/>
      <c r="EF670" s="1369"/>
      <c r="EG670" s="1369"/>
      <c r="EH670" s="1369">
        <f>SUMIF(EH635:EL669,"&gt;0")</f>
        <v>2395.7419354838707</v>
      </c>
      <c r="EI670" s="1369"/>
      <c r="EJ670" s="1369"/>
      <c r="EK670" s="1369"/>
      <c r="EL670" s="1369"/>
      <c r="EM670" s="1369">
        <f>SUMIF(EM635:EQ669,"&gt;0")</f>
        <v>2766.6825396825398</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668</v>
      </c>
      <c r="O673" s="1415"/>
      <c r="T673" s="22"/>
      <c r="U673" t="s">
        <v>20</v>
      </c>
      <c r="AG673" s="1415" t="s">
        <v>668</v>
      </c>
      <c r="AH673" s="1415"/>
      <c r="AZ673" s="3"/>
    </row>
    <row r="674" spans="1:52" ht="13" customHeight="1">
      <c r="A674" s="22"/>
      <c r="T674" s="22"/>
      <c r="AZ674" s="3"/>
    </row>
    <row r="675" spans="1:52" ht="13" customHeight="1">
      <c r="A675" s="55" t="s">
        <v>461</v>
      </c>
      <c r="B675" t="s">
        <v>463</v>
      </c>
      <c r="G675" s="1483">
        <f>C635</f>
        <v>0</v>
      </c>
      <c r="H675" s="1483"/>
      <c r="I675" s="1483"/>
      <c r="J675" s="1483"/>
      <c r="K675" s="1483"/>
      <c r="L675" s="1483"/>
      <c r="M675" s="1483"/>
      <c r="N675" s="1483"/>
      <c r="O675" s="1483"/>
      <c r="P675" s="1483"/>
      <c r="Q675" s="1483"/>
      <c r="R675" s="1483"/>
      <c r="T675" s="55" t="s">
        <v>645</v>
      </c>
      <c r="U675" t="s">
        <v>463</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668</v>
      </c>
      <c r="O681" s="1415"/>
      <c r="T681" s="22"/>
      <c r="U681" t="s">
        <v>20</v>
      </c>
      <c r="AG681" s="1415" t="s">
        <v>668</v>
      </c>
      <c r="AH681" s="1415"/>
      <c r="AZ681" s="3"/>
    </row>
    <row r="682" spans="1:52" ht="13" customHeight="1">
      <c r="A682" s="22"/>
      <c r="T682" s="22"/>
      <c r="AZ682" s="3"/>
    </row>
    <row r="683" spans="1:52" ht="13" customHeight="1">
      <c r="A683" s="55" t="s">
        <v>361</v>
      </c>
      <c r="B683" t="s">
        <v>463</v>
      </c>
      <c r="G683" s="1483">
        <f>C637</f>
        <v>0</v>
      </c>
      <c r="H683" s="1483"/>
      <c r="I683" s="1483"/>
      <c r="J683" s="1483"/>
      <c r="K683" s="1483"/>
      <c r="L683" s="1483"/>
      <c r="M683" s="1483"/>
      <c r="N683" s="1483"/>
      <c r="O683" s="1483"/>
      <c r="P683" s="1483"/>
      <c r="Q683" s="1483"/>
      <c r="R683" s="1483"/>
      <c r="T683" s="55" t="s">
        <v>362</v>
      </c>
      <c r="U683" t="s">
        <v>463</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668</v>
      </c>
      <c r="O689" s="1415"/>
      <c r="U689" t="s">
        <v>20</v>
      </c>
      <c r="AG689" s="1415" t="s">
        <v>668</v>
      </c>
      <c r="AH689" s="1415"/>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5" t="s">
        <v>545</v>
      </c>
      <c r="AF693" s="1415"/>
      <c r="AZ693" s="3"/>
    </row>
    <row r="694" spans="1:67" ht="13" customHeight="1">
      <c r="B694" s="135"/>
      <c r="C694" s="135"/>
      <c r="D694" s="136" t="s">
        <v>437</v>
      </c>
      <c r="E694" s="135"/>
      <c r="F694" s="135"/>
      <c r="G694" s="135"/>
      <c r="H694" s="135"/>
      <c r="AE694" s="1415" t="s">
        <v>668</v>
      </c>
      <c r="AF694" s="1415"/>
      <c r="AZ694" s="3"/>
    </row>
    <row r="695" spans="1:67" ht="13" customHeight="1">
      <c r="B695" s="135"/>
      <c r="C695" s="135"/>
      <c r="D695" s="136" t="s">
        <v>919</v>
      </c>
      <c r="E695" s="135"/>
      <c r="F695" s="135"/>
      <c r="G695" s="135"/>
      <c r="H695" s="135"/>
      <c r="AE695" s="1506">
        <v>45797</v>
      </c>
      <c r="AF695" s="1506"/>
      <c r="AG695" s="1506"/>
      <c r="AH695" s="1506"/>
      <c r="AI695" s="1506"/>
    </row>
    <row r="696" spans="1:67" ht="13" customHeight="1">
      <c r="B696" s="135"/>
      <c r="C696" s="135"/>
      <c r="D696" s="317" t="s">
        <v>982</v>
      </c>
      <c r="E696" s="135"/>
      <c r="F696" s="135"/>
      <c r="G696" s="135"/>
      <c r="H696" s="135"/>
      <c r="AE696" s="1666">
        <v>45874</v>
      </c>
      <c r="AF696" s="1666"/>
      <c r="AG696" s="1666"/>
      <c r="AH696" s="1666"/>
      <c r="AI696" s="1666"/>
    </row>
    <row r="697" spans="1:67" ht="13" customHeight="1">
      <c r="B697" s="135"/>
      <c r="C697" s="135"/>
    </row>
    <row r="698" spans="1:67" ht="13" customHeight="1">
      <c r="B698" s="135"/>
      <c r="C698" s="135"/>
      <c r="D698" s="136" t="s">
        <v>815</v>
      </c>
      <c r="E698" s="135"/>
      <c r="F698" s="135"/>
      <c r="G698" s="135"/>
      <c r="H698" s="135"/>
      <c r="AE698" s="1506">
        <v>46036</v>
      </c>
      <c r="AF698" s="1506"/>
      <c r="AG698" s="1506"/>
      <c r="AH698" s="1506"/>
      <c r="AI698" s="1506"/>
    </row>
    <row r="699" spans="1:67" ht="13" customHeight="1">
      <c r="B699" s="135"/>
      <c r="C699" s="135"/>
      <c r="D699" s="136" t="s">
        <v>435</v>
      </c>
      <c r="E699" s="135"/>
      <c r="F699" s="135"/>
      <c r="G699" s="135"/>
      <c r="H699" s="135"/>
      <c r="AE699" s="1686">
        <f xml:space="preserve"> (80000000) / (155470363)</f>
        <v>0.51456752564474295</v>
      </c>
      <c r="AF699" s="1686"/>
      <c r="AG699" s="1686"/>
      <c r="AH699" s="1686"/>
      <c r="AI699" s="1686"/>
    </row>
    <row r="700" spans="1:67" ht="13" customHeight="1">
      <c r="B700" s="135"/>
      <c r="C700" s="135"/>
      <c r="D700" s="136" t="s">
        <v>436</v>
      </c>
      <c r="E700" s="135"/>
      <c r="F700" s="135"/>
      <c r="G700" s="135"/>
      <c r="H700" s="135"/>
      <c r="W700" s="1483" t="str">
        <f>H335</f>
        <v>California Municipal Finance Authority (CMFA)</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5" t="s">
        <v>668</v>
      </c>
      <c r="AF702" s="1415"/>
      <c r="AZ702" s="4" t="s">
        <v>323</v>
      </c>
    </row>
    <row r="703" spans="1:67" ht="13"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388</v>
      </c>
      <c r="C714" s="1495"/>
      <c r="D714" s="1495"/>
      <c r="E714" s="1495"/>
      <c r="F714" s="1496"/>
      <c r="G714" s="1494" t="s">
        <v>284</v>
      </c>
      <c r="H714" s="1495"/>
      <c r="I714" s="1495"/>
      <c r="J714" s="1496"/>
      <c r="K714" s="1511" t="s">
        <v>1678</v>
      </c>
      <c r="L714" s="1512"/>
      <c r="M714" s="1512"/>
      <c r="N714" s="1513"/>
      <c r="O714" s="1494" t="s">
        <v>447</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335"/>
      <c r="CJ717" s="1337"/>
      <c r="CK717" s="121" t="s">
        <v>475</v>
      </c>
      <c r="CL717" s="122"/>
      <c r="CM717" s="1335"/>
      <c r="CN717" s="1337"/>
      <c r="CO717" s="3"/>
      <c r="CP717" s="1795" t="s">
        <v>632</v>
      </c>
      <c r="CQ717" s="1796"/>
      <c r="CR717" s="1796"/>
      <c r="CS717" s="1796"/>
      <c r="CT717" s="1797"/>
      <c r="CU717" s="1488" t="s">
        <v>324</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632</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632</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 customHeight="1">
      <c r="A718" s="4"/>
      <c r="B718" s="1355" t="s">
        <v>324</v>
      </c>
      <c r="C718" s="1356"/>
      <c r="D718" s="1356"/>
      <c r="E718" s="1356"/>
      <c r="F718" s="1357"/>
      <c r="G718" s="1364">
        <v>52</v>
      </c>
      <c r="H718" s="1365"/>
      <c r="I718" s="1365"/>
      <c r="J718" s="1366"/>
      <c r="K718" s="1605">
        <v>596</v>
      </c>
      <c r="L718" s="1606"/>
      <c r="M718" s="1606"/>
      <c r="N718" s="1607"/>
      <c r="O718" s="1468">
        <v>860</v>
      </c>
      <c r="P718" s="1469"/>
      <c r="Q718" s="1469"/>
      <c r="R718" s="1469"/>
      <c r="S718" s="1470"/>
      <c r="T718" s="1468">
        <v>39</v>
      </c>
      <c r="U718" s="1469"/>
      <c r="V718" s="1469"/>
      <c r="W718" s="1470"/>
      <c r="X718" s="1358">
        <f t="shared" ref="X718:X741" si="8">O718+T718</f>
        <v>899</v>
      </c>
      <c r="Y718" s="1359"/>
      <c r="Z718" s="1359"/>
      <c r="AA718" s="1359"/>
      <c r="AB718" s="1360"/>
      <c r="AC718" s="1614">
        <v>0.3</v>
      </c>
      <c r="AD718" s="1615"/>
      <c r="AE718" s="1615"/>
      <c r="AF718" s="1615"/>
      <c r="AG718" s="1616"/>
      <c r="AH718" s="1361">
        <f>IF($AC718&gt;0,($X718/$AZ718), "")</f>
        <v>0.3000667556742323</v>
      </c>
      <c r="AI718" s="1362"/>
      <c r="AJ718" s="1363"/>
      <c r="AK718" s="1355" t="s">
        <v>591</v>
      </c>
      <c r="AL718" s="1356"/>
      <c r="AM718" s="1356"/>
      <c r="AN718" s="1356"/>
      <c r="AO718" s="1357"/>
      <c r="AP718" s="3"/>
      <c r="AQ718" s="3"/>
      <c r="AR718" s="3"/>
      <c r="AS718" s="3"/>
      <c r="AZ718" s="118">
        <f t="shared" ref="AZ718:AZ752" si="9">IF($G718=0,"N/A",VLOOKUP($T$189,TC_Rent,(MATCH($B718,bedrooms,FALSE)),FALSE))</f>
        <v>2996</v>
      </c>
      <c r="BA718" s="3"/>
      <c r="BB718" s="3"/>
      <c r="BC718" s="3"/>
      <c r="BD718" s="3"/>
      <c r="BE718" s="204"/>
      <c r="BF718" s="293">
        <f t="shared" ref="BF718:BF752" si="10">G718</f>
        <v>52</v>
      </c>
      <c r="BG718" s="297">
        <f t="shared" ref="BG718:BG752" si="11">IF($BF$753=0,0,BF718/$BF$753)</f>
        <v>0.21757322175732219</v>
      </c>
      <c r="BH718" s="298">
        <f t="shared" ref="BH718:BH752" si="12">IF(BG718=0,"",BG718*AC718)</f>
        <v>6.5271966527196648E-2</v>
      </c>
      <c r="BI718" s="3"/>
      <c r="BJ718" s="3"/>
      <c r="BK718" s="3"/>
      <c r="BL718" s="3"/>
      <c r="BM718" s="3"/>
      <c r="BN718" s="3"/>
      <c r="BS718" s="293">
        <f t="shared" ref="BS718:BS752" si="13">G718</f>
        <v>52</v>
      </c>
      <c r="BT718" s="297">
        <f t="shared" ref="BT718:BT752" si="14">IF($BS$753=0,0,BS718/$BS$753)</f>
        <v>0.21757322175732219</v>
      </c>
      <c r="BU718" s="298">
        <f t="shared" ref="BU718:BU752" si="15">IF(BT718=0,"",BT718*AH718)</f>
        <v>6.5286490774309966E-2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52</v>
      </c>
      <c r="CN718" s="1337"/>
      <c r="CO718" s="3"/>
      <c r="CP718" s="1332">
        <f t="shared" ref="CP718:CP752" si="18">IF(B718="SRO/Studio",G718,0)</f>
        <v>0</v>
      </c>
      <c r="CQ718" s="1333"/>
      <c r="CR718" s="1333"/>
      <c r="CS718" s="1333"/>
      <c r="CT718" s="1334"/>
      <c r="CU718" s="1354">
        <f t="shared" ref="CU718:CU752" si="19">IF(B718="1 Bedroom",G718,0)</f>
        <v>52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52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860</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324</v>
      </c>
      <c r="C719" s="1356"/>
      <c r="D719" s="1356"/>
      <c r="E719" s="1356"/>
      <c r="F719" s="1357"/>
      <c r="G719" s="1364">
        <v>2</v>
      </c>
      <c r="H719" s="1365"/>
      <c r="I719" s="1365"/>
      <c r="J719" s="1366"/>
      <c r="K719" s="1605">
        <v>596</v>
      </c>
      <c r="L719" s="1606"/>
      <c r="M719" s="1606"/>
      <c r="N719" s="1607"/>
      <c r="O719" s="1468">
        <v>1459</v>
      </c>
      <c r="P719" s="1469"/>
      <c r="Q719" s="1469"/>
      <c r="R719" s="1469"/>
      <c r="S719" s="1470"/>
      <c r="T719" s="1468">
        <v>39</v>
      </c>
      <c r="U719" s="1469"/>
      <c r="V719" s="1469"/>
      <c r="W719" s="1470"/>
      <c r="X719" s="1358">
        <f t="shared" si="8"/>
        <v>1498</v>
      </c>
      <c r="Y719" s="1359"/>
      <c r="Z719" s="1359"/>
      <c r="AA719" s="1359"/>
      <c r="AB719" s="1360"/>
      <c r="AC719" s="1614">
        <v>0.5</v>
      </c>
      <c r="AD719" s="1615"/>
      <c r="AE719" s="1615"/>
      <c r="AF719" s="1615"/>
      <c r="AG719" s="1616"/>
      <c r="AH719" s="1361">
        <f t="shared" ref="AH719:AH752" si="36">IF($AC719&gt;0,($X719/$AZ719), "")</f>
        <v>0.5</v>
      </c>
      <c r="AI719" s="1362"/>
      <c r="AJ719" s="1363"/>
      <c r="AK719" s="1355" t="s">
        <v>591</v>
      </c>
      <c r="AL719" s="1356"/>
      <c r="AM719" s="1356"/>
      <c r="AN719" s="1356"/>
      <c r="AO719" s="1357"/>
      <c r="AP719" s="3"/>
      <c r="AQ719" s="3"/>
      <c r="AR719" s="3"/>
      <c r="AS719" s="3"/>
      <c r="AZ719" s="118">
        <f t="shared" si="9"/>
        <v>2996</v>
      </c>
      <c r="BA719" s="3"/>
      <c r="BB719" s="3"/>
      <c r="BC719" s="3"/>
      <c r="BD719" s="3"/>
      <c r="BE719" s="204"/>
      <c r="BF719" s="294">
        <f t="shared" si="10"/>
        <v>2</v>
      </c>
      <c r="BG719" s="297">
        <f t="shared" si="11"/>
        <v>8.368200836820083E-3</v>
      </c>
      <c r="BH719" s="298">
        <f t="shared" si="12"/>
        <v>4.1841004184100415E-3</v>
      </c>
      <c r="BI719" s="3"/>
      <c r="BJ719" s="3"/>
      <c r="BK719" s="3"/>
      <c r="BL719" s="3"/>
      <c r="BM719" s="3"/>
      <c r="BN719" s="3"/>
      <c r="BS719" s="294">
        <f t="shared" si="13"/>
        <v>2</v>
      </c>
      <c r="BT719" s="297">
        <f t="shared" si="14"/>
        <v>8.368200836820083E-3</v>
      </c>
      <c r="BU719" s="298">
        <f t="shared" si="15"/>
        <v>4.1841004184100415E-3</v>
      </c>
      <c r="CC719" s="3"/>
      <c r="CD719" s="3"/>
      <c r="CE719" s="3"/>
      <c r="CF719" s="3"/>
      <c r="CG719" s="1351">
        <f t="shared" ref="CG719:CG752" si="37">IF(AND(AC719&lt;=0.5,AC719&gt;=0.36),1,0)</f>
        <v>1</v>
      </c>
      <c r="CH719" s="1353"/>
      <c r="CI719" s="1335">
        <f t="shared" ref="CI719:CI752" si="38">IF(CG719=1,G719,0)</f>
        <v>2</v>
      </c>
      <c r="CJ719" s="1337"/>
      <c r="CK719" s="1351">
        <f t="shared" si="16"/>
        <v>0</v>
      </c>
      <c r="CL719" s="1353"/>
      <c r="CM719" s="1335">
        <f t="shared" si="17"/>
        <v>0</v>
      </c>
      <c r="CN719" s="1337"/>
      <c r="CO719" s="3"/>
      <c r="CP719" s="1332">
        <f t="shared" si="18"/>
        <v>0</v>
      </c>
      <c r="CQ719" s="1333"/>
      <c r="CR719" s="1333"/>
      <c r="CS719" s="1333"/>
      <c r="CT719" s="1334"/>
      <c r="CU719" s="1354">
        <f t="shared" si="19"/>
        <v>2</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1459</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324</v>
      </c>
      <c r="C720" s="1356"/>
      <c r="D720" s="1356"/>
      <c r="E720" s="1356"/>
      <c r="F720" s="1357"/>
      <c r="G720" s="1364">
        <v>2</v>
      </c>
      <c r="H720" s="1365"/>
      <c r="I720" s="1365"/>
      <c r="J720" s="1366"/>
      <c r="K720" s="1605">
        <v>596</v>
      </c>
      <c r="L720" s="1606"/>
      <c r="M720" s="1606"/>
      <c r="N720" s="1607"/>
      <c r="O720" s="1468">
        <v>1759</v>
      </c>
      <c r="P720" s="1469"/>
      <c r="Q720" s="1469"/>
      <c r="R720" s="1469"/>
      <c r="S720" s="1470"/>
      <c r="T720" s="1468">
        <v>39</v>
      </c>
      <c r="U720" s="1469"/>
      <c r="V720" s="1469"/>
      <c r="W720" s="1470"/>
      <c r="X720" s="1358">
        <f t="shared" si="8"/>
        <v>1798</v>
      </c>
      <c r="Y720" s="1359"/>
      <c r="Z720" s="1359"/>
      <c r="AA720" s="1359"/>
      <c r="AB720" s="1360"/>
      <c r="AC720" s="1614">
        <v>0.6</v>
      </c>
      <c r="AD720" s="1615"/>
      <c r="AE720" s="1615"/>
      <c r="AF720" s="1615"/>
      <c r="AG720" s="1616"/>
      <c r="AH720" s="1361">
        <f t="shared" si="36"/>
        <v>0.6001335113484646</v>
      </c>
      <c r="AI720" s="1362"/>
      <c r="AJ720" s="1363"/>
      <c r="AK720" s="1355" t="s">
        <v>591</v>
      </c>
      <c r="AL720" s="1356"/>
      <c r="AM720" s="1356"/>
      <c r="AN720" s="1356"/>
      <c r="AO720" s="1357"/>
      <c r="AP720" s="3"/>
      <c r="AQ720" s="3"/>
      <c r="AR720" s="3"/>
      <c r="AS720" s="3"/>
      <c r="AZ720" s="118">
        <f t="shared" si="9"/>
        <v>2996</v>
      </c>
      <c r="BA720" s="3"/>
      <c r="BB720" s="3"/>
      <c r="BC720" s="3"/>
      <c r="BD720" s="3"/>
      <c r="BE720" s="204"/>
      <c r="BF720" s="294">
        <f t="shared" si="10"/>
        <v>2</v>
      </c>
      <c r="BG720" s="297">
        <f t="shared" si="11"/>
        <v>8.368200836820083E-3</v>
      </c>
      <c r="BH720" s="298">
        <f t="shared" si="12"/>
        <v>5.0209205020920493E-3</v>
      </c>
      <c r="BI720" s="3"/>
      <c r="BJ720" s="3"/>
      <c r="BK720" s="3"/>
      <c r="BL720" s="3"/>
      <c r="BM720" s="3"/>
      <c r="BN720" s="3"/>
      <c r="BS720" s="294">
        <f t="shared" si="13"/>
        <v>2</v>
      </c>
      <c r="BT720" s="297">
        <f t="shared" si="14"/>
        <v>8.368200836820083E-3</v>
      </c>
      <c r="BU720" s="298">
        <f t="shared" si="15"/>
        <v>5.022037751869996E-3</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1759</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324</v>
      </c>
      <c r="C721" s="1356"/>
      <c r="D721" s="1356"/>
      <c r="E721" s="1356"/>
      <c r="F721" s="1357"/>
      <c r="G721" s="1364">
        <v>58</v>
      </c>
      <c r="H721" s="1365"/>
      <c r="I721" s="1365"/>
      <c r="J721" s="1366"/>
      <c r="K721" s="1605">
        <v>596</v>
      </c>
      <c r="L721" s="1606"/>
      <c r="M721" s="1606"/>
      <c r="N721" s="1607"/>
      <c r="O721" s="1468">
        <v>2059</v>
      </c>
      <c r="P721" s="1469"/>
      <c r="Q721" s="1469"/>
      <c r="R721" s="1469"/>
      <c r="S721" s="1470"/>
      <c r="T721" s="1468">
        <v>39</v>
      </c>
      <c r="U721" s="1469"/>
      <c r="V721" s="1469"/>
      <c r="W721" s="1470"/>
      <c r="X721" s="1358">
        <f t="shared" si="8"/>
        <v>2098</v>
      </c>
      <c r="Y721" s="1359"/>
      <c r="Z721" s="1359"/>
      <c r="AA721" s="1359"/>
      <c r="AB721" s="1360"/>
      <c r="AC721" s="1614">
        <v>0.7</v>
      </c>
      <c r="AD721" s="1615"/>
      <c r="AE721" s="1615"/>
      <c r="AF721" s="1615"/>
      <c r="AG721" s="1616"/>
      <c r="AH721" s="1361">
        <f t="shared" si="36"/>
        <v>0.7002670226969292</v>
      </c>
      <c r="AI721" s="1362"/>
      <c r="AJ721" s="1363"/>
      <c r="AK721" s="1355" t="s">
        <v>591</v>
      </c>
      <c r="AL721" s="1356"/>
      <c r="AM721" s="1356"/>
      <c r="AN721" s="1356"/>
      <c r="AO721" s="1357"/>
      <c r="AP721" s="3"/>
      <c r="AQ721" s="3"/>
      <c r="AR721" s="3"/>
      <c r="AS721" s="3"/>
      <c r="AY721" s="116"/>
      <c r="AZ721" s="118">
        <f t="shared" si="9"/>
        <v>2996</v>
      </c>
      <c r="BA721" s="3"/>
      <c r="BB721" s="3"/>
      <c r="BC721" s="3"/>
      <c r="BD721" s="3"/>
      <c r="BE721" s="204"/>
      <c r="BF721" s="294">
        <f t="shared" si="10"/>
        <v>58</v>
      </c>
      <c r="BG721" s="297">
        <f t="shared" si="11"/>
        <v>0.24267782426778242</v>
      </c>
      <c r="BH721" s="298">
        <f t="shared" si="12"/>
        <v>0.16987447698744768</v>
      </c>
      <c r="BI721" s="3"/>
      <c r="BJ721" s="3"/>
      <c r="BK721" s="3"/>
      <c r="BL721" s="3"/>
      <c r="BM721" s="3"/>
      <c r="BN721" s="3"/>
      <c r="BS721" s="294">
        <f t="shared" si="13"/>
        <v>58</v>
      </c>
      <c r="BT721" s="297">
        <f t="shared" si="14"/>
        <v>0.24267782426778242</v>
      </c>
      <c r="BU721" s="298">
        <f t="shared" si="15"/>
        <v>0.16993927747456858</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58</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2059</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163</v>
      </c>
      <c r="C722" s="1356"/>
      <c r="D722" s="1356"/>
      <c r="E722" s="1356"/>
      <c r="F722" s="1357"/>
      <c r="G722" s="1364">
        <v>2</v>
      </c>
      <c r="H722" s="1365"/>
      <c r="I722" s="1365"/>
      <c r="J722" s="1366"/>
      <c r="K722" s="1605">
        <v>841</v>
      </c>
      <c r="L722" s="1606"/>
      <c r="M722" s="1606"/>
      <c r="N722" s="1607"/>
      <c r="O722" s="1468">
        <v>1038</v>
      </c>
      <c r="P722" s="1469"/>
      <c r="Q722" s="1469"/>
      <c r="R722" s="1469"/>
      <c r="S722" s="1470"/>
      <c r="T722" s="1468">
        <v>41</v>
      </c>
      <c r="U722" s="1469"/>
      <c r="V722" s="1469"/>
      <c r="W722" s="1470"/>
      <c r="X722" s="1358">
        <f t="shared" si="8"/>
        <v>1079</v>
      </c>
      <c r="Y722" s="1359"/>
      <c r="Z722" s="1359"/>
      <c r="AA722" s="1359"/>
      <c r="AB722" s="1360"/>
      <c r="AC722" s="1614">
        <v>0.3</v>
      </c>
      <c r="AD722" s="1615"/>
      <c r="AE722" s="1615"/>
      <c r="AF722" s="1615"/>
      <c r="AG722" s="1616"/>
      <c r="AH722" s="1361">
        <f t="shared" si="36"/>
        <v>0.30005561735261399</v>
      </c>
      <c r="AI722" s="1362"/>
      <c r="AJ722" s="1363"/>
      <c r="AK722" s="1355" t="s">
        <v>591</v>
      </c>
      <c r="AL722" s="1356"/>
      <c r="AM722" s="1356"/>
      <c r="AN722" s="1356"/>
      <c r="AO722" s="1357"/>
      <c r="AP722" s="3"/>
      <c r="AQ722" s="3"/>
      <c r="AR722" s="3"/>
      <c r="AS722" s="3"/>
      <c r="AY722" s="116"/>
      <c r="AZ722" s="118">
        <f t="shared" si="9"/>
        <v>3596</v>
      </c>
      <c r="BA722" s="3"/>
      <c r="BB722" s="3"/>
      <c r="BC722" s="3"/>
      <c r="BD722" s="3"/>
      <c r="BE722" s="204"/>
      <c r="BF722" s="294">
        <f t="shared" si="10"/>
        <v>2</v>
      </c>
      <c r="BG722" s="297">
        <f t="shared" si="11"/>
        <v>8.368200836820083E-3</v>
      </c>
      <c r="BH722" s="298">
        <f t="shared" si="12"/>
        <v>2.5104602510460246E-3</v>
      </c>
      <c r="BI722" s="3"/>
      <c r="BJ722" s="3"/>
      <c r="BK722" s="3"/>
      <c r="BL722" s="3"/>
      <c r="BM722" s="3"/>
      <c r="BN722" s="3"/>
      <c r="BS722" s="294">
        <f t="shared" si="13"/>
        <v>2</v>
      </c>
      <c r="BT722" s="297">
        <f t="shared" si="14"/>
        <v>8.368200836820083E-3</v>
      </c>
      <c r="BU722" s="298">
        <f t="shared" si="15"/>
        <v>2.5109256682227109E-3</v>
      </c>
      <c r="CC722" s="3"/>
      <c r="CD722" s="3"/>
      <c r="CE722" s="3"/>
      <c r="CF722" s="3"/>
      <c r="CG722" s="1351">
        <f t="shared" si="37"/>
        <v>0</v>
      </c>
      <c r="CH722" s="1353"/>
      <c r="CI722" s="1335">
        <f t="shared" si="38"/>
        <v>0</v>
      </c>
      <c r="CJ722" s="1337"/>
      <c r="CK722" s="1351">
        <f t="shared" si="16"/>
        <v>1</v>
      </c>
      <c r="CL722" s="1353"/>
      <c r="CM722" s="1335">
        <f t="shared" si="17"/>
        <v>2</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2</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1038</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163</v>
      </c>
      <c r="C723" s="1356"/>
      <c r="D723" s="1356"/>
      <c r="E723" s="1356"/>
      <c r="F723" s="1357"/>
      <c r="G723" s="1364">
        <v>2</v>
      </c>
      <c r="H723" s="1365"/>
      <c r="I723" s="1365"/>
      <c r="J723" s="1366"/>
      <c r="K723" s="1605">
        <v>841</v>
      </c>
      <c r="L723" s="1606"/>
      <c r="M723" s="1606"/>
      <c r="N723" s="1607"/>
      <c r="O723" s="1468">
        <v>1757</v>
      </c>
      <c r="P723" s="1469"/>
      <c r="Q723" s="1469"/>
      <c r="R723" s="1469"/>
      <c r="S723" s="1470"/>
      <c r="T723" s="1468">
        <v>41</v>
      </c>
      <c r="U723" s="1469"/>
      <c r="V723" s="1469"/>
      <c r="W723" s="1470"/>
      <c r="X723" s="1358">
        <f t="shared" si="8"/>
        <v>1798</v>
      </c>
      <c r="Y723" s="1359"/>
      <c r="Z723" s="1359"/>
      <c r="AA723" s="1359"/>
      <c r="AB723" s="1360"/>
      <c r="AC723" s="1614">
        <v>0.5</v>
      </c>
      <c r="AD723" s="1615"/>
      <c r="AE723" s="1615"/>
      <c r="AF723" s="1615"/>
      <c r="AG723" s="1616"/>
      <c r="AH723" s="1361">
        <f t="shared" si="36"/>
        <v>0.5</v>
      </c>
      <c r="AI723" s="1362"/>
      <c r="AJ723" s="1363"/>
      <c r="AK723" s="1355" t="s">
        <v>591</v>
      </c>
      <c r="AL723" s="1356"/>
      <c r="AM723" s="1356"/>
      <c r="AN723" s="1356"/>
      <c r="AO723" s="1357"/>
      <c r="AP723" s="3"/>
      <c r="AQ723" s="3"/>
      <c r="AR723" s="3"/>
      <c r="AS723" s="3"/>
      <c r="AY723" s="116"/>
      <c r="AZ723" s="118">
        <f t="shared" si="9"/>
        <v>3596</v>
      </c>
      <c r="BA723" s="3"/>
      <c r="BB723" s="3"/>
      <c r="BC723" s="3"/>
      <c r="BD723" s="3"/>
      <c r="BE723" s="204"/>
      <c r="BF723" s="294">
        <f t="shared" si="10"/>
        <v>2</v>
      </c>
      <c r="BG723" s="297">
        <f t="shared" si="11"/>
        <v>8.368200836820083E-3</v>
      </c>
      <c r="BH723" s="298">
        <f t="shared" si="12"/>
        <v>4.1841004184100415E-3</v>
      </c>
      <c r="BI723" s="3"/>
      <c r="BJ723" s="3"/>
      <c r="BK723" s="3"/>
      <c r="BL723" s="3"/>
      <c r="BM723" s="3"/>
      <c r="BN723" s="3"/>
      <c r="BS723" s="294">
        <f t="shared" si="13"/>
        <v>2</v>
      </c>
      <c r="BT723" s="297">
        <f t="shared" si="14"/>
        <v>8.368200836820083E-3</v>
      </c>
      <c r="BU723" s="298">
        <f t="shared" si="15"/>
        <v>4.1841004184100415E-3</v>
      </c>
      <c r="CC723" s="3"/>
      <c r="CD723" s="3"/>
      <c r="CE723" s="3"/>
      <c r="CF723" s="3"/>
      <c r="CG723" s="1351">
        <f t="shared" si="37"/>
        <v>1</v>
      </c>
      <c r="CH723" s="1353"/>
      <c r="CI723" s="1335">
        <f t="shared" si="38"/>
        <v>2</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2</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1757</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163</v>
      </c>
      <c r="C724" s="1356"/>
      <c r="D724" s="1356"/>
      <c r="E724" s="1356"/>
      <c r="F724" s="1357"/>
      <c r="G724" s="1364">
        <v>2</v>
      </c>
      <c r="H724" s="1365"/>
      <c r="I724" s="1365"/>
      <c r="J724" s="1366"/>
      <c r="K724" s="1605">
        <v>841</v>
      </c>
      <c r="L724" s="1606"/>
      <c r="M724" s="1606"/>
      <c r="N724" s="1607"/>
      <c r="O724" s="1468">
        <v>2117</v>
      </c>
      <c r="P724" s="1469"/>
      <c r="Q724" s="1469"/>
      <c r="R724" s="1469"/>
      <c r="S724" s="1470"/>
      <c r="T724" s="1468">
        <v>41</v>
      </c>
      <c r="U724" s="1469"/>
      <c r="V724" s="1469"/>
      <c r="W724" s="1470"/>
      <c r="X724" s="1358">
        <f t="shared" si="8"/>
        <v>2158</v>
      </c>
      <c r="Y724" s="1359"/>
      <c r="Z724" s="1359"/>
      <c r="AA724" s="1359"/>
      <c r="AB724" s="1360"/>
      <c r="AC724" s="1614">
        <v>0.6</v>
      </c>
      <c r="AD724" s="1615"/>
      <c r="AE724" s="1615"/>
      <c r="AF724" s="1615"/>
      <c r="AG724" s="1616"/>
      <c r="AH724" s="1361">
        <f t="shared" si="36"/>
        <v>0.60011123470522798</v>
      </c>
      <c r="AI724" s="1362"/>
      <c r="AJ724" s="1363"/>
      <c r="AK724" s="1355" t="s">
        <v>591</v>
      </c>
      <c r="AL724" s="1356"/>
      <c r="AM724" s="1356"/>
      <c r="AN724" s="1356"/>
      <c r="AO724" s="1357"/>
      <c r="AP724" s="3"/>
      <c r="AQ724" s="3"/>
      <c r="AR724" s="3"/>
      <c r="AS724" s="3"/>
      <c r="AY724" s="116"/>
      <c r="AZ724" s="118">
        <f t="shared" si="9"/>
        <v>3596</v>
      </c>
      <c r="BA724" s="3"/>
      <c r="BB724" s="3"/>
      <c r="BC724" s="3"/>
      <c r="BD724" s="3"/>
      <c r="BE724" s="204"/>
      <c r="BF724" s="294">
        <f t="shared" si="10"/>
        <v>2</v>
      </c>
      <c r="BG724" s="297">
        <f t="shared" si="11"/>
        <v>8.368200836820083E-3</v>
      </c>
      <c r="BH724" s="298">
        <f t="shared" si="12"/>
        <v>5.0209205020920493E-3</v>
      </c>
      <c r="BI724" s="3"/>
      <c r="BJ724" s="3"/>
      <c r="BK724" s="3"/>
      <c r="BL724" s="3"/>
      <c r="BM724" s="3"/>
      <c r="BN724" s="3"/>
      <c r="BS724" s="294">
        <f t="shared" si="13"/>
        <v>2</v>
      </c>
      <c r="BT724" s="297">
        <f t="shared" si="14"/>
        <v>8.368200836820083E-3</v>
      </c>
      <c r="BU724" s="298">
        <f t="shared" si="15"/>
        <v>5.0218513364454218E-3</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2</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2117</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163</v>
      </c>
      <c r="C725" s="1356"/>
      <c r="D725" s="1356"/>
      <c r="E725" s="1356"/>
      <c r="F725" s="1357"/>
      <c r="G725" s="1364">
        <v>56</v>
      </c>
      <c r="H725" s="1365"/>
      <c r="I725" s="1365"/>
      <c r="J725" s="1366"/>
      <c r="K725" s="1605">
        <v>841</v>
      </c>
      <c r="L725" s="1606"/>
      <c r="M725" s="1606"/>
      <c r="N725" s="1607"/>
      <c r="O725" s="1468">
        <v>2477</v>
      </c>
      <c r="P725" s="1469"/>
      <c r="Q725" s="1469"/>
      <c r="R725" s="1469"/>
      <c r="S725" s="1470"/>
      <c r="T725" s="1468">
        <v>41</v>
      </c>
      <c r="U725" s="1469"/>
      <c r="V725" s="1469"/>
      <c r="W725" s="1470"/>
      <c r="X725" s="1358">
        <f t="shared" si="8"/>
        <v>2518</v>
      </c>
      <c r="Y725" s="1359"/>
      <c r="Z725" s="1359"/>
      <c r="AA725" s="1359"/>
      <c r="AB725" s="1360"/>
      <c r="AC725" s="1614">
        <v>0.7</v>
      </c>
      <c r="AD725" s="1615"/>
      <c r="AE725" s="1615"/>
      <c r="AF725" s="1615"/>
      <c r="AG725" s="1616"/>
      <c r="AH725" s="1361">
        <f t="shared" si="36"/>
        <v>0.70022246941045607</v>
      </c>
      <c r="AI725" s="1362"/>
      <c r="AJ725" s="1363"/>
      <c r="AK725" s="1355" t="s">
        <v>591</v>
      </c>
      <c r="AL725" s="1356"/>
      <c r="AM725" s="1356"/>
      <c r="AN725" s="1356"/>
      <c r="AO725" s="1357"/>
      <c r="AP725" s="3"/>
      <c r="AQ725" s="3"/>
      <c r="AR725" s="3"/>
      <c r="AS725" s="3"/>
      <c r="AY725" s="1085"/>
      <c r="AZ725" s="118">
        <f t="shared" si="9"/>
        <v>3596</v>
      </c>
      <c r="BA725" s="3"/>
      <c r="BB725" s="3"/>
      <c r="BC725" s="3"/>
      <c r="BD725" s="3"/>
      <c r="BE725" s="204"/>
      <c r="BF725" s="294">
        <f t="shared" si="10"/>
        <v>56</v>
      </c>
      <c r="BG725" s="297">
        <f t="shared" si="11"/>
        <v>0.23430962343096234</v>
      </c>
      <c r="BH725" s="298">
        <f t="shared" si="12"/>
        <v>0.16401673640167364</v>
      </c>
      <c r="BI725" s="3"/>
      <c r="BJ725" s="3"/>
      <c r="BK725" s="3"/>
      <c r="BL725" s="3"/>
      <c r="BM725" s="3"/>
      <c r="BN725" s="3"/>
      <c r="BS725" s="294">
        <f t="shared" si="13"/>
        <v>56</v>
      </c>
      <c r="BT725" s="297">
        <f t="shared" si="14"/>
        <v>0.23430962343096234</v>
      </c>
      <c r="BU725" s="298">
        <f t="shared" si="15"/>
        <v>0.16406886312546251</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56</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2477</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164</v>
      </c>
      <c r="C726" s="1356"/>
      <c r="D726" s="1356"/>
      <c r="E726" s="1356"/>
      <c r="F726" s="1357"/>
      <c r="G726" s="1364">
        <v>2</v>
      </c>
      <c r="H726" s="1365"/>
      <c r="I726" s="1365"/>
      <c r="J726" s="1366"/>
      <c r="K726" s="1605">
        <v>1173</v>
      </c>
      <c r="L726" s="1606"/>
      <c r="M726" s="1606"/>
      <c r="N726" s="1607"/>
      <c r="O726" s="1468">
        <v>1197</v>
      </c>
      <c r="P726" s="1469"/>
      <c r="Q726" s="1469"/>
      <c r="R726" s="1469"/>
      <c r="S726" s="1470"/>
      <c r="T726" s="1468">
        <v>49</v>
      </c>
      <c r="U726" s="1469"/>
      <c r="V726" s="1469"/>
      <c r="W726" s="1470"/>
      <c r="X726" s="1358">
        <f t="shared" si="8"/>
        <v>1246</v>
      </c>
      <c r="Y726" s="1359"/>
      <c r="Z726" s="1359"/>
      <c r="AA726" s="1359"/>
      <c r="AB726" s="1360"/>
      <c r="AC726" s="1614">
        <v>0.3</v>
      </c>
      <c r="AD726" s="1615"/>
      <c r="AE726" s="1615"/>
      <c r="AF726" s="1615"/>
      <c r="AG726" s="1616"/>
      <c r="AH726" s="1361">
        <f t="shared" si="36"/>
        <v>0.29995185363505056</v>
      </c>
      <c r="AI726" s="1362"/>
      <c r="AJ726" s="1363"/>
      <c r="AK726" s="1355" t="s">
        <v>591</v>
      </c>
      <c r="AL726" s="1356"/>
      <c r="AM726" s="1356"/>
      <c r="AN726" s="1356"/>
      <c r="AO726" s="1357"/>
      <c r="AP726" s="3"/>
      <c r="AQ726" s="3"/>
      <c r="AR726" s="3"/>
      <c r="AS726" s="3"/>
      <c r="AY726" s="1085"/>
      <c r="AZ726" s="118">
        <f t="shared" si="9"/>
        <v>4154</v>
      </c>
      <c r="BA726" s="3"/>
      <c r="BB726" s="3"/>
      <c r="BC726" s="3"/>
      <c r="BD726" s="3"/>
      <c r="BE726" s="204"/>
      <c r="BF726" s="294">
        <f t="shared" si="10"/>
        <v>2</v>
      </c>
      <c r="BG726" s="297">
        <f t="shared" si="11"/>
        <v>8.368200836820083E-3</v>
      </c>
      <c r="BH726" s="298">
        <f t="shared" si="12"/>
        <v>2.5104602510460246E-3</v>
      </c>
      <c r="BI726" s="3"/>
      <c r="BJ726" s="3"/>
      <c r="BK726" s="3"/>
      <c r="BL726" s="3"/>
      <c r="BM726" s="3"/>
      <c r="BN726" s="3"/>
      <c r="BS726" s="294">
        <f t="shared" si="13"/>
        <v>2</v>
      </c>
      <c r="BT726" s="297">
        <f t="shared" si="14"/>
        <v>8.368200836820083E-3</v>
      </c>
      <c r="BU726" s="298">
        <f t="shared" si="15"/>
        <v>2.5100573525945651E-3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2</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2</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2</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1197</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164</v>
      </c>
      <c r="C727" s="1356"/>
      <c r="D727" s="1356"/>
      <c r="E727" s="1356"/>
      <c r="F727" s="1357"/>
      <c r="G727" s="1364">
        <v>2</v>
      </c>
      <c r="H727" s="1365"/>
      <c r="I727" s="1365"/>
      <c r="J727" s="1366"/>
      <c r="K727" s="1605">
        <v>1173</v>
      </c>
      <c r="L727" s="1606"/>
      <c r="M727" s="1606"/>
      <c r="N727" s="1607"/>
      <c r="O727" s="1468">
        <v>2028</v>
      </c>
      <c r="P727" s="1469"/>
      <c r="Q727" s="1469"/>
      <c r="R727" s="1469"/>
      <c r="S727" s="1470"/>
      <c r="T727" s="1468">
        <v>49</v>
      </c>
      <c r="U727" s="1469"/>
      <c r="V727" s="1469"/>
      <c r="W727" s="1470"/>
      <c r="X727" s="1358">
        <f t="shared" si="8"/>
        <v>2077</v>
      </c>
      <c r="Y727" s="1359"/>
      <c r="Z727" s="1359"/>
      <c r="AA727" s="1359"/>
      <c r="AB727" s="1360"/>
      <c r="AC727" s="1614">
        <v>0.5</v>
      </c>
      <c r="AD727" s="1615"/>
      <c r="AE727" s="1615"/>
      <c r="AF727" s="1615"/>
      <c r="AG727" s="1616"/>
      <c r="AH727" s="1361">
        <f t="shared" si="36"/>
        <v>0.5</v>
      </c>
      <c r="AI727" s="1362"/>
      <c r="AJ727" s="1363"/>
      <c r="AK727" s="1355" t="s">
        <v>591</v>
      </c>
      <c r="AL727" s="1356"/>
      <c r="AM727" s="1356"/>
      <c r="AN727" s="1356"/>
      <c r="AO727" s="1357"/>
      <c r="AP727" s="3"/>
      <c r="AQ727" s="3"/>
      <c r="AR727" s="3"/>
      <c r="AS727" s="3"/>
      <c r="AY727" s="1085"/>
      <c r="AZ727" s="118">
        <f t="shared" si="9"/>
        <v>4154</v>
      </c>
      <c r="BA727" s="3"/>
      <c r="BB727" s="3"/>
      <c r="BC727" s="3"/>
      <c r="BD727" s="3"/>
      <c r="BE727" s="204"/>
      <c r="BF727" s="294">
        <f t="shared" si="10"/>
        <v>2</v>
      </c>
      <c r="BG727" s="297">
        <f t="shared" si="11"/>
        <v>8.368200836820083E-3</v>
      </c>
      <c r="BH727" s="298">
        <f t="shared" si="12"/>
        <v>4.1841004184100415E-3</v>
      </c>
      <c r="BI727" s="3"/>
      <c r="BJ727" s="3"/>
      <c r="BK727" s="3"/>
      <c r="BL727" s="3"/>
      <c r="BM727" s="3"/>
      <c r="BN727" s="3"/>
      <c r="BS727" s="294">
        <f t="shared" si="13"/>
        <v>2</v>
      </c>
      <c r="BT727" s="297">
        <f t="shared" si="14"/>
        <v>8.368200836820083E-3</v>
      </c>
      <c r="BU727" s="298">
        <f t="shared" si="15"/>
        <v>4.1841004184100415E-3</v>
      </c>
      <c r="BV727" s="3"/>
      <c r="BW727" s="3"/>
      <c r="BX727" s="3"/>
      <c r="BY727" s="3"/>
      <c r="BZ727" s="3"/>
      <c r="CA727" s="3"/>
      <c r="CB727" s="3"/>
      <c r="CC727" s="3"/>
      <c r="CE727" s="3"/>
      <c r="CF727" s="3"/>
      <c r="CG727" s="1351">
        <f t="shared" si="37"/>
        <v>1</v>
      </c>
      <c r="CH727" s="1353"/>
      <c r="CI727" s="1335">
        <f t="shared" si="38"/>
        <v>2</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2028</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t="s">
        <v>164</v>
      </c>
      <c r="C728" s="1356"/>
      <c r="D728" s="1356"/>
      <c r="E728" s="1356"/>
      <c r="F728" s="1357"/>
      <c r="G728" s="1364">
        <v>2</v>
      </c>
      <c r="H728" s="1365"/>
      <c r="I728" s="1365"/>
      <c r="J728" s="1366"/>
      <c r="K728" s="1605">
        <v>1173</v>
      </c>
      <c r="L728" s="1606"/>
      <c r="M728" s="1606"/>
      <c r="N728" s="1607"/>
      <c r="O728" s="1468">
        <v>2444</v>
      </c>
      <c r="P728" s="1469"/>
      <c r="Q728" s="1469"/>
      <c r="R728" s="1469"/>
      <c r="S728" s="1470"/>
      <c r="T728" s="1468">
        <v>49</v>
      </c>
      <c r="U728" s="1469"/>
      <c r="V728" s="1469"/>
      <c r="W728" s="1470"/>
      <c r="X728" s="1358">
        <f t="shared" si="8"/>
        <v>2493</v>
      </c>
      <c r="Y728" s="1359"/>
      <c r="Z728" s="1359"/>
      <c r="AA728" s="1359"/>
      <c r="AB728" s="1360"/>
      <c r="AC728" s="1614">
        <v>0.6</v>
      </c>
      <c r="AD728" s="1615"/>
      <c r="AE728" s="1615"/>
      <c r="AF728" s="1615"/>
      <c r="AG728" s="1616"/>
      <c r="AH728" s="1361">
        <f t="shared" si="36"/>
        <v>0.60014443909484838</v>
      </c>
      <c r="AI728" s="1362"/>
      <c r="AJ728" s="1363"/>
      <c r="AK728" s="1355" t="s">
        <v>591</v>
      </c>
      <c r="AL728" s="1356"/>
      <c r="AM728" s="1356"/>
      <c r="AN728" s="1356"/>
      <c r="AO728" s="1357"/>
      <c r="AP728" s="3"/>
      <c r="AQ728" s="3"/>
      <c r="AR728" s="3"/>
      <c r="AS728" s="3"/>
      <c r="AY728" s="1085"/>
      <c r="AZ728" s="118">
        <f t="shared" si="9"/>
        <v>4154</v>
      </c>
      <c r="BA728" s="3"/>
      <c r="BB728" s="3"/>
      <c r="BC728" s="3"/>
      <c r="BD728" s="3"/>
      <c r="BE728" s="204"/>
      <c r="BF728" s="294">
        <f t="shared" si="10"/>
        <v>2</v>
      </c>
      <c r="BG728" s="297">
        <f t="shared" si="11"/>
        <v>8.368200836820083E-3</v>
      </c>
      <c r="BH728" s="298">
        <f t="shared" si="12"/>
        <v>5.0209205020920493E-3</v>
      </c>
      <c r="BI728" s="3"/>
      <c r="BJ728" s="3"/>
      <c r="BK728" s="3"/>
      <c r="BL728" s="3"/>
      <c r="BM728" s="3"/>
      <c r="BN728" s="3"/>
      <c r="BS728" s="294">
        <f t="shared" si="13"/>
        <v>2</v>
      </c>
      <c r="BT728" s="297">
        <f t="shared" si="14"/>
        <v>8.368200836820083E-3</v>
      </c>
      <c r="BU728" s="298">
        <f t="shared" si="15"/>
        <v>5.0221291974464292E-3</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2</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2444</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t="s">
        <v>164</v>
      </c>
      <c r="C729" s="1356"/>
      <c r="D729" s="1356"/>
      <c r="E729" s="1356"/>
      <c r="F729" s="1357"/>
      <c r="G729" s="1364">
        <v>57</v>
      </c>
      <c r="H729" s="1365"/>
      <c r="I729" s="1365"/>
      <c r="J729" s="1366"/>
      <c r="K729" s="1605">
        <v>1173</v>
      </c>
      <c r="L729" s="1606"/>
      <c r="M729" s="1606"/>
      <c r="N729" s="1607"/>
      <c r="O729" s="1468">
        <v>2859</v>
      </c>
      <c r="P729" s="1469"/>
      <c r="Q729" s="1469"/>
      <c r="R729" s="1469"/>
      <c r="S729" s="1470"/>
      <c r="T729" s="1468">
        <v>49</v>
      </c>
      <c r="U729" s="1469"/>
      <c r="V729" s="1469"/>
      <c r="W729" s="1470"/>
      <c r="X729" s="1358">
        <f t="shared" si="8"/>
        <v>2908</v>
      </c>
      <c r="Y729" s="1359"/>
      <c r="Z729" s="1359"/>
      <c r="AA729" s="1359"/>
      <c r="AB729" s="1360"/>
      <c r="AC729" s="1614">
        <v>0.7</v>
      </c>
      <c r="AD729" s="1615"/>
      <c r="AE729" s="1615"/>
      <c r="AF729" s="1615"/>
      <c r="AG729" s="1616"/>
      <c r="AH729" s="1361">
        <f t="shared" si="36"/>
        <v>0.7000481463649495</v>
      </c>
      <c r="AI729" s="1362"/>
      <c r="AJ729" s="1363"/>
      <c r="AK729" s="1355" t="s">
        <v>591</v>
      </c>
      <c r="AL729" s="1356"/>
      <c r="AM729" s="1356"/>
      <c r="AN729" s="1356"/>
      <c r="AO729" s="1357"/>
      <c r="AP729" s="3"/>
      <c r="AQ729" s="3"/>
      <c r="AR729" s="3"/>
      <c r="AS729" s="3"/>
      <c r="AY729" s="1085"/>
      <c r="AZ729" s="118">
        <f t="shared" si="9"/>
        <v>4154</v>
      </c>
      <c r="BA729" s="3"/>
      <c r="BB729" s="3"/>
      <c r="BC729" s="3"/>
      <c r="BD729" s="3"/>
      <c r="BE729" s="204"/>
      <c r="BF729" s="294">
        <f t="shared" si="10"/>
        <v>57</v>
      </c>
      <c r="BG729" s="297">
        <f t="shared" si="11"/>
        <v>0.2384937238493724</v>
      </c>
      <c r="BH729" s="298">
        <f t="shared" si="12"/>
        <v>0.16694560669456066</v>
      </c>
      <c r="BI729" s="3"/>
      <c r="BJ729" s="3"/>
      <c r="BK729" s="3"/>
      <c r="BL729" s="3"/>
      <c r="BM729" s="3"/>
      <c r="BN729" s="3"/>
      <c r="BS729" s="294">
        <f t="shared" si="13"/>
        <v>57</v>
      </c>
      <c r="BT729" s="297">
        <f t="shared" si="14"/>
        <v>0.2384937238493724</v>
      </c>
      <c r="BU729" s="298">
        <f t="shared" si="15"/>
        <v>0.1669570893004273</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57</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2859</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c r="C730" s="1356"/>
      <c r="D730" s="1356"/>
      <c r="E730" s="1356"/>
      <c r="F730" s="1357"/>
      <c r="G730" s="1364"/>
      <c r="H730" s="1365"/>
      <c r="I730" s="1365"/>
      <c r="J730" s="1366"/>
      <c r="K730" s="1605"/>
      <c r="L730" s="1606"/>
      <c r="M730" s="1606"/>
      <c r="N730" s="1607"/>
      <c r="O730" s="1468"/>
      <c r="P730" s="1469"/>
      <c r="Q730" s="1469"/>
      <c r="R730" s="1469"/>
      <c r="S730" s="1470"/>
      <c r="T730" s="1468"/>
      <c r="U730" s="1469"/>
      <c r="V730" s="1469"/>
      <c r="W730" s="1470"/>
      <c r="X730" s="1358">
        <f t="shared" si="8"/>
        <v>0</v>
      </c>
      <c r="Y730" s="1359"/>
      <c r="Z730" s="1359"/>
      <c r="AA730" s="1359"/>
      <c r="AB730" s="1360"/>
      <c r="AC730" s="1614"/>
      <c r="AD730" s="1615"/>
      <c r="AE730" s="1615"/>
      <c r="AF730" s="1615"/>
      <c r="AG730" s="1616"/>
      <c r="AH730" s="1361" t="str">
        <f t="shared" si="36"/>
        <v/>
      </c>
      <c r="AI730" s="1362"/>
      <c r="AJ730" s="1363"/>
      <c r="AK730" s="1355"/>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c r="C731" s="1356"/>
      <c r="D731" s="1356"/>
      <c r="E731" s="1356"/>
      <c r="F731" s="1357"/>
      <c r="G731" s="1364"/>
      <c r="H731" s="1365"/>
      <c r="I731" s="1365"/>
      <c r="J731" s="1366"/>
      <c r="K731" s="1605"/>
      <c r="L731" s="1606"/>
      <c r="M731" s="1606"/>
      <c r="N731" s="1607"/>
      <c r="O731" s="1468"/>
      <c r="P731" s="1469"/>
      <c r="Q731" s="1469"/>
      <c r="R731" s="1469"/>
      <c r="S731" s="1470"/>
      <c r="T731" s="1468"/>
      <c r="U731" s="1469"/>
      <c r="V731" s="1469"/>
      <c r="W731" s="1470"/>
      <c r="X731" s="1358">
        <f t="shared" si="8"/>
        <v>0</v>
      </c>
      <c r="Y731" s="1359"/>
      <c r="Z731" s="1359"/>
      <c r="AA731" s="1359"/>
      <c r="AB731" s="1360"/>
      <c r="AC731" s="1614"/>
      <c r="AD731" s="1615"/>
      <c r="AE731" s="1615"/>
      <c r="AF731" s="1615"/>
      <c r="AG731" s="1616"/>
      <c r="AH731" s="1361" t="str">
        <f t="shared" si="36"/>
        <v/>
      </c>
      <c r="AI731" s="1362"/>
      <c r="AJ731" s="1363"/>
      <c r="AK731" s="1355"/>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c r="C732" s="1356"/>
      <c r="D732" s="1356"/>
      <c r="E732" s="1356"/>
      <c r="F732" s="1357"/>
      <c r="G732" s="1364"/>
      <c r="H732" s="1365"/>
      <c r="I732" s="1365"/>
      <c r="J732" s="1366"/>
      <c r="K732" s="1605"/>
      <c r="L732" s="1606"/>
      <c r="M732" s="1606"/>
      <c r="N732" s="1607"/>
      <c r="O732" s="1468"/>
      <c r="P732" s="1469"/>
      <c r="Q732" s="1469"/>
      <c r="R732" s="1469"/>
      <c r="S732" s="1470"/>
      <c r="T732" s="1468"/>
      <c r="U732" s="1469"/>
      <c r="V732" s="1469"/>
      <c r="W732" s="1470"/>
      <c r="X732" s="1358">
        <f t="shared" si="8"/>
        <v>0</v>
      </c>
      <c r="Y732" s="1359"/>
      <c r="Z732" s="1359"/>
      <c r="AA732" s="1359"/>
      <c r="AB732" s="1360"/>
      <c r="AC732" s="1614"/>
      <c r="AD732" s="1615"/>
      <c r="AE732" s="1615"/>
      <c r="AF732" s="1615"/>
      <c r="AG732" s="1616"/>
      <c r="AH732" s="1361" t="str">
        <f t="shared" si="36"/>
        <v/>
      </c>
      <c r="AI732" s="1362"/>
      <c r="AJ732" s="1363"/>
      <c r="AK732" s="1355"/>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c r="C733" s="1356"/>
      <c r="D733" s="1356"/>
      <c r="E733" s="1356"/>
      <c r="F733" s="1357"/>
      <c r="G733" s="1364"/>
      <c r="H733" s="1365"/>
      <c r="I733" s="1365"/>
      <c r="J733" s="1366"/>
      <c r="K733" s="1605"/>
      <c r="L733" s="1606"/>
      <c r="M733" s="1606"/>
      <c r="N733" s="1607"/>
      <c r="O733" s="1468"/>
      <c r="P733" s="1469"/>
      <c r="Q733" s="1469"/>
      <c r="R733" s="1469"/>
      <c r="S733" s="1470"/>
      <c r="T733" s="1468"/>
      <c r="U733" s="1469"/>
      <c r="V733" s="1469"/>
      <c r="W733" s="1470"/>
      <c r="X733" s="1358">
        <f t="shared" si="8"/>
        <v>0</v>
      </c>
      <c r="Y733" s="1359"/>
      <c r="Z733" s="1359"/>
      <c r="AA733" s="1359"/>
      <c r="AB733" s="1360"/>
      <c r="AC733" s="1614"/>
      <c r="AD733" s="1615"/>
      <c r="AE733" s="1615"/>
      <c r="AF733" s="1615"/>
      <c r="AG733" s="1616"/>
      <c r="AH733" s="1361" t="str">
        <f t="shared" si="36"/>
        <v/>
      </c>
      <c r="AI733" s="1362"/>
      <c r="AJ733" s="1363"/>
      <c r="AK733" s="1355"/>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5"/>
      <c r="L734" s="1606"/>
      <c r="M734" s="1606"/>
      <c r="N734" s="1607"/>
      <c r="O734" s="1468"/>
      <c r="P734" s="1469"/>
      <c r="Q734" s="1469"/>
      <c r="R734" s="1469"/>
      <c r="S734" s="1470"/>
      <c r="T734" s="1468"/>
      <c r="U734" s="1469"/>
      <c r="V734" s="1469"/>
      <c r="W734" s="1470"/>
      <c r="X734" s="1358">
        <f t="shared" si="8"/>
        <v>0</v>
      </c>
      <c r="Y734" s="1359"/>
      <c r="Z734" s="1359"/>
      <c r="AA734" s="1359"/>
      <c r="AB734" s="1360"/>
      <c r="AC734" s="1614"/>
      <c r="AD734" s="1615"/>
      <c r="AE734" s="1615"/>
      <c r="AF734" s="1615"/>
      <c r="AG734" s="1616"/>
      <c r="AH734" s="1361" t="str">
        <f t="shared" si="36"/>
        <v/>
      </c>
      <c r="AI734" s="1362"/>
      <c r="AJ734" s="1363"/>
      <c r="AK734" s="1355"/>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5"/>
      <c r="L735" s="1606"/>
      <c r="M735" s="1606"/>
      <c r="N735" s="1607"/>
      <c r="O735" s="1468"/>
      <c r="P735" s="1469"/>
      <c r="Q735" s="1469"/>
      <c r="R735" s="1469"/>
      <c r="S735" s="1470"/>
      <c r="T735" s="1468"/>
      <c r="U735" s="1469"/>
      <c r="V735" s="1469"/>
      <c r="W735" s="1470"/>
      <c r="X735" s="1358">
        <f t="shared" si="8"/>
        <v>0</v>
      </c>
      <c r="Y735" s="1359"/>
      <c r="Z735" s="1359"/>
      <c r="AA735" s="1359"/>
      <c r="AB735" s="1360"/>
      <c r="AC735" s="1614"/>
      <c r="AD735" s="1615"/>
      <c r="AE735" s="1615"/>
      <c r="AF735" s="1615"/>
      <c r="AG735" s="1616"/>
      <c r="AH735" s="1361" t="str">
        <f t="shared" si="36"/>
        <v/>
      </c>
      <c r="AI735" s="1362"/>
      <c r="AJ735" s="1363"/>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5"/>
      <c r="L736" s="1606"/>
      <c r="M736" s="1606"/>
      <c r="N736" s="1607"/>
      <c r="O736" s="1468"/>
      <c r="P736" s="1469"/>
      <c r="Q736" s="1469"/>
      <c r="R736" s="1469"/>
      <c r="S736" s="1470"/>
      <c r="T736" s="1468"/>
      <c r="U736" s="1469"/>
      <c r="V736" s="1469"/>
      <c r="W736" s="1470"/>
      <c r="X736" s="1358">
        <f t="shared" si="8"/>
        <v>0</v>
      </c>
      <c r="Y736" s="1359"/>
      <c r="Z736" s="1359"/>
      <c r="AA736" s="1359"/>
      <c r="AB736" s="1360"/>
      <c r="AC736" s="1614"/>
      <c r="AD736" s="1615"/>
      <c r="AE736" s="1615"/>
      <c r="AF736" s="1615"/>
      <c r="AG736" s="1616"/>
      <c r="AH736" s="1361" t="str">
        <f t="shared" si="36"/>
        <v/>
      </c>
      <c r="AI736" s="1362"/>
      <c r="AJ736" s="1363"/>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5"/>
      <c r="L737" s="1606"/>
      <c r="M737" s="1606"/>
      <c r="N737" s="1607"/>
      <c r="O737" s="1468"/>
      <c r="P737" s="1469"/>
      <c r="Q737" s="1469"/>
      <c r="R737" s="1469"/>
      <c r="S737" s="1470"/>
      <c r="T737" s="1468"/>
      <c r="U737" s="1469"/>
      <c r="V737" s="1469"/>
      <c r="W737" s="1470"/>
      <c r="X737" s="1358">
        <f t="shared" si="8"/>
        <v>0</v>
      </c>
      <c r="Y737" s="1359"/>
      <c r="Z737" s="1359"/>
      <c r="AA737" s="1359"/>
      <c r="AB737" s="1360"/>
      <c r="AC737" s="1614"/>
      <c r="AD737" s="1615"/>
      <c r="AE737" s="1615"/>
      <c r="AF737" s="1615"/>
      <c r="AG737" s="1616"/>
      <c r="AH737" s="1361" t="str">
        <f t="shared" si="36"/>
        <v/>
      </c>
      <c r="AI737" s="1362"/>
      <c r="AJ737" s="1363"/>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5"/>
      <c r="L738" s="1606"/>
      <c r="M738" s="1606"/>
      <c r="N738" s="1607"/>
      <c r="O738" s="1468"/>
      <c r="P738" s="1469"/>
      <c r="Q738" s="1469"/>
      <c r="R738" s="1469"/>
      <c r="S738" s="1470"/>
      <c r="T738" s="1468"/>
      <c r="U738" s="1469"/>
      <c r="V738" s="1469"/>
      <c r="W738" s="1470"/>
      <c r="X738" s="1358">
        <f t="shared" si="8"/>
        <v>0</v>
      </c>
      <c r="Y738" s="1359"/>
      <c r="Z738" s="1359"/>
      <c r="AA738" s="1359"/>
      <c r="AB738" s="1360"/>
      <c r="AC738" s="1614"/>
      <c r="AD738" s="1615"/>
      <c r="AE738" s="1615"/>
      <c r="AF738" s="1615"/>
      <c r="AG738" s="1616"/>
      <c r="AH738" s="1361" t="str">
        <f t="shared" si="36"/>
        <v/>
      </c>
      <c r="AI738" s="1362"/>
      <c r="AJ738" s="1363"/>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5"/>
      <c r="L739" s="1606"/>
      <c r="M739" s="1606"/>
      <c r="N739" s="1607"/>
      <c r="O739" s="1468"/>
      <c r="P739" s="1469"/>
      <c r="Q739" s="1469"/>
      <c r="R739" s="1469"/>
      <c r="S739" s="1470"/>
      <c r="T739" s="1468"/>
      <c r="U739" s="1469"/>
      <c r="V739" s="1469"/>
      <c r="W739" s="1470"/>
      <c r="X739" s="1358">
        <f t="shared" si="8"/>
        <v>0</v>
      </c>
      <c r="Y739" s="1359"/>
      <c r="Z739" s="1359"/>
      <c r="AA739" s="1359"/>
      <c r="AB739" s="1360"/>
      <c r="AC739" s="1614"/>
      <c r="AD739" s="1615"/>
      <c r="AE739" s="1615"/>
      <c r="AF739" s="1615"/>
      <c r="AG739" s="1616"/>
      <c r="AH739" s="1361" t="str">
        <f t="shared" si="36"/>
        <v/>
      </c>
      <c r="AI739" s="1362"/>
      <c r="AJ739" s="1363"/>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5"/>
      <c r="L740" s="1606"/>
      <c r="M740" s="1606"/>
      <c r="N740" s="1607"/>
      <c r="O740" s="1468"/>
      <c r="P740" s="1469"/>
      <c r="Q740" s="1469"/>
      <c r="R740" s="1469"/>
      <c r="S740" s="1470"/>
      <c r="T740" s="1468"/>
      <c r="U740" s="1469"/>
      <c r="V740" s="1469"/>
      <c r="W740" s="1470"/>
      <c r="X740" s="1358">
        <f t="shared" si="8"/>
        <v>0</v>
      </c>
      <c r="Y740" s="1359"/>
      <c r="Z740" s="1359"/>
      <c r="AA740" s="1359"/>
      <c r="AB740" s="1360"/>
      <c r="AC740" s="1614"/>
      <c r="AD740" s="1615"/>
      <c r="AE740" s="1615"/>
      <c r="AF740" s="1615"/>
      <c r="AG740" s="1616"/>
      <c r="AH740" s="1361" t="str">
        <f t="shared" si="36"/>
        <v/>
      </c>
      <c r="AI740" s="1362"/>
      <c r="AJ740" s="1363"/>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5"/>
      <c r="L741" s="1606"/>
      <c r="M741" s="1606"/>
      <c r="N741" s="1607"/>
      <c r="O741" s="1468"/>
      <c r="P741" s="1469"/>
      <c r="Q741" s="1469"/>
      <c r="R741" s="1469"/>
      <c r="S741" s="1470"/>
      <c r="T741" s="1468"/>
      <c r="U741" s="1469"/>
      <c r="V741" s="1469"/>
      <c r="W741" s="1470"/>
      <c r="X741" s="1358">
        <f t="shared" si="8"/>
        <v>0</v>
      </c>
      <c r="Y741" s="1359"/>
      <c r="Z741" s="1359"/>
      <c r="AA741" s="1359"/>
      <c r="AB741" s="1360"/>
      <c r="AC741" s="1614"/>
      <c r="AD741" s="1615"/>
      <c r="AE741" s="1615"/>
      <c r="AF741" s="1615"/>
      <c r="AG741" s="1616"/>
      <c r="AH741" s="1361" t="str">
        <f t="shared" si="36"/>
        <v/>
      </c>
      <c r="AI741" s="1362"/>
      <c r="AJ741" s="1363"/>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5"/>
      <c r="L742" s="1606"/>
      <c r="M742" s="1606"/>
      <c r="N742" s="1607"/>
      <c r="O742" s="1468"/>
      <c r="P742" s="1469"/>
      <c r="Q742" s="1469"/>
      <c r="R742" s="1469"/>
      <c r="S742" s="1470"/>
      <c r="T742" s="1468"/>
      <c r="U742" s="1469"/>
      <c r="V742" s="1469"/>
      <c r="W742" s="1470"/>
      <c r="X742" s="1358">
        <f t="shared" ref="X742:X751" si="39">O742+T742</f>
        <v>0</v>
      </c>
      <c r="Y742" s="1359"/>
      <c r="Z742" s="1359"/>
      <c r="AA742" s="1359"/>
      <c r="AB742" s="1360"/>
      <c r="AC742" s="1614"/>
      <c r="AD742" s="1615"/>
      <c r="AE742" s="1615"/>
      <c r="AF742" s="1615"/>
      <c r="AG742" s="1616"/>
      <c r="AH742" s="1361" t="str">
        <f t="shared" si="36"/>
        <v/>
      </c>
      <c r="AI742" s="1362"/>
      <c r="AJ742" s="1363"/>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5"/>
      <c r="L743" s="1606"/>
      <c r="M743" s="1606"/>
      <c r="N743" s="1607"/>
      <c r="O743" s="1468"/>
      <c r="P743" s="1469"/>
      <c r="Q743" s="1469"/>
      <c r="R743" s="1469"/>
      <c r="S743" s="1470"/>
      <c r="T743" s="1468"/>
      <c r="U743" s="1469"/>
      <c r="V743" s="1469"/>
      <c r="W743" s="1470"/>
      <c r="X743" s="1358">
        <f t="shared" si="39"/>
        <v>0</v>
      </c>
      <c r="Y743" s="1359"/>
      <c r="Z743" s="1359"/>
      <c r="AA743" s="1359"/>
      <c r="AB743" s="1360"/>
      <c r="AC743" s="1614"/>
      <c r="AD743" s="1615"/>
      <c r="AE743" s="1615"/>
      <c r="AF743" s="1615"/>
      <c r="AG743" s="1616"/>
      <c r="AH743" s="1361" t="str">
        <f t="shared" si="36"/>
        <v/>
      </c>
      <c r="AI743" s="1362"/>
      <c r="AJ743" s="1363"/>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5"/>
      <c r="L744" s="1606"/>
      <c r="M744" s="1606"/>
      <c r="N744" s="1607"/>
      <c r="O744" s="1468"/>
      <c r="P744" s="1469"/>
      <c r="Q744" s="1469"/>
      <c r="R744" s="1469"/>
      <c r="S744" s="1470"/>
      <c r="T744" s="1468"/>
      <c r="U744" s="1469"/>
      <c r="V744" s="1469"/>
      <c r="W744" s="1470"/>
      <c r="X744" s="1358">
        <f t="shared" si="39"/>
        <v>0</v>
      </c>
      <c r="Y744" s="1359"/>
      <c r="Z744" s="1359"/>
      <c r="AA744" s="1359"/>
      <c r="AB744" s="1360"/>
      <c r="AC744" s="1614"/>
      <c r="AD744" s="1615"/>
      <c r="AE744" s="1615"/>
      <c r="AF744" s="1615"/>
      <c r="AG744" s="1616"/>
      <c r="AH744" s="1361" t="str">
        <f t="shared" si="36"/>
        <v/>
      </c>
      <c r="AI744" s="1362"/>
      <c r="AJ744" s="1363"/>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5"/>
      <c r="L745" s="1606"/>
      <c r="M745" s="1606"/>
      <c r="N745" s="1607"/>
      <c r="O745" s="1468"/>
      <c r="P745" s="1469"/>
      <c r="Q745" s="1469"/>
      <c r="R745" s="1469"/>
      <c r="S745" s="1470"/>
      <c r="T745" s="1468"/>
      <c r="U745" s="1469"/>
      <c r="V745" s="1469"/>
      <c r="W745" s="1470"/>
      <c r="X745" s="1358">
        <f t="shared" si="39"/>
        <v>0</v>
      </c>
      <c r="Y745" s="1359"/>
      <c r="Z745" s="1359"/>
      <c r="AA745" s="1359"/>
      <c r="AB745" s="1360"/>
      <c r="AC745" s="1614"/>
      <c r="AD745" s="1615"/>
      <c r="AE745" s="1615"/>
      <c r="AF745" s="1615"/>
      <c r="AG745" s="1616"/>
      <c r="AH745" s="1361" t="str">
        <f t="shared" si="36"/>
        <v/>
      </c>
      <c r="AI745" s="1362"/>
      <c r="AJ745" s="1363"/>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5"/>
      <c r="L746" s="1606"/>
      <c r="M746" s="1606"/>
      <c r="N746" s="1607"/>
      <c r="O746" s="1468"/>
      <c r="P746" s="1469"/>
      <c r="Q746" s="1469"/>
      <c r="R746" s="1469"/>
      <c r="S746" s="1470"/>
      <c r="T746" s="1468"/>
      <c r="U746" s="1469"/>
      <c r="V746" s="1469"/>
      <c r="W746" s="1470"/>
      <c r="X746" s="1358">
        <f t="shared" si="39"/>
        <v>0</v>
      </c>
      <c r="Y746" s="1359"/>
      <c r="Z746" s="1359"/>
      <c r="AA746" s="1359"/>
      <c r="AB746" s="1360"/>
      <c r="AC746" s="1614"/>
      <c r="AD746" s="1615"/>
      <c r="AE746" s="1615"/>
      <c r="AF746" s="1615"/>
      <c r="AG746" s="1616"/>
      <c r="AH746" s="1361" t="str">
        <f t="shared" si="36"/>
        <v/>
      </c>
      <c r="AI746" s="1362"/>
      <c r="AJ746" s="1363"/>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5"/>
      <c r="L747" s="1606"/>
      <c r="M747" s="1606"/>
      <c r="N747" s="1607"/>
      <c r="O747" s="1468"/>
      <c r="P747" s="1469"/>
      <c r="Q747" s="1469"/>
      <c r="R747" s="1469"/>
      <c r="S747" s="1470"/>
      <c r="T747" s="1468"/>
      <c r="U747" s="1469"/>
      <c r="V747" s="1469"/>
      <c r="W747" s="1470"/>
      <c r="X747" s="1358">
        <f t="shared" si="39"/>
        <v>0</v>
      </c>
      <c r="Y747" s="1359"/>
      <c r="Z747" s="1359"/>
      <c r="AA747" s="1359"/>
      <c r="AB747" s="1360"/>
      <c r="AC747" s="1614"/>
      <c r="AD747" s="1615"/>
      <c r="AE747" s="1615"/>
      <c r="AF747" s="1615"/>
      <c r="AG747" s="1616"/>
      <c r="AH747" s="1361" t="str">
        <f t="shared" si="36"/>
        <v/>
      </c>
      <c r="AI747" s="1362"/>
      <c r="AJ747" s="1363"/>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5"/>
      <c r="L748" s="1606"/>
      <c r="M748" s="1606"/>
      <c r="N748" s="1607"/>
      <c r="O748" s="1468"/>
      <c r="P748" s="1469"/>
      <c r="Q748" s="1469"/>
      <c r="R748" s="1469"/>
      <c r="S748" s="1470"/>
      <c r="T748" s="1468"/>
      <c r="U748" s="1469"/>
      <c r="V748" s="1469"/>
      <c r="W748" s="1470"/>
      <c r="X748" s="1358">
        <f t="shared" si="39"/>
        <v>0</v>
      </c>
      <c r="Y748" s="1359"/>
      <c r="Z748" s="1359"/>
      <c r="AA748" s="1359"/>
      <c r="AB748" s="1360"/>
      <c r="AC748" s="1614"/>
      <c r="AD748" s="1615"/>
      <c r="AE748" s="1615"/>
      <c r="AF748" s="1615"/>
      <c r="AG748" s="1616"/>
      <c r="AH748" s="1361" t="str">
        <f t="shared" si="36"/>
        <v/>
      </c>
      <c r="AI748" s="1362"/>
      <c r="AJ748" s="1363"/>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5"/>
      <c r="L749" s="1606"/>
      <c r="M749" s="1606"/>
      <c r="N749" s="1607"/>
      <c r="O749" s="1468"/>
      <c r="P749" s="1469"/>
      <c r="Q749" s="1469"/>
      <c r="R749" s="1469"/>
      <c r="S749" s="1470"/>
      <c r="T749" s="1468"/>
      <c r="U749" s="1469"/>
      <c r="V749" s="1469"/>
      <c r="W749" s="1470"/>
      <c r="X749" s="1358">
        <f t="shared" si="39"/>
        <v>0</v>
      </c>
      <c r="Y749" s="1359"/>
      <c r="Z749" s="1359"/>
      <c r="AA749" s="1359"/>
      <c r="AB749" s="1360"/>
      <c r="AC749" s="1614"/>
      <c r="AD749" s="1615"/>
      <c r="AE749" s="1615"/>
      <c r="AF749" s="1615"/>
      <c r="AG749" s="1616"/>
      <c r="AH749" s="1361" t="str">
        <f t="shared" si="36"/>
        <v/>
      </c>
      <c r="AI749" s="1362"/>
      <c r="AJ749" s="1363"/>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5"/>
      <c r="L750" s="1606"/>
      <c r="M750" s="1606"/>
      <c r="N750" s="1607"/>
      <c r="O750" s="1468"/>
      <c r="P750" s="1469"/>
      <c r="Q750" s="1469"/>
      <c r="R750" s="1469"/>
      <c r="S750" s="1470"/>
      <c r="T750" s="1468"/>
      <c r="U750" s="1469"/>
      <c r="V750" s="1469"/>
      <c r="W750" s="1470"/>
      <c r="X750" s="1358">
        <f t="shared" si="39"/>
        <v>0</v>
      </c>
      <c r="Y750" s="1359"/>
      <c r="Z750" s="1359"/>
      <c r="AA750" s="1359"/>
      <c r="AB750" s="1360"/>
      <c r="AC750" s="1614"/>
      <c r="AD750" s="1615"/>
      <c r="AE750" s="1615"/>
      <c r="AF750" s="1615"/>
      <c r="AG750" s="1616"/>
      <c r="AH750" s="1361" t="str">
        <f t="shared" si="36"/>
        <v/>
      </c>
      <c r="AI750" s="1362"/>
      <c r="AJ750" s="1363"/>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5"/>
      <c r="L751" s="1606"/>
      <c r="M751" s="1606"/>
      <c r="N751" s="1607"/>
      <c r="O751" s="1468"/>
      <c r="P751" s="1469"/>
      <c r="Q751" s="1469"/>
      <c r="R751" s="1469"/>
      <c r="S751" s="1470"/>
      <c r="T751" s="1468"/>
      <c r="U751" s="1469"/>
      <c r="V751" s="1469"/>
      <c r="W751" s="1470"/>
      <c r="X751" s="1358">
        <f t="shared" si="39"/>
        <v>0</v>
      </c>
      <c r="Y751" s="1359"/>
      <c r="Z751" s="1359"/>
      <c r="AA751" s="1359"/>
      <c r="AB751" s="1360"/>
      <c r="AC751" s="1614"/>
      <c r="AD751" s="1615"/>
      <c r="AE751" s="1615"/>
      <c r="AF751" s="1615"/>
      <c r="AG751" s="1616"/>
      <c r="AH751" s="1361" t="str">
        <f t="shared" si="36"/>
        <v/>
      </c>
      <c r="AI751" s="1362"/>
      <c r="AJ751" s="1363"/>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5"/>
      <c r="L752" s="1606"/>
      <c r="M752" s="1606"/>
      <c r="N752" s="1607"/>
      <c r="O752" s="1468"/>
      <c r="P752" s="1469"/>
      <c r="Q752" s="1469"/>
      <c r="R752" s="1469"/>
      <c r="S752" s="1470"/>
      <c r="T752" s="1468"/>
      <c r="U752" s="1469"/>
      <c r="V752" s="1469"/>
      <c r="W752" s="1470"/>
      <c r="X752" s="1358">
        <f>O752+T752</f>
        <v>0</v>
      </c>
      <c r="Y752" s="1359"/>
      <c r="Z752" s="1359"/>
      <c r="AA752" s="1359"/>
      <c r="AB752" s="1360"/>
      <c r="AC752" s="1614"/>
      <c r="AD752" s="1615"/>
      <c r="AE752" s="1615"/>
      <c r="AF752" s="1615"/>
      <c r="AG752" s="1616"/>
      <c r="AH752" s="1361" t="str">
        <f t="shared" si="36"/>
        <v/>
      </c>
      <c r="AI752" s="1362"/>
      <c r="AJ752" s="1363"/>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18">
        <f>SUM(G718:G752)</f>
        <v>239</v>
      </c>
      <c r="H753" s="1719"/>
      <c r="I753" s="1719"/>
      <c r="J753" s="1720"/>
      <c r="K753" s="902" t="s">
        <v>124</v>
      </c>
      <c r="L753" s="5"/>
      <c r="M753" s="5"/>
      <c r="N753" s="46"/>
      <c r="O753" s="1358">
        <f>SUMPRODUCT(G718:G752,O718:O752)</f>
        <v>493415</v>
      </c>
      <c r="P753" s="1359"/>
      <c r="Q753" s="1359"/>
      <c r="R753" s="1359"/>
      <c r="S753" s="1360"/>
      <c r="T753"/>
      <c r="U753"/>
      <c r="V753"/>
      <c r="W753"/>
      <c r="X753" s="904" t="s">
        <v>899</v>
      </c>
      <c r="Y753" s="903"/>
      <c r="Z753" s="903"/>
      <c r="AA753" s="903"/>
      <c r="AB753" s="905"/>
      <c r="AC753" s="1618">
        <f>BH753</f>
        <v>0.598744769874477</v>
      </c>
      <c r="AD753" s="1619"/>
      <c r="AE753" s="1619"/>
      <c r="AF753" s="1619"/>
      <c r="AG753" s="1620"/>
      <c r="AH753" s="1618">
        <f>IFERROR(BU753,"")</f>
        <v>0.59889102323657761</v>
      </c>
      <c r="AI753" s="1619"/>
      <c r="AJ753" s="1620"/>
      <c r="AK753"/>
      <c r="AL753"/>
      <c r="AM753"/>
      <c r="AN753"/>
      <c r="AO753"/>
      <c r="AP753" s="205"/>
      <c r="AQ753" s="205"/>
      <c r="AR753" s="205"/>
      <c r="AS753" s="205"/>
      <c r="AT753"/>
      <c r="AU753"/>
      <c r="AV753"/>
      <c r="AW753"/>
      <c r="AX753"/>
      <c r="AY753"/>
      <c r="AZ753" s="34"/>
      <c r="BA753" s="34"/>
      <c r="BB753" s="34"/>
      <c r="BC753" s="34"/>
      <c r="BE753" s="290" t="s">
        <v>898</v>
      </c>
      <c r="BF753" s="299">
        <f>SUM(BF718:BF752)</f>
        <v>239</v>
      </c>
      <c r="BG753" s="300">
        <f>SUM(BG718:BG752)</f>
        <v>1.0000000000000002</v>
      </c>
      <c r="BH753" s="300">
        <f>SUM(BH718:BH752)</f>
        <v>0.598744769874477</v>
      </c>
      <c r="BI753"/>
      <c r="BJ753"/>
      <c r="BK753"/>
      <c r="BL753"/>
      <c r="BO753"/>
      <c r="BP753"/>
      <c r="BQ753"/>
      <c r="BR753"/>
      <c r="BS753" s="859">
        <f>SUM(BS718:BS752)</f>
        <v>239</v>
      </c>
      <c r="BT753" s="300">
        <f>SUM(BT718:BT752)</f>
        <v>1.0000000000000002</v>
      </c>
      <c r="BU753" s="300">
        <f>SUM(BU718:BU752)</f>
        <v>0.59889102323657761</v>
      </c>
      <c r="CI753" s="1351">
        <f>SUM(CI718:CJ752)</f>
        <v>6</v>
      </c>
      <c r="CJ753" s="1353"/>
      <c r="CM753" s="1351">
        <f>SUM(CM718:CN752)</f>
        <v>56</v>
      </c>
      <c r="CN753" s="1353"/>
      <c r="CP753" s="1351">
        <f>SUM(CP718:CT752)</f>
        <v>0</v>
      </c>
      <c r="CQ753" s="1352"/>
      <c r="CR753" s="1352"/>
      <c r="CS753" s="1352"/>
      <c r="CT753" s="1353"/>
      <c r="CU753" s="1367">
        <f>SUM(CU718:CY752)</f>
        <v>114</v>
      </c>
      <c r="CV753" s="1367"/>
      <c r="CW753" s="1367"/>
      <c r="CX753" s="1367"/>
      <c r="CY753" s="1367"/>
      <c r="CZ753" s="1367">
        <f>SUM(CZ718:DD752)</f>
        <v>62</v>
      </c>
      <c r="DA753" s="1367"/>
      <c r="DB753" s="1367"/>
      <c r="DC753" s="1367"/>
      <c r="DD753" s="1367"/>
      <c r="DE753" s="1367">
        <f>SUM(DE718:DI752)</f>
        <v>63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52</v>
      </c>
      <c r="EA753" s="1367"/>
      <c r="EB753" s="1367"/>
      <c r="EC753" s="1367"/>
      <c r="ED753" s="1367"/>
      <c r="EE753" s="1367">
        <f>SUM(EE718:EI752)</f>
        <v>2</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6137</v>
      </c>
      <c r="FF753" s="1367"/>
      <c r="FG753" s="1367"/>
      <c r="FH753" s="1367"/>
      <c r="FI753" s="1367"/>
      <c r="FJ753" s="1367">
        <f>SUM(FJ718:FN752)</f>
        <v>7389</v>
      </c>
      <c r="FK753" s="1367"/>
      <c r="FL753" s="1367"/>
      <c r="FM753" s="1367"/>
      <c r="FN753" s="1367"/>
      <c r="FO753" s="1367">
        <f>SUM(FO718:FS752)</f>
        <v>8528</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2" t="s">
        <v>1893</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1860</v>
      </c>
      <c r="DO754" s="1351">
        <f>CP753+CU753+CZ753+DE753+DJ753+DO753</f>
        <v>239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114</v>
      </c>
      <c r="CZ755" s="3"/>
      <c r="DA755" s="3"/>
      <c r="DB755" s="3"/>
      <c r="DC755" s="3"/>
      <c r="DD755" s="861">
        <f>CZ753*2</f>
        <v>124</v>
      </c>
      <c r="DE755" s="3"/>
      <c r="DF755" s="3"/>
      <c r="DG755" s="3"/>
      <c r="DH755" s="3"/>
      <c r="DI755" s="861">
        <f>DE753*3</f>
        <v>189</v>
      </c>
      <c r="DJ755" s="3"/>
      <c r="DK755" s="3"/>
      <c r="DL755" s="3"/>
      <c r="DM755" s="3"/>
      <c r="DN755" s="861">
        <f>DJ753*4</f>
        <v>0</v>
      </c>
      <c r="DO755" s="3"/>
      <c r="DP755" s="3"/>
      <c r="DQ755" s="3"/>
      <c r="DR755" s="3"/>
      <c r="DS755" s="861">
        <f>DO753*5</f>
        <v>0</v>
      </c>
      <c r="DU755" s="861">
        <f>CT755+CY755+DD755+DI755+DN755+DS755</f>
        <v>427</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7">
        <f>DU755</f>
        <v>427</v>
      </c>
      <c r="P756" s="1367"/>
      <c r="Q756" s="1367"/>
      <c r="R756" s="1367"/>
      <c r="S756" s="969"/>
      <c r="T756" s="969"/>
      <c r="U756" s="118" t="s">
        <v>1892</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591</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388</v>
      </c>
      <c r="K769" s="1495"/>
      <c r="L769" s="1495"/>
      <c r="M769" s="1495"/>
      <c r="N769" s="1496"/>
      <c r="O769" s="1603" t="s">
        <v>284</v>
      </c>
      <c r="P769" s="1603"/>
      <c r="Q769" s="1603"/>
      <c r="R769" s="1603"/>
      <c r="S769" s="1603"/>
      <c r="T769" s="1511" t="s">
        <v>1678</v>
      </c>
      <c r="U769" s="1512"/>
      <c r="V769" s="1512"/>
      <c r="W769" s="1513"/>
      <c r="X769" s="1494" t="s">
        <v>447</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3"/>
      <c r="P770" s="1603"/>
      <c r="Q770" s="1603"/>
      <c r="R770" s="1603"/>
      <c r="S770" s="1603"/>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3"/>
      <c r="P771" s="1603"/>
      <c r="Q771" s="1603"/>
      <c r="R771" s="1603"/>
      <c r="S771" s="1603"/>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4">
        <v>2</v>
      </c>
      <c r="P773" s="1464"/>
      <c r="Q773" s="1464"/>
      <c r="R773" s="1464"/>
      <c r="S773" s="1464"/>
      <c r="T773" s="1605">
        <v>841</v>
      </c>
      <c r="U773" s="1606"/>
      <c r="V773" s="1606"/>
      <c r="W773" s="1607"/>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05"/>
      <c r="U774" s="1606"/>
      <c r="V774" s="1606"/>
      <c r="W774" s="1607"/>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5"/>
      <c r="U775" s="1606"/>
      <c r="V775" s="1606"/>
      <c r="W775" s="1607"/>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05"/>
      <c r="U776" s="1606"/>
      <c r="V776" s="1606"/>
      <c r="W776" s="1607"/>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3" customHeight="1">
      <c r="B779" s="56"/>
      <c r="C779" s="56"/>
      <c r="D779" s="56"/>
      <c r="E779" s="56"/>
      <c r="F779" s="56"/>
      <c r="G779" s="6"/>
      <c r="H779" s="6"/>
      <c r="I779" s="6"/>
      <c r="J779" s="1390" t="s">
        <v>668</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388</v>
      </c>
      <c r="K783" s="1495"/>
      <c r="L783" s="1495"/>
      <c r="M783" s="1495"/>
      <c r="N783" s="1496"/>
      <c r="O783" s="1603" t="s">
        <v>284</v>
      </c>
      <c r="P783" s="1603"/>
      <c r="Q783" s="1603"/>
      <c r="R783" s="1603"/>
      <c r="S783" s="1603"/>
      <c r="T783" s="1511" t="s">
        <v>1678</v>
      </c>
      <c r="U783" s="1512"/>
      <c r="V783" s="1512"/>
      <c r="W783" s="1513"/>
      <c r="X783" s="1494" t="s">
        <v>447</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3"/>
      <c r="P784" s="1603"/>
      <c r="Q784" s="1603"/>
      <c r="R784" s="1603"/>
      <c r="S784" s="1603"/>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3"/>
      <c r="P785" s="1603"/>
      <c r="Q785" s="1603"/>
      <c r="R785" s="1603"/>
      <c r="S785" s="1603"/>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5"/>
      <c r="U787" s="1606"/>
      <c r="V787" s="1606"/>
      <c r="W787" s="1607"/>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5"/>
      <c r="U788" s="1606"/>
      <c r="V788" s="1606"/>
      <c r="W788" s="1607"/>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5"/>
      <c r="U789" s="1606"/>
      <c r="V789" s="1606"/>
      <c r="W789" s="1607"/>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5"/>
      <c r="U790" s="1606"/>
      <c r="V790" s="1606"/>
      <c r="W790" s="1607"/>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5"/>
      <c r="U791" s="1606"/>
      <c r="V791" s="1606"/>
      <c r="W791" s="1607"/>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5"/>
      <c r="U792" s="1606"/>
      <c r="V792" s="1606"/>
      <c r="W792" s="1607"/>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5"/>
      <c r="U793" s="1606"/>
      <c r="V793" s="1606"/>
      <c r="W793" s="1607"/>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5"/>
      <c r="U794" s="1606"/>
      <c r="V794" s="1606"/>
      <c r="W794" s="1607"/>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5"/>
      <c r="U795" s="1606"/>
      <c r="V795" s="1606"/>
      <c r="W795" s="1607"/>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5"/>
      <c r="U796" s="1606"/>
      <c r="V796" s="1606"/>
      <c r="W796" s="1607"/>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493415</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5920980</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114</v>
      </c>
      <c r="CV802" s="1349"/>
      <c r="CW802" s="1349"/>
      <c r="CX802" s="1349"/>
      <c r="CY802" s="1350"/>
      <c r="CZ802" s="1348">
        <f>CZ753+CZ777+CZ797</f>
        <v>64</v>
      </c>
      <c r="DA802" s="1349"/>
      <c r="DB802" s="1349"/>
      <c r="DC802" s="1349"/>
      <c r="DD802" s="1350"/>
      <c r="DE802" s="1348">
        <f>DE753+DE777+DE797</f>
        <v>63</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427</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3"/>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8"/>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c r="AA808" s="1520"/>
      <c r="AB808" s="1520"/>
      <c r="AC808" s="1520"/>
      <c r="AD808" s="1520"/>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24100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3525</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v>3525</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2750</v>
      </c>
      <c r="Q816" s="1644"/>
      <c r="R816" s="1644"/>
      <c r="S816" s="1644"/>
      <c r="T816" s="1644"/>
      <c r="U816" s="1644"/>
      <c r="V816" s="1644"/>
      <c r="W816" s="1644"/>
      <c r="X816" s="1644"/>
      <c r="Y816" s="1645"/>
      <c r="Z816" s="1475">
        <v>5000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36150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2">
        <f>Z817+Y801+Z809</f>
        <v>5957130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7" t="s">
        <v>126</v>
      </c>
      <c r="N823" s="1687"/>
      <c r="O823" s="1687"/>
      <c r="P823" s="1688"/>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617" t="s">
        <v>334</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3"/>
      <c r="E825" s="1483"/>
      <c r="F825" s="1483"/>
      <c r="G825" s="1483"/>
      <c r="H825" s="1483"/>
      <c r="I825" s="48"/>
      <c r="J825" s="48"/>
      <c r="K825" s="48"/>
      <c r="L825" s="49"/>
      <c r="M825" s="1601"/>
      <c r="N825" s="1601"/>
      <c r="O825" s="1601"/>
      <c r="P825" s="1601"/>
      <c r="Q825" s="1601">
        <v>1</v>
      </c>
      <c r="R825" s="1601"/>
      <c r="S825" s="1601"/>
      <c r="T825" s="1601"/>
      <c r="U825" s="1601">
        <v>1</v>
      </c>
      <c r="V825" s="1601"/>
      <c r="W825" s="1601"/>
      <c r="X825" s="1601"/>
      <c r="Y825" s="1601">
        <v>3</v>
      </c>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1"/>
      <c r="E826" s="1441"/>
      <c r="F826" s="1441"/>
      <c r="G826" s="1441"/>
      <c r="H826" s="1441"/>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1"/>
      <c r="E827" s="1441"/>
      <c r="F827" s="1441"/>
      <c r="G827" s="1441"/>
      <c r="H827" s="1441"/>
      <c r="I827" s="60"/>
      <c r="J827" s="60"/>
      <c r="K827" s="60"/>
      <c r="L827" s="61"/>
      <c r="M827" s="1601"/>
      <c r="N827" s="1601"/>
      <c r="O827" s="1601"/>
      <c r="P827" s="1601"/>
      <c r="Q827" s="1601">
        <v>3</v>
      </c>
      <c r="R827" s="1601"/>
      <c r="S827" s="1601"/>
      <c r="T827" s="1601"/>
      <c r="U827" s="1601">
        <v>3</v>
      </c>
      <c r="V827" s="1601"/>
      <c r="W827" s="1601"/>
      <c r="X827" s="1601"/>
      <c r="Y827" s="1601">
        <v>3</v>
      </c>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761</v>
      </c>
      <c r="D828" s="1441"/>
      <c r="E828" s="1441"/>
      <c r="F828" s="1441"/>
      <c r="G828" s="1441"/>
      <c r="H828" s="1441"/>
      <c r="I828" s="60"/>
      <c r="J828" s="60"/>
      <c r="K828" s="60"/>
      <c r="L828" s="61"/>
      <c r="M828" s="1601"/>
      <c r="N828" s="1601"/>
      <c r="O828" s="1601"/>
      <c r="P828" s="1601"/>
      <c r="Q828" s="1601">
        <v>2</v>
      </c>
      <c r="R828" s="1601"/>
      <c r="S828" s="1601"/>
      <c r="T828" s="1601"/>
      <c r="U828" s="1601">
        <v>2</v>
      </c>
      <c r="V828" s="1601"/>
      <c r="W828" s="1601"/>
      <c r="X828" s="1601"/>
      <c r="Y828" s="1601">
        <v>4</v>
      </c>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459</v>
      </c>
      <c r="D829" s="1441"/>
      <c r="E829" s="1441"/>
      <c r="F829" s="1441"/>
      <c r="G829" s="1441"/>
      <c r="H829" s="1441"/>
      <c r="I829" s="60"/>
      <c r="J829" s="60"/>
      <c r="K829" s="60"/>
      <c r="L829" s="61"/>
      <c r="M829" s="1601"/>
      <c r="N829" s="1601"/>
      <c r="O829" s="1601"/>
      <c r="P829" s="1601"/>
      <c r="Q829" s="1601">
        <v>32</v>
      </c>
      <c r="R829" s="1601"/>
      <c r="S829" s="1601"/>
      <c r="T829" s="1601"/>
      <c r="U829" s="1601">
        <v>34</v>
      </c>
      <c r="V829" s="1601"/>
      <c r="W829" s="1601"/>
      <c r="X829" s="1601"/>
      <c r="Y829" s="1601">
        <v>38</v>
      </c>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1" t="s">
        <v>782</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3" t="s">
        <v>2751</v>
      </c>
      <c r="G831" s="1644"/>
      <c r="H831" s="1644"/>
      <c r="I831" s="1644"/>
      <c r="J831" s="1644"/>
      <c r="K831" s="1644"/>
      <c r="L831" s="1644"/>
      <c r="M831" s="1601"/>
      <c r="N831" s="1601"/>
      <c r="O831" s="1601"/>
      <c r="P831" s="1601"/>
      <c r="Q831" s="1601">
        <v>1</v>
      </c>
      <c r="R831" s="1601"/>
      <c r="S831" s="1601"/>
      <c r="T831" s="1601"/>
      <c r="U831" s="1601">
        <v>1</v>
      </c>
      <c r="V831" s="1601"/>
      <c r="W831" s="1601"/>
      <c r="X831" s="1601"/>
      <c r="Y831" s="1601">
        <v>1</v>
      </c>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0">
        <f>SUM(M825:P831)</f>
        <v>0</v>
      </c>
      <c r="N832" s="1650"/>
      <c r="O832" s="1650"/>
      <c r="P832" s="1650"/>
      <c r="Q832" s="1650">
        <f>SUM(Q825:T831)</f>
        <v>39</v>
      </c>
      <c r="R832" s="1650"/>
      <c r="S832" s="1650"/>
      <c r="T832" s="1650"/>
      <c r="U832" s="1650">
        <f>SUM(U825:X831)</f>
        <v>41</v>
      </c>
      <c r="V832" s="1650"/>
      <c r="W832" s="1650"/>
      <c r="X832" s="1650"/>
      <c r="Y832" s="1650">
        <f>SUM(Y825:AB831)</f>
        <v>49</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2752</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39">
        <v>4600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39">
        <v>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39">
        <v>8000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39"/>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169</v>
      </c>
      <c r="K846" s="5"/>
      <c r="L846" s="5"/>
      <c r="M846" s="1643" t="s">
        <v>2753</v>
      </c>
      <c r="N846" s="1644"/>
      <c r="O846" s="1644"/>
      <c r="P846" s="1644"/>
      <c r="Q846" s="1644"/>
      <c r="R846" s="1644"/>
      <c r="S846" s="1644"/>
      <c r="T846" s="1644"/>
      <c r="U846" s="1644"/>
      <c r="V846" s="1645"/>
      <c r="W846" s="1639">
        <v>20210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2">
        <f>SUM(W842:W846)</f>
        <v>34810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343</v>
      </c>
      <c r="J849" s="1408" t="s">
        <v>344</v>
      </c>
      <c r="K849" s="1409"/>
      <c r="L849" s="1409"/>
      <c r="M849" s="1409"/>
      <c r="N849" s="1409"/>
      <c r="O849" s="1409"/>
      <c r="P849" s="1409"/>
      <c r="Q849" s="1409"/>
      <c r="R849" s="1409"/>
      <c r="S849" s="1409"/>
      <c r="T849" s="1409"/>
      <c r="U849" s="1409"/>
      <c r="V849" s="1411"/>
      <c r="W849" s="1475">
        <v>168700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3" customHeight="1">
      <c r="J852" s="45" t="s">
        <v>350</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3" customHeight="1">
      <c r="J853" s="45" t="s">
        <v>459</v>
      </c>
      <c r="K853" s="5"/>
      <c r="L853" s="5"/>
      <c r="M853" s="5"/>
      <c r="N853" s="5"/>
      <c r="O853" s="5"/>
      <c r="P853" s="5"/>
      <c r="Q853" s="5"/>
      <c r="R853" s="5"/>
      <c r="S853" s="5"/>
      <c r="T853" s="5"/>
      <c r="U853" s="5"/>
      <c r="V853" s="46"/>
      <c r="W853" s="1654">
        <v>180800</v>
      </c>
      <c r="X853" s="1654"/>
      <c r="Y853" s="1654"/>
      <c r="Z853" s="1654"/>
      <c r="AA853" s="1654"/>
      <c r="AB853" s="1654"/>
      <c r="AC853" s="1654"/>
      <c r="AZ853" s="30"/>
      <c r="BA853" s="30"/>
      <c r="BB853" s="14"/>
      <c r="BC853" s="14"/>
    </row>
    <row r="854" spans="3:55" ht="13" customHeight="1">
      <c r="J854" s="62" t="s">
        <v>620</v>
      </c>
      <c r="K854" s="5"/>
      <c r="L854" s="5"/>
      <c r="M854" s="5"/>
      <c r="N854" s="5"/>
      <c r="O854" s="5"/>
      <c r="P854" s="5"/>
      <c r="Q854" s="5"/>
      <c r="R854" s="5"/>
      <c r="S854" s="5"/>
      <c r="T854" s="5"/>
      <c r="U854" s="5"/>
      <c r="V854" s="46"/>
      <c r="W854" s="1654">
        <v>198800</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271</v>
      </c>
      <c r="W855" s="1655">
        <f>SUM(W851:W854)</f>
        <v>379600</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51">
        <v>115680</v>
      </c>
      <c r="X857" s="1652"/>
      <c r="Y857" s="1652"/>
      <c r="Z857" s="1652"/>
      <c r="AA857" s="1652"/>
      <c r="AB857" s="1652"/>
      <c r="AC857" s="1653"/>
      <c r="AD857" s="528"/>
      <c r="AZ857" s="34"/>
      <c r="BA857" s="34"/>
      <c r="BB857" s="34"/>
      <c r="BC857" s="34"/>
    </row>
    <row r="858" spans="3:55" ht="13" customHeight="1">
      <c r="C858" s="2" t="s">
        <v>346</v>
      </c>
      <c r="J858" s="121" t="s">
        <v>1654</v>
      </c>
      <c r="K858" s="5"/>
      <c r="L858" s="5"/>
      <c r="M858" s="5"/>
      <c r="N858" s="5"/>
      <c r="O858" s="5"/>
      <c r="P858" s="5"/>
      <c r="Q858" s="5"/>
      <c r="R858" s="5"/>
      <c r="S858" s="5"/>
      <c r="T858" s="1637">
        <v>3.5</v>
      </c>
      <c r="U858" s="1600"/>
      <c r="V858" s="1638"/>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1">
        <v>226100</v>
      </c>
      <c r="X859" s="1652"/>
      <c r="Y859" s="1652"/>
      <c r="Z859" s="1652"/>
      <c r="AA859" s="1652"/>
      <c r="AB859" s="1652"/>
      <c r="AC859" s="1653"/>
      <c r="AD859" s="533"/>
      <c r="AZ859" s="34"/>
      <c r="BA859" s="34"/>
      <c r="BB859" s="34"/>
      <c r="BC859" s="34"/>
    </row>
    <row r="860" spans="3:55" ht="13" customHeight="1">
      <c r="C860" s="2"/>
      <c r="J860" s="121" t="s">
        <v>1655</v>
      </c>
      <c r="K860" s="5"/>
      <c r="L860" s="5"/>
      <c r="M860" s="5"/>
      <c r="N860" s="5"/>
      <c r="O860" s="5"/>
      <c r="P860" s="5"/>
      <c r="Q860" s="5"/>
      <c r="R860" s="5"/>
      <c r="S860" s="5"/>
      <c r="T860" s="1637">
        <v>2</v>
      </c>
      <c r="U860" s="1600"/>
      <c r="V860" s="1638"/>
      <c r="W860" s="874"/>
      <c r="X860" s="875"/>
      <c r="Y860" s="875"/>
      <c r="Z860" s="875"/>
      <c r="AA860" s="875"/>
      <c r="AB860" s="875"/>
      <c r="AC860" s="876"/>
      <c r="AD860" s="533"/>
      <c r="AZ860" s="34"/>
      <c r="BA860" s="34"/>
      <c r="BB860" s="34"/>
      <c r="BC860" s="34"/>
    </row>
    <row r="861" spans="3:55" ht="13" customHeight="1">
      <c r="J861" s="45" t="s">
        <v>169</v>
      </c>
      <c r="K861" s="5"/>
      <c r="L861" s="5"/>
      <c r="M861" s="1643" t="s">
        <v>2754</v>
      </c>
      <c r="N861" s="1644"/>
      <c r="O861" s="1644"/>
      <c r="P861" s="1644"/>
      <c r="Q861" s="1644"/>
      <c r="R861" s="1644"/>
      <c r="S861" s="1644"/>
      <c r="T861" s="1644"/>
      <c r="U861" s="1644"/>
      <c r="V861" s="1645"/>
      <c r="W861" s="1651">
        <v>84600</v>
      </c>
      <c r="X861" s="1652"/>
      <c r="Y861" s="1652"/>
      <c r="Z861" s="1652"/>
      <c r="AA861" s="1652"/>
      <c r="AB861" s="1652"/>
      <c r="AC861" s="165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40">
        <f>SUM(W857:W861)</f>
        <v>426380</v>
      </c>
      <c r="X862" s="1641"/>
      <c r="Y862" s="1641"/>
      <c r="Z862" s="1641"/>
      <c r="AA862" s="1641"/>
      <c r="AB862" s="1641"/>
      <c r="AC862" s="1642"/>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51">
        <v>122910</v>
      </c>
      <c r="X863" s="1652"/>
      <c r="Y863" s="1652"/>
      <c r="Z863" s="1652"/>
      <c r="AA863" s="1652"/>
      <c r="AB863" s="1652"/>
      <c r="AC863" s="165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39">
        <v>12050</v>
      </c>
      <c r="X865" s="1639"/>
      <c r="Y865" s="1639"/>
      <c r="Z865" s="1639"/>
      <c r="AA865" s="1639"/>
      <c r="AB865" s="1639"/>
      <c r="AC865" s="1639"/>
      <c r="AU865" s="14"/>
      <c r="AZ865" s="34"/>
      <c r="BA865" s="34"/>
      <c r="BB865" s="34"/>
      <c r="BC865" s="34"/>
    </row>
    <row r="866" spans="3:55" ht="13" customHeight="1">
      <c r="J866" s="45" t="s">
        <v>522</v>
      </c>
      <c r="K866" s="5"/>
      <c r="L866" s="5"/>
      <c r="M866" s="5"/>
      <c r="N866" s="5"/>
      <c r="O866" s="5"/>
      <c r="P866" s="5"/>
      <c r="Q866" s="5"/>
      <c r="R866" s="5"/>
      <c r="S866" s="5"/>
      <c r="T866" s="5"/>
      <c r="U866" s="5"/>
      <c r="V866" s="46"/>
      <c r="W866" s="1639">
        <v>201350</v>
      </c>
      <c r="X866" s="1639"/>
      <c r="Y866" s="1639"/>
      <c r="Z866" s="1639"/>
      <c r="AA866" s="1639"/>
      <c r="AB866" s="1639"/>
      <c r="AC866" s="1639"/>
      <c r="AU866" s="4"/>
      <c r="AZ866" s="34"/>
      <c r="BA866" s="34"/>
      <c r="BB866" s="34"/>
      <c r="BC866" s="34"/>
    </row>
    <row r="867" spans="3:55" ht="13" customHeight="1">
      <c r="J867" s="45" t="s">
        <v>521</v>
      </c>
      <c r="K867" s="5"/>
      <c r="L867" s="5"/>
      <c r="M867" s="5"/>
      <c r="N867" s="5"/>
      <c r="O867" s="5"/>
      <c r="P867" s="5"/>
      <c r="Q867" s="5"/>
      <c r="R867" s="5"/>
      <c r="S867" s="5"/>
      <c r="T867" s="5"/>
      <c r="U867" s="5"/>
      <c r="V867" s="46"/>
      <c r="W867" s="1639">
        <v>108500</v>
      </c>
      <c r="X867" s="1639"/>
      <c r="Y867" s="1639"/>
      <c r="Z867" s="1639"/>
      <c r="AA867" s="1639"/>
      <c r="AB867" s="1639"/>
      <c r="AC867" s="1639"/>
      <c r="AU867" s="4"/>
      <c r="AZ867" s="34"/>
      <c r="BA867" s="34"/>
      <c r="BB867" s="34"/>
      <c r="BC867" s="34"/>
    </row>
    <row r="868" spans="3:55" ht="13" customHeight="1">
      <c r="J868" s="45" t="s">
        <v>520</v>
      </c>
      <c r="K868" s="5"/>
      <c r="L868" s="5"/>
      <c r="M868" s="5"/>
      <c r="N868" s="5"/>
      <c r="O868" s="5"/>
      <c r="P868" s="5"/>
      <c r="Q868" s="5"/>
      <c r="R868" s="5"/>
      <c r="S868" s="5"/>
      <c r="T868" s="5"/>
      <c r="U868" s="5"/>
      <c r="V868" s="46"/>
      <c r="W868" s="1639">
        <v>2900</v>
      </c>
      <c r="X868" s="1639"/>
      <c r="Y868" s="1639"/>
      <c r="Z868" s="1639"/>
      <c r="AA868" s="1639"/>
      <c r="AB868" s="1639"/>
      <c r="AC868" s="1639"/>
      <c r="AU868" s="4"/>
      <c r="AZ868" s="34"/>
      <c r="BA868" s="34"/>
      <c r="BB868" s="34"/>
      <c r="BC868" s="34"/>
    </row>
    <row r="869" spans="3:55" ht="13" customHeight="1">
      <c r="J869" s="45" t="s">
        <v>519</v>
      </c>
      <c r="K869" s="5"/>
      <c r="L869" s="5"/>
      <c r="M869" s="5"/>
      <c r="N869" s="5"/>
      <c r="O869" s="5"/>
      <c r="P869" s="5"/>
      <c r="Q869" s="5"/>
      <c r="R869" s="5"/>
      <c r="S869" s="5"/>
      <c r="T869" s="5"/>
      <c r="U869" s="5"/>
      <c r="V869" s="46"/>
      <c r="W869" s="1639">
        <v>72300</v>
      </c>
      <c r="X869" s="1639"/>
      <c r="Y869" s="1639"/>
      <c r="Z869" s="1639"/>
      <c r="AA869" s="1639"/>
      <c r="AB869" s="1639"/>
      <c r="AC869" s="1639"/>
      <c r="AU869" s="4"/>
      <c r="AZ869" s="34"/>
      <c r="BA869" s="34"/>
      <c r="BB869" s="34"/>
      <c r="BC869" s="34"/>
    </row>
    <row r="870" spans="3:55" ht="13" customHeight="1">
      <c r="J870" s="45" t="s">
        <v>518</v>
      </c>
      <c r="K870" s="5"/>
      <c r="L870" s="5"/>
      <c r="M870" s="5"/>
      <c r="N870" s="5"/>
      <c r="O870" s="5"/>
      <c r="P870" s="5"/>
      <c r="Q870" s="5"/>
      <c r="R870" s="5"/>
      <c r="S870" s="5"/>
      <c r="T870" s="5"/>
      <c r="U870" s="5"/>
      <c r="V870" s="46"/>
      <c r="W870" s="1639">
        <v>3500</v>
      </c>
      <c r="X870" s="1639"/>
      <c r="Y870" s="1639"/>
      <c r="Z870" s="1639"/>
      <c r="AA870" s="1639"/>
      <c r="AB870" s="1639"/>
      <c r="AC870" s="1639"/>
      <c r="AU870" s="4"/>
      <c r="AZ870" s="34"/>
      <c r="BA870" s="34"/>
      <c r="BB870" s="34"/>
      <c r="BC870" s="34"/>
    </row>
    <row r="871" spans="3:55" ht="13" customHeight="1">
      <c r="J871" s="45" t="s">
        <v>169</v>
      </c>
      <c r="K871" s="5"/>
      <c r="L871" s="5"/>
      <c r="M871" s="1643" t="s">
        <v>2755</v>
      </c>
      <c r="N871" s="1644"/>
      <c r="O871" s="1644"/>
      <c r="P871" s="1644"/>
      <c r="Q871" s="1644"/>
      <c r="R871" s="1644"/>
      <c r="S871" s="1644"/>
      <c r="T871" s="1644"/>
      <c r="U871" s="1644"/>
      <c r="V871" s="1645"/>
      <c r="W871" s="1639">
        <v>144700</v>
      </c>
      <c r="X871" s="1639"/>
      <c r="Y871" s="1639"/>
      <c r="Z871" s="1639"/>
      <c r="AA871" s="1639"/>
      <c r="AB871" s="1639"/>
      <c r="AC871" s="1639"/>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2">
        <f>SUM(W865:W871)</f>
        <v>545300</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643" t="s">
        <v>333</v>
      </c>
      <c r="N874" s="1644"/>
      <c r="O874" s="1644"/>
      <c r="P874" s="1644"/>
      <c r="Q874" s="1644"/>
      <c r="R874" s="1644"/>
      <c r="S874" s="1644"/>
      <c r="T874" s="1644"/>
      <c r="U874" s="1644"/>
      <c r="V874" s="1645"/>
      <c r="W874" s="1475"/>
      <c r="X874" s="1338"/>
      <c r="Y874" s="1338"/>
      <c r="Z874" s="1338"/>
      <c r="AA874" s="1338"/>
      <c r="AB874" s="1338"/>
      <c r="AC874" s="1339"/>
      <c r="AD874" s="533"/>
      <c r="AV874" s="14"/>
      <c r="AW874" s="14"/>
      <c r="AX874" s="14"/>
      <c r="AY874" s="14"/>
      <c r="AZ874" s="34"/>
      <c r="BA874" s="34"/>
      <c r="BB874" s="34"/>
      <c r="BC874" s="34"/>
    </row>
    <row r="875" spans="3:55" ht="13" customHeight="1">
      <c r="C875" s="2" t="s">
        <v>1243</v>
      </c>
      <c r="J875" s="45" t="s">
        <v>169</v>
      </c>
      <c r="K875" s="5"/>
      <c r="L875" s="5"/>
      <c r="M875" s="1643" t="s">
        <v>333</v>
      </c>
      <c r="N875" s="1644"/>
      <c r="O875" s="1644"/>
      <c r="P875" s="1644"/>
      <c r="Q875" s="1644"/>
      <c r="R875" s="1644"/>
      <c r="S875" s="1644"/>
      <c r="T875" s="1644"/>
      <c r="U875" s="1644"/>
      <c r="V875" s="1645"/>
      <c r="W875" s="1475"/>
      <c r="X875" s="1338"/>
      <c r="Y875" s="1338"/>
      <c r="Z875" s="1338"/>
      <c r="AA875" s="1338"/>
      <c r="AB875" s="1338"/>
      <c r="AC875" s="1339"/>
      <c r="AD875" s="533"/>
      <c r="AV875" s="14"/>
      <c r="AW875" s="14"/>
      <c r="AX875" s="14"/>
      <c r="AY875" s="14"/>
      <c r="AZ875" s="34"/>
      <c r="BA875" s="34"/>
      <c r="BB875" s="34"/>
      <c r="BC875" s="34"/>
    </row>
    <row r="876" spans="3:55" ht="13" customHeight="1">
      <c r="J876" s="45" t="s">
        <v>169</v>
      </c>
      <c r="K876" s="5"/>
      <c r="L876" s="5"/>
      <c r="M876" s="1643" t="s">
        <v>333</v>
      </c>
      <c r="N876" s="1644"/>
      <c r="O876" s="1644"/>
      <c r="P876" s="1644"/>
      <c r="Q876" s="1644"/>
      <c r="R876" s="1644"/>
      <c r="S876" s="1644"/>
      <c r="T876" s="1644"/>
      <c r="U876" s="1644"/>
      <c r="V876" s="1645"/>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3" t="s">
        <v>333</v>
      </c>
      <c r="N877" s="1644"/>
      <c r="O877" s="1644"/>
      <c r="P877" s="1644"/>
      <c r="Q877" s="1644"/>
      <c r="R877" s="1644"/>
      <c r="S877" s="1644"/>
      <c r="T877" s="1644"/>
      <c r="U877" s="1644"/>
      <c r="V877" s="1645"/>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3" t="s">
        <v>333</v>
      </c>
      <c r="N878" s="1644"/>
      <c r="O878" s="1644"/>
      <c r="P878" s="1644"/>
      <c r="Q878" s="1644"/>
      <c r="R878" s="1644"/>
      <c r="S878" s="1644"/>
      <c r="T878" s="1644"/>
      <c r="U878" s="1644"/>
      <c r="V878" s="1645"/>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1677700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6">
        <f>O797+O777+G753</f>
        <v>241</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2">
        <f>IF(ISERROR((ROUNDDOWN(AC883/AC884,0))),0,(ROUNDDOWN(AC883/AC884,0)))</f>
        <v>6961</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8">
        <v>1310093</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24000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60250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0"/>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16000</v>
      </c>
      <c r="AD891" s="1338"/>
      <c r="AE891" s="1338"/>
      <c r="AF891" s="1338"/>
      <c r="AG891" s="1338"/>
      <c r="AH891" s="1339"/>
      <c r="AZ891" s="34"/>
      <c r="BA891" s="34"/>
      <c r="BB891" s="34"/>
      <c r="BC891" s="34"/>
    </row>
    <row r="892" spans="3:55" ht="13"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c r="AD893" s="1338"/>
      <c r="AE893" s="1338"/>
      <c r="AF893" s="1338"/>
      <c r="AG893" s="1338"/>
      <c r="AH893" s="1339"/>
      <c r="AZ893" s="34"/>
      <c r="BA893" s="34"/>
      <c r="BB893" s="34"/>
      <c r="BC893" s="34"/>
    </row>
    <row r="894" spans="3:55" ht="13" customHeight="1">
      <c r="C894" s="1667" t="s">
        <v>2765</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v>29550</v>
      </c>
      <c r="AD894" s="1639"/>
      <c r="AE894" s="1639"/>
      <c r="AF894" s="1639"/>
      <c r="AG894" s="1639"/>
      <c r="AH894" s="1639"/>
      <c r="AZ894" s="34"/>
      <c r="BA894" s="34"/>
      <c r="BB894" s="34"/>
      <c r="BC894" s="34"/>
    </row>
    <row r="895" spans="3:55" ht="13" customHeight="1">
      <c r="C895" s="1667" t="s">
        <v>2768</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v>1280000</v>
      </c>
      <c r="AD895" s="1639"/>
      <c r="AE895" s="1639"/>
      <c r="AF895" s="1639"/>
      <c r="AG895" s="1639"/>
      <c r="AH895" s="1639"/>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6"/>
      <c r="BE899" s="1636"/>
      <c r="BF899" s="14"/>
    </row>
    <row r="900" spans="1:58" ht="13"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6"/>
      <c r="BE900" s="1636"/>
      <c r="BF900" s="14"/>
    </row>
    <row r="901" spans="1:58" ht="13"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5"/>
      <c r="BE902" s="1635"/>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3" customHeight="1">
      <c r="AZ909" s="34"/>
      <c r="BB909" s="30"/>
      <c r="BC909" s="816"/>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1"/>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791</v>
      </c>
      <c r="G915" s="1712"/>
      <c r="H915" s="1712"/>
      <c r="I915" s="1712"/>
      <c r="J915" s="1712"/>
      <c r="K915" s="1712"/>
      <c r="L915" s="1712"/>
      <c r="M915" s="1712"/>
      <c r="N915" s="1712"/>
      <c r="O915" s="1712"/>
      <c r="P915" s="1712"/>
      <c r="Q915" s="1712"/>
      <c r="R915" s="1712"/>
      <c r="S915" s="1712"/>
      <c r="T915" s="1713"/>
      <c r="U915" s="1754" t="s">
        <v>31</v>
      </c>
      <c r="V915" s="1687"/>
      <c r="W915" s="1687"/>
      <c r="X915" s="1687"/>
      <c r="Y915" s="1687"/>
      <c r="Z915" s="1687"/>
      <c r="AA915" s="43"/>
      <c r="AB915" s="105"/>
      <c r="AC915" s="105"/>
      <c r="AD915" s="105"/>
      <c r="AE915" s="105"/>
      <c r="AF915" s="106"/>
      <c r="AZ915" s="34"/>
      <c r="BA915" s="34"/>
      <c r="BB915" s="34"/>
      <c r="BC915" s="34"/>
    </row>
    <row r="916" spans="1:58" ht="13" customHeight="1">
      <c r="B916" s="2"/>
      <c r="F916" s="1755" t="s">
        <v>817</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 customHeight="1">
      <c r="B917" s="2"/>
      <c r="F917" s="1757"/>
      <c r="G917" s="1689"/>
      <c r="H917" s="1689"/>
      <c r="I917" s="1689"/>
      <c r="J917" s="1689"/>
      <c r="K917" s="1689"/>
      <c r="L917" s="1689"/>
      <c r="M917" s="1689"/>
      <c r="N917" s="1689"/>
      <c r="O917" s="1689"/>
      <c r="P917" s="1689"/>
      <c r="Q917" s="1689"/>
      <c r="R917" s="1689"/>
      <c r="S917" s="1689"/>
      <c r="T917" s="1690"/>
      <c r="U917" s="1757"/>
      <c r="V917" s="1689"/>
      <c r="W917" s="1689"/>
      <c r="X917" s="1689"/>
      <c r="Y917" s="1689"/>
      <c r="Z917" s="1689"/>
      <c r="AA917" s="108"/>
      <c r="AB917" s="1431" t="s">
        <v>390</v>
      </c>
      <c r="AC917" s="1431"/>
      <c r="AD917" s="1431"/>
      <c r="AE917" s="1431"/>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29" t="s">
        <v>545</v>
      </c>
      <c r="V918" s="1427"/>
      <c r="W918" s="1427"/>
      <c r="X918" s="1427"/>
      <c r="Y918" s="1427"/>
      <c r="Z918" s="1428"/>
      <c r="AA918" s="1633">
        <v>80000000</v>
      </c>
      <c r="AB918" s="1525"/>
      <c r="AC918" s="1525"/>
      <c r="AD918" s="1525"/>
      <c r="AE918" s="1525"/>
      <c r="AF918" s="1634"/>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29" t="s">
        <v>591</v>
      </c>
      <c r="V919" s="1427"/>
      <c r="W919" s="1427"/>
      <c r="X919" s="1427"/>
      <c r="Y919" s="1427"/>
      <c r="Z919" s="1428"/>
      <c r="AA919" s="1633"/>
      <c r="AB919" s="1525"/>
      <c r="AC919" s="1525"/>
      <c r="AD919" s="1525"/>
      <c r="AE919" s="1525"/>
      <c r="AF919" s="1634"/>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29" t="s">
        <v>591</v>
      </c>
      <c r="V920" s="1427"/>
      <c r="W920" s="1427"/>
      <c r="X920" s="1427"/>
      <c r="Y920" s="1427"/>
      <c r="Z920" s="1428"/>
      <c r="AA920" s="1633"/>
      <c r="AB920" s="1525"/>
      <c r="AC920" s="1525"/>
      <c r="AD920" s="1525"/>
      <c r="AE920" s="1525"/>
      <c r="AF920" s="1634"/>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29" t="s">
        <v>591</v>
      </c>
      <c r="V921" s="1427"/>
      <c r="W921" s="1427"/>
      <c r="X921" s="1427"/>
      <c r="Y921" s="1427"/>
      <c r="Z921" s="1428"/>
      <c r="AA921" s="1633"/>
      <c r="AB921" s="1525"/>
      <c r="AC921" s="1525"/>
      <c r="AD921" s="1525"/>
      <c r="AE921" s="1525"/>
      <c r="AF921" s="1634"/>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29" t="s">
        <v>591</v>
      </c>
      <c r="V922" s="1427"/>
      <c r="W922" s="1427"/>
      <c r="X922" s="1427"/>
      <c r="Y922" s="1427"/>
      <c r="Z922" s="1428"/>
      <c r="AA922" s="1633"/>
      <c r="AB922" s="1525"/>
      <c r="AC922" s="1525"/>
      <c r="AD922" s="1525"/>
      <c r="AE922" s="1525"/>
      <c r="AF922" s="1634"/>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29" t="s">
        <v>591</v>
      </c>
      <c r="V923" s="1427"/>
      <c r="W923" s="1427"/>
      <c r="X923" s="1427"/>
      <c r="Y923" s="1427"/>
      <c r="Z923" s="1428"/>
      <c r="AA923" s="1633"/>
      <c r="AB923" s="1525"/>
      <c r="AC923" s="1525"/>
      <c r="AD923" s="1525"/>
      <c r="AE923" s="1525"/>
      <c r="AF923" s="1634"/>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29" t="s">
        <v>591</v>
      </c>
      <c r="V924" s="1427"/>
      <c r="W924" s="1427"/>
      <c r="X924" s="1427"/>
      <c r="Y924" s="1427"/>
      <c r="Z924" s="1428"/>
      <c r="AA924" s="1633"/>
      <c r="AB924" s="1525"/>
      <c r="AC924" s="1525"/>
      <c r="AD924" s="1525"/>
      <c r="AE924" s="1525"/>
      <c r="AF924" s="1634"/>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29" t="s">
        <v>591</v>
      </c>
      <c r="V925" s="1427"/>
      <c r="W925" s="1427"/>
      <c r="X925" s="1427"/>
      <c r="Y925" s="1427"/>
      <c r="Z925" s="1428"/>
      <c r="AA925" s="1633"/>
      <c r="AB925" s="1525"/>
      <c r="AC925" s="1525"/>
      <c r="AD925" s="1525"/>
      <c r="AE925" s="1525"/>
      <c r="AF925" s="1634"/>
      <c r="AZ925" s="34"/>
      <c r="BA925" s="34"/>
      <c r="BB925" s="34"/>
      <c r="BC925" s="34"/>
    </row>
    <row r="926" spans="1:58" ht="13" customHeight="1">
      <c r="F926" s="1626" t="s">
        <v>2192</v>
      </c>
      <c r="G926" s="1627"/>
      <c r="H926" s="1627"/>
      <c r="I926" s="1627"/>
      <c r="J926" s="1627"/>
      <c r="K926" s="1627"/>
      <c r="L926" s="1627"/>
      <c r="M926" s="1627"/>
      <c r="N926" s="1627"/>
      <c r="O926" s="1627"/>
      <c r="P926" s="1627"/>
      <c r="Q926" s="1627"/>
      <c r="R926" s="1627"/>
      <c r="S926" s="1627"/>
      <c r="T926" s="1628"/>
      <c r="U926" s="1629" t="s">
        <v>591</v>
      </c>
      <c r="V926" s="1427"/>
      <c r="W926" s="1427"/>
      <c r="X926" s="1427"/>
      <c r="Y926" s="1427"/>
      <c r="Z926" s="1428"/>
      <c r="AA926" s="1633"/>
      <c r="AB926" s="1525"/>
      <c r="AC926" s="1525"/>
      <c r="AD926" s="1525"/>
      <c r="AE926" s="1525"/>
      <c r="AF926" s="1634"/>
      <c r="AZ926" s="34"/>
      <c r="BA926" s="34"/>
      <c r="BB926" s="34"/>
      <c r="BC926" s="34"/>
    </row>
    <row r="927" spans="1:58" ht="13" customHeight="1">
      <c r="F927" s="1626" t="s">
        <v>678</v>
      </c>
      <c r="G927" s="1627"/>
      <c r="H927" s="1627"/>
      <c r="I927" s="1627"/>
      <c r="J927" s="1627"/>
      <c r="K927" s="1627"/>
      <c r="L927" s="1627"/>
      <c r="M927" s="1627"/>
      <c r="N927" s="1627"/>
      <c r="O927" s="1627"/>
      <c r="P927" s="1627"/>
      <c r="Q927" s="1627"/>
      <c r="R927" s="1627"/>
      <c r="S927" s="1627"/>
      <c r="T927" s="1628"/>
      <c r="U927" s="1629" t="s">
        <v>591</v>
      </c>
      <c r="V927" s="1427"/>
      <c r="W927" s="1427"/>
      <c r="X927" s="1427"/>
      <c r="Y927" s="1427"/>
      <c r="Z927" s="1428"/>
      <c r="AA927" s="1633"/>
      <c r="AB927" s="1525"/>
      <c r="AC927" s="1525"/>
      <c r="AD927" s="1525"/>
      <c r="AE927" s="1525"/>
      <c r="AF927" s="1634"/>
      <c r="AU927" s="2"/>
      <c r="AZ927" s="34"/>
      <c r="BA927" s="34"/>
      <c r="BB927" s="34"/>
      <c r="BC927" s="34"/>
    </row>
    <row r="928" spans="1:58" ht="13" customHeight="1">
      <c r="F928" s="1626" t="s">
        <v>2193</v>
      </c>
      <c r="G928" s="1627"/>
      <c r="H928" s="1627"/>
      <c r="I928" s="1627"/>
      <c r="J928" s="1627"/>
      <c r="K928" s="1627"/>
      <c r="L928" s="1627"/>
      <c r="M928" s="1627"/>
      <c r="N928" s="1627"/>
      <c r="O928" s="1627"/>
      <c r="P928" s="1627"/>
      <c r="Q928" s="1627"/>
      <c r="R928" s="1627"/>
      <c r="S928" s="1627"/>
      <c r="T928" s="1628"/>
      <c r="U928" s="1629" t="s">
        <v>591</v>
      </c>
      <c r="V928" s="1427"/>
      <c r="W928" s="1427"/>
      <c r="X928" s="1427"/>
      <c r="Y928" s="1427"/>
      <c r="Z928" s="1428"/>
      <c r="AA928" s="1633"/>
      <c r="AB928" s="1525"/>
      <c r="AC928" s="1525"/>
      <c r="AD928" s="1525"/>
      <c r="AE928" s="1525"/>
      <c r="AF928" s="1634"/>
      <c r="AU928" s="2"/>
      <c r="AZ928" s="34"/>
      <c r="BA928" s="34"/>
      <c r="BB928" s="34"/>
      <c r="BC928" s="34"/>
    </row>
    <row r="929" spans="6:55" ht="13" customHeight="1">
      <c r="F929" s="1626" t="s">
        <v>2194</v>
      </c>
      <c r="G929" s="1627"/>
      <c r="H929" s="1627"/>
      <c r="I929" s="1627"/>
      <c r="J929" s="1627"/>
      <c r="K929" s="1627"/>
      <c r="L929" s="1627"/>
      <c r="M929" s="1627"/>
      <c r="N929" s="1627"/>
      <c r="O929" s="1627"/>
      <c r="P929" s="1627"/>
      <c r="Q929" s="1627"/>
      <c r="R929" s="1627"/>
      <c r="S929" s="1627"/>
      <c r="T929" s="1628"/>
      <c r="U929" s="1629" t="s">
        <v>591</v>
      </c>
      <c r="V929" s="1427"/>
      <c r="W929" s="1427"/>
      <c r="X929" s="1427"/>
      <c r="Y929" s="1427"/>
      <c r="Z929" s="1428"/>
      <c r="AA929" s="1633"/>
      <c r="AB929" s="1525"/>
      <c r="AC929" s="1525"/>
      <c r="AD929" s="1525"/>
      <c r="AE929" s="1525"/>
      <c r="AF929" s="1634"/>
      <c r="AU929" s="2"/>
      <c r="AZ929" s="34"/>
      <c r="BA929" s="34"/>
      <c r="BB929" s="34"/>
      <c r="BC929" s="34"/>
    </row>
    <row r="930" spans="6:55" ht="13" customHeight="1">
      <c r="F930" s="1626" t="s">
        <v>2195</v>
      </c>
      <c r="G930" s="1627"/>
      <c r="H930" s="1627"/>
      <c r="I930" s="1627"/>
      <c r="J930" s="1627"/>
      <c r="K930" s="1627"/>
      <c r="L930" s="1627"/>
      <c r="M930" s="1627"/>
      <c r="N930" s="1627"/>
      <c r="O930" s="1627"/>
      <c r="P930" s="1627"/>
      <c r="Q930" s="1627"/>
      <c r="R930" s="1627"/>
      <c r="S930" s="1627"/>
      <c r="T930" s="1628"/>
      <c r="U930" s="1629" t="s">
        <v>591</v>
      </c>
      <c r="V930" s="1427"/>
      <c r="W930" s="1427"/>
      <c r="X930" s="1427"/>
      <c r="Y930" s="1427"/>
      <c r="Z930" s="1428"/>
      <c r="AA930" s="1633"/>
      <c r="AB930" s="1525"/>
      <c r="AC930" s="1525"/>
      <c r="AD930" s="1525"/>
      <c r="AE930" s="1525"/>
      <c r="AF930" s="1634"/>
      <c r="AU930" s="2"/>
      <c r="AZ930" s="34"/>
      <c r="BA930" s="34"/>
      <c r="BB930" s="34"/>
      <c r="BC930" s="34"/>
    </row>
    <row r="931" spans="6:55" ht="13" customHeight="1">
      <c r="F931" s="1626" t="s">
        <v>2196</v>
      </c>
      <c r="G931" s="1627"/>
      <c r="H931" s="1627"/>
      <c r="I931" s="1627"/>
      <c r="J931" s="1627"/>
      <c r="K931" s="1627"/>
      <c r="L931" s="1627"/>
      <c r="M931" s="1627"/>
      <c r="N931" s="1627"/>
      <c r="O931" s="1627"/>
      <c r="P931" s="1627"/>
      <c r="Q931" s="1627"/>
      <c r="R931" s="1627"/>
      <c r="S931" s="1627"/>
      <c r="T931" s="1628"/>
      <c r="U931" s="1629" t="s">
        <v>591</v>
      </c>
      <c r="V931" s="1427"/>
      <c r="W931" s="1427"/>
      <c r="X931" s="1427"/>
      <c r="Y931" s="1427"/>
      <c r="Z931" s="1428"/>
      <c r="AA931" s="1633"/>
      <c r="AB931" s="1525"/>
      <c r="AC931" s="1525"/>
      <c r="AD931" s="1525"/>
      <c r="AE931" s="1525"/>
      <c r="AF931" s="1634"/>
      <c r="AU931" s="2"/>
      <c r="AZ931" s="34"/>
      <c r="BA931" s="34"/>
      <c r="BB931" s="34"/>
      <c r="BC931" s="34"/>
    </row>
    <row r="932" spans="6:55" ht="13" customHeight="1">
      <c r="F932" s="1626" t="s">
        <v>2197</v>
      </c>
      <c r="G932" s="1627"/>
      <c r="H932" s="1627"/>
      <c r="I932" s="1627"/>
      <c r="J932" s="1627"/>
      <c r="K932" s="1627"/>
      <c r="L932" s="1627"/>
      <c r="M932" s="1627"/>
      <c r="N932" s="1627"/>
      <c r="O932" s="1627"/>
      <c r="P932" s="1627"/>
      <c r="Q932" s="1627"/>
      <c r="R932" s="1627"/>
      <c r="S932" s="1627"/>
      <c r="T932" s="1628"/>
      <c r="U932" s="1629" t="s">
        <v>591</v>
      </c>
      <c r="V932" s="1427"/>
      <c r="W932" s="1427"/>
      <c r="X932" s="1427"/>
      <c r="Y932" s="1427"/>
      <c r="Z932" s="1428"/>
      <c r="AA932" s="1633"/>
      <c r="AB932" s="1525"/>
      <c r="AC932" s="1525"/>
      <c r="AD932" s="1525"/>
      <c r="AE932" s="1525"/>
      <c r="AF932" s="1634"/>
      <c r="AZ932" s="30"/>
      <c r="BA932" s="30"/>
    </row>
    <row r="933" spans="6:55" ht="13" customHeight="1">
      <c r="F933" s="178" t="s">
        <v>675</v>
      </c>
      <c r="G933" s="5"/>
      <c r="H933" s="5"/>
      <c r="I933" s="5"/>
      <c r="J933" s="5"/>
      <c r="K933" s="5"/>
      <c r="L933" s="5"/>
      <c r="M933" s="5"/>
      <c r="N933" s="5"/>
      <c r="O933" s="5"/>
      <c r="P933" s="5"/>
      <c r="Q933" s="5"/>
      <c r="R933" s="5"/>
      <c r="S933" s="5"/>
      <c r="T933" s="46"/>
      <c r="U933" s="1629" t="s">
        <v>591</v>
      </c>
      <c r="V933" s="1427"/>
      <c r="W933" s="1427"/>
      <c r="X933" s="1427"/>
      <c r="Y933" s="1427"/>
      <c r="Z933" s="1428"/>
      <c r="AA933" s="1633"/>
      <c r="AB933" s="1525"/>
      <c r="AC933" s="1525"/>
      <c r="AD933" s="1525"/>
      <c r="AE933" s="1525"/>
      <c r="AF933" s="1634"/>
    </row>
    <row r="934" spans="6:55" ht="13" customHeight="1">
      <c r="F934" s="121" t="s">
        <v>1276</v>
      </c>
      <c r="G934" s="5"/>
      <c r="H934" s="5"/>
      <c r="I934" s="5"/>
      <c r="J934" s="5"/>
      <c r="K934" s="5"/>
      <c r="L934" s="5"/>
      <c r="M934" s="5"/>
      <c r="N934" s="5"/>
      <c r="O934" s="5"/>
      <c r="P934" s="5"/>
      <c r="Q934" s="5"/>
      <c r="R934" s="5"/>
      <c r="S934" s="5"/>
      <c r="T934" s="46"/>
      <c r="U934" s="1629" t="s">
        <v>591</v>
      </c>
      <c r="V934" s="1427"/>
      <c r="W934" s="1427"/>
      <c r="X934" s="1427"/>
      <c r="Y934" s="1427"/>
      <c r="Z934" s="1428"/>
      <c r="AA934" s="1633"/>
      <c r="AB934" s="1525"/>
      <c r="AC934" s="1525"/>
      <c r="AD934" s="1525"/>
      <c r="AE934" s="1525"/>
      <c r="AF934" s="1634"/>
      <c r="AZ934" s="30"/>
      <c r="BA934" s="14"/>
    </row>
    <row r="935" spans="6:55" ht="13" customHeight="1">
      <c r="F935" s="66" t="s">
        <v>801</v>
      </c>
      <c r="G935" s="5"/>
      <c r="H935" s="5"/>
      <c r="I935" s="5"/>
      <c r="J935" s="5"/>
      <c r="K935" s="5"/>
      <c r="L935" s="5"/>
      <c r="M935" s="5"/>
      <c r="N935" s="5"/>
      <c r="O935" s="5"/>
      <c r="P935" s="5"/>
      <c r="Q935" s="5"/>
      <c r="R935" s="5"/>
      <c r="S935" s="5"/>
      <c r="T935" s="46"/>
      <c r="U935" s="1629" t="s">
        <v>591</v>
      </c>
      <c r="V935" s="1427"/>
      <c r="W935" s="1427"/>
      <c r="X935" s="1427"/>
      <c r="Y935" s="1427"/>
      <c r="Z935" s="1428"/>
      <c r="AA935" s="1633"/>
      <c r="AB935" s="1525"/>
      <c r="AC935" s="1525"/>
      <c r="AD935" s="1525"/>
      <c r="AE935" s="1525"/>
      <c r="AF935" s="1634"/>
      <c r="AZ935" s="30"/>
      <c r="BA935" s="14"/>
    </row>
    <row r="936" spans="6:55" ht="13" customHeight="1">
      <c r="F936" s="1630" t="s">
        <v>2201</v>
      </c>
      <c r="G936" s="1631"/>
      <c r="H936" s="1631"/>
      <c r="I936" s="1631"/>
      <c r="J936" s="1631"/>
      <c r="K936" s="1631"/>
      <c r="L936" s="1631"/>
      <c r="M936" s="1631"/>
      <c r="N936" s="1631"/>
      <c r="O936" s="1631"/>
      <c r="P936" s="1631"/>
      <c r="Q936" s="1631"/>
      <c r="R936" s="1631"/>
      <c r="S936" s="1631"/>
      <c r="T936" s="1632"/>
      <c r="U936" s="1629" t="s">
        <v>591</v>
      </c>
      <c r="V936" s="1427"/>
      <c r="W936" s="1427"/>
      <c r="X936" s="1427"/>
      <c r="Y936" s="1427"/>
      <c r="Z936" s="1428"/>
      <c r="AA936" s="1633"/>
      <c r="AB936" s="1525"/>
      <c r="AC936" s="1525"/>
      <c r="AD936" s="1525"/>
      <c r="AE936" s="1525"/>
      <c r="AF936" s="1634"/>
      <c r="AZ936" s="30"/>
      <c r="BA936" s="14"/>
    </row>
    <row r="937" spans="6:55" ht="13" customHeight="1">
      <c r="F937" s="1630" t="s">
        <v>2202</v>
      </c>
      <c r="G937" s="1631"/>
      <c r="H937" s="1631"/>
      <c r="I937" s="1631"/>
      <c r="J937" s="1631"/>
      <c r="K937" s="1631"/>
      <c r="L937" s="1631"/>
      <c r="M937" s="1631"/>
      <c r="N937" s="1631"/>
      <c r="O937" s="1631"/>
      <c r="P937" s="1631"/>
      <c r="Q937" s="1631"/>
      <c r="R937" s="1631"/>
      <c r="S937" s="1631"/>
      <c r="T937" s="1632"/>
      <c r="U937" s="1629" t="s">
        <v>591</v>
      </c>
      <c r="V937" s="1427"/>
      <c r="W937" s="1427"/>
      <c r="X937" s="1427"/>
      <c r="Y937" s="1427"/>
      <c r="Z937" s="1428"/>
      <c r="AA937" s="1633"/>
      <c r="AB937" s="1525"/>
      <c r="AC937" s="1525"/>
      <c r="AD937" s="1525"/>
      <c r="AE937" s="1525"/>
      <c r="AF937" s="1634"/>
      <c r="AZ937" s="30"/>
      <c r="BA937" s="30"/>
    </row>
    <row r="938" spans="6:55" ht="13" customHeight="1">
      <c r="F938" s="1626" t="s">
        <v>2198</v>
      </c>
      <c r="G938" s="1627"/>
      <c r="H938" s="1627"/>
      <c r="I938" s="1627"/>
      <c r="J938" s="1627"/>
      <c r="K938" s="1627"/>
      <c r="L938" s="1627"/>
      <c r="M938" s="1627"/>
      <c r="N938" s="1627"/>
      <c r="O938" s="1627"/>
      <c r="P938" s="1627"/>
      <c r="Q938" s="1627"/>
      <c r="R938" s="1627"/>
      <c r="S938" s="1627"/>
      <c r="T938" s="1628"/>
      <c r="U938" s="1629" t="s">
        <v>591</v>
      </c>
      <c r="V938" s="1427"/>
      <c r="W938" s="1427"/>
      <c r="X938" s="1427"/>
      <c r="Y938" s="1427"/>
      <c r="Z938" s="1428"/>
      <c r="AA938" s="1633"/>
      <c r="AB938" s="1525"/>
      <c r="AC938" s="1525"/>
      <c r="AD938" s="1525"/>
      <c r="AE938" s="1525"/>
      <c r="AF938" s="1634"/>
      <c r="AZ938" s="30"/>
      <c r="BA938" s="30"/>
    </row>
    <row r="939" spans="6:55" ht="13" customHeight="1">
      <c r="F939" s="1626" t="s">
        <v>2199</v>
      </c>
      <c r="G939" s="1627"/>
      <c r="H939" s="1627"/>
      <c r="I939" s="1627"/>
      <c r="J939" s="1627"/>
      <c r="K939" s="1627"/>
      <c r="L939" s="1627"/>
      <c r="M939" s="1627"/>
      <c r="N939" s="1627"/>
      <c r="O939" s="1627"/>
      <c r="P939" s="1627"/>
      <c r="Q939" s="1627"/>
      <c r="R939" s="1627"/>
      <c r="S939" s="1627"/>
      <c r="T939" s="1628"/>
      <c r="U939" s="1629" t="s">
        <v>591</v>
      </c>
      <c r="V939" s="1427"/>
      <c r="W939" s="1427"/>
      <c r="X939" s="1427"/>
      <c r="Y939" s="1427"/>
      <c r="Z939" s="1428"/>
      <c r="AA939" s="1633"/>
      <c r="AB939" s="1525"/>
      <c r="AC939" s="1525"/>
      <c r="AD939" s="1525"/>
      <c r="AE939" s="1525"/>
      <c r="AF939" s="1634"/>
      <c r="AZ939" s="30"/>
      <c r="BA939" s="30"/>
    </row>
    <row r="940" spans="6:55" ht="13" customHeight="1">
      <c r="F940" s="1626" t="s">
        <v>2200</v>
      </c>
      <c r="G940" s="1627"/>
      <c r="H940" s="1627"/>
      <c r="I940" s="1627"/>
      <c r="J940" s="1627"/>
      <c r="K940" s="1627"/>
      <c r="L940" s="1627"/>
      <c r="M940" s="1627"/>
      <c r="N940" s="1627"/>
      <c r="O940" s="1627"/>
      <c r="P940" s="1627"/>
      <c r="Q940" s="1627"/>
      <c r="R940" s="1627"/>
      <c r="S940" s="1627"/>
      <c r="T940" s="1628"/>
      <c r="U940" s="1629" t="s">
        <v>591</v>
      </c>
      <c r="V940" s="1427"/>
      <c r="W940" s="1427"/>
      <c r="X940" s="1427"/>
      <c r="Y940" s="1427"/>
      <c r="Z940" s="1428"/>
      <c r="AA940" s="1633"/>
      <c r="AB940" s="1525"/>
      <c r="AC940" s="1525"/>
      <c r="AD940" s="1525"/>
      <c r="AE940" s="1525"/>
      <c r="AF940" s="1634"/>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29" t="s">
        <v>591</v>
      </c>
      <c r="V941" s="1427"/>
      <c r="W941" s="1427"/>
      <c r="X941" s="1427"/>
      <c r="Y941" s="1427"/>
      <c r="Z941" s="1428"/>
      <c r="AA941" s="1633"/>
      <c r="AB941" s="1525"/>
      <c r="AC941" s="1525"/>
      <c r="AD941" s="1525"/>
      <c r="AE941" s="1525"/>
      <c r="AF941" s="1634"/>
      <c r="AZ941" s="34"/>
      <c r="BA941" s="34"/>
      <c r="BB941" s="14"/>
      <c r="BC941" s="14"/>
    </row>
    <row r="942" spans="6:55" ht="13" customHeight="1">
      <c r="F942" s="1630" t="s">
        <v>2203</v>
      </c>
      <c r="G942" s="1631"/>
      <c r="H942" s="1631"/>
      <c r="I942" s="1631"/>
      <c r="J942" s="1631"/>
      <c r="K942" s="1631"/>
      <c r="L942" s="1631"/>
      <c r="M942" s="1631"/>
      <c r="N942" s="1631"/>
      <c r="O942" s="1631"/>
      <c r="P942" s="1631"/>
      <c r="Q942" s="1631"/>
      <c r="R942" s="1631"/>
      <c r="S942" s="1631"/>
      <c r="T942" s="1632"/>
      <c r="U942" s="1629" t="s">
        <v>591</v>
      </c>
      <c r="V942" s="1427"/>
      <c r="W942" s="1427"/>
      <c r="X942" s="1427"/>
      <c r="Y942" s="1427"/>
      <c r="Z942" s="1428"/>
      <c r="AA942" s="1633"/>
      <c r="AB942" s="1525"/>
      <c r="AC942" s="1525"/>
      <c r="AD942" s="1525"/>
      <c r="AE942" s="1525"/>
      <c r="AF942" s="1634"/>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29" t="s">
        <v>591</v>
      </c>
      <c r="V943" s="1427"/>
      <c r="W943" s="1427"/>
      <c r="X943" s="1427"/>
      <c r="Y943" s="1427"/>
      <c r="Z943" s="1428"/>
      <c r="AA943" s="1633"/>
      <c r="AB943" s="1525"/>
      <c r="AC943" s="1525"/>
      <c r="AD943" s="1525"/>
      <c r="AE943" s="1525"/>
      <c r="AF943" s="1634"/>
      <c r="AZ943" s="34"/>
      <c r="BA943" s="34"/>
      <c r="BB943" s="34"/>
      <c r="BC943" s="34"/>
    </row>
    <row r="944" spans="6:55" ht="13" customHeight="1">
      <c r="F944" s="1630" t="s">
        <v>2204</v>
      </c>
      <c r="G944" s="1631"/>
      <c r="H944" s="1631"/>
      <c r="I944" s="1631"/>
      <c r="J944" s="1631"/>
      <c r="K944" s="1631"/>
      <c r="L944" s="1631"/>
      <c r="M944" s="1631"/>
      <c r="N944" s="1631"/>
      <c r="O944" s="1631"/>
      <c r="P944" s="1631"/>
      <c r="Q944" s="1631"/>
      <c r="R944" s="1631"/>
      <c r="S944" s="1631"/>
      <c r="T944" s="1632"/>
      <c r="U944" s="1629" t="s">
        <v>591</v>
      </c>
      <c r="V944" s="1427"/>
      <c r="W944" s="1427"/>
      <c r="X944" s="1427"/>
      <c r="Y944" s="1427"/>
      <c r="Z944" s="1428"/>
      <c r="AA944" s="1633"/>
      <c r="AB944" s="1525"/>
      <c r="AC944" s="1525"/>
      <c r="AD944" s="1525"/>
      <c r="AE944" s="1525"/>
      <c r="AF944" s="1634"/>
      <c r="AZ944" s="34"/>
      <c r="BA944" s="34"/>
      <c r="BB944" s="34"/>
      <c r="BC944" s="34"/>
    </row>
    <row r="945" spans="1:55" ht="13" customHeight="1">
      <c r="F945" s="45" t="s">
        <v>805</v>
      </c>
      <c r="G945" s="5"/>
      <c r="H945" s="5"/>
      <c r="I945" s="5"/>
      <c r="J945" s="5"/>
      <c r="K945" s="5"/>
      <c r="L945" s="5"/>
      <c r="M945" s="5"/>
      <c r="N945" s="5"/>
      <c r="O945" s="5"/>
      <c r="P945" s="1629" t="s">
        <v>668</v>
      </c>
      <c r="Q945" s="1427"/>
      <c r="R945" s="1427"/>
      <c r="S945" s="1427"/>
      <c r="T945" s="1428"/>
      <c r="U945" s="1629" t="s">
        <v>591</v>
      </c>
      <c r="V945" s="1427"/>
      <c r="W945" s="1427"/>
      <c r="X945" s="1427"/>
      <c r="Y945" s="1427"/>
      <c r="Z945" s="1428"/>
      <c r="AA945" s="1633"/>
      <c r="AB945" s="1525"/>
      <c r="AC945" s="1525"/>
      <c r="AD945" s="1525"/>
      <c r="AE945" s="1525"/>
      <c r="AF945" s="1634"/>
      <c r="AZ945" s="34"/>
      <c r="BA945" s="34"/>
      <c r="BB945" s="34"/>
      <c r="BC945" s="34"/>
    </row>
    <row r="946" spans="1:55" ht="13" customHeight="1">
      <c r="F946" s="1626" t="s">
        <v>2191</v>
      </c>
      <c r="G946" s="1627"/>
      <c r="H946" s="1628"/>
      <c r="I946" s="1643" t="s">
        <v>333</v>
      </c>
      <c r="J946" s="1644"/>
      <c r="K946" s="1644"/>
      <c r="L946" s="1644"/>
      <c r="M946" s="1644"/>
      <c r="N946" s="1644"/>
      <c r="O946" s="1644"/>
      <c r="P946" s="1644"/>
      <c r="Q946" s="1644"/>
      <c r="R946" s="1644"/>
      <c r="S946" s="1644"/>
      <c r="T946" s="1645"/>
      <c r="U946" s="1629" t="s">
        <v>591</v>
      </c>
      <c r="V946" s="1427"/>
      <c r="W946" s="1427"/>
      <c r="X946" s="1427"/>
      <c r="Y946" s="1427"/>
      <c r="Z946" s="1428"/>
      <c r="AA946" s="1633"/>
      <c r="AB946" s="1525"/>
      <c r="AC946" s="1525"/>
      <c r="AD946" s="1525"/>
      <c r="AE946" s="1525"/>
      <c r="AF946" s="1634"/>
      <c r="AZ946" s="34"/>
      <c r="BA946" s="34"/>
      <c r="BB946" s="34"/>
      <c r="BC946" s="34"/>
    </row>
    <row r="947" spans="1:55" ht="13" customHeight="1">
      <c r="F947" s="45" t="s">
        <v>86</v>
      </c>
      <c r="G947" s="48"/>
      <c r="H947" s="48"/>
      <c r="I947" s="1643" t="s">
        <v>333</v>
      </c>
      <c r="J947" s="1644"/>
      <c r="K947" s="1644"/>
      <c r="L947" s="1644"/>
      <c r="M947" s="1644"/>
      <c r="N947" s="1644"/>
      <c r="O947" s="1644"/>
      <c r="P947" s="1644"/>
      <c r="Q947" s="1644"/>
      <c r="R947" s="1644"/>
      <c r="S947" s="1644"/>
      <c r="T947" s="1645"/>
      <c r="U947" s="1629" t="s">
        <v>591</v>
      </c>
      <c r="V947" s="1427"/>
      <c r="W947" s="1427"/>
      <c r="X947" s="1427"/>
      <c r="Y947" s="1427"/>
      <c r="Z947" s="1428"/>
      <c r="AA947" s="1633"/>
      <c r="AB947" s="1525"/>
      <c r="AC947" s="1525"/>
      <c r="AD947" s="1525"/>
      <c r="AE947" s="1525"/>
      <c r="AF947" s="1634"/>
      <c r="AZ947" s="34"/>
      <c r="BA947" s="34"/>
      <c r="BB947" s="34"/>
      <c r="BC947" s="34"/>
    </row>
    <row r="948" spans="1:55" ht="13" customHeight="1">
      <c r="F948" s="45" t="s">
        <v>10</v>
      </c>
      <c r="G948" s="48"/>
      <c r="H948" s="48"/>
      <c r="I948" s="1643" t="s">
        <v>2722</v>
      </c>
      <c r="J948" s="1699"/>
      <c r="K948" s="1699"/>
      <c r="L948" s="1699"/>
      <c r="M948" s="1699"/>
      <c r="N948" s="1699"/>
      <c r="O948" s="1699"/>
      <c r="P948" s="1699"/>
      <c r="Q948" s="1699"/>
      <c r="R948" s="1699"/>
      <c r="S948" s="1699"/>
      <c r="T948" s="1700"/>
      <c r="U948" s="1629" t="s">
        <v>545</v>
      </c>
      <c r="V948" s="1427"/>
      <c r="W948" s="1427"/>
      <c r="X948" s="1427"/>
      <c r="Y948" s="1427"/>
      <c r="Z948" s="1428"/>
      <c r="AA948" s="1633">
        <v>12000000</v>
      </c>
      <c r="AB948" s="1525"/>
      <c r="AC948" s="1525"/>
      <c r="AD948" s="1525"/>
      <c r="AE948" s="1525"/>
      <c r="AF948" s="1634"/>
      <c r="AV948" s="2"/>
      <c r="AW948" s="2"/>
      <c r="AX948" s="2"/>
      <c r="AY948" s="2"/>
      <c r="AZ948" s="34"/>
      <c r="BA948" s="34"/>
      <c r="BB948" s="34"/>
      <c r="BC948" s="34"/>
    </row>
    <row r="949" spans="1:55" ht="13" customHeight="1">
      <c r="F949" s="47" t="s">
        <v>169</v>
      </c>
      <c r="G949" s="48"/>
      <c r="H949" s="48"/>
      <c r="I949" s="1643" t="s">
        <v>2769</v>
      </c>
      <c r="J949" s="1699"/>
      <c r="K949" s="1699"/>
      <c r="L949" s="1699"/>
      <c r="M949" s="1699"/>
      <c r="N949" s="1699"/>
      <c r="O949" s="1699"/>
      <c r="P949" s="1699"/>
      <c r="Q949" s="1699"/>
      <c r="R949" s="1699"/>
      <c r="S949" s="1699"/>
      <c r="T949" s="1700"/>
      <c r="U949" s="1629" t="s">
        <v>545</v>
      </c>
      <c r="V949" s="1427"/>
      <c r="W949" s="1427"/>
      <c r="X949" s="1427"/>
      <c r="Y949" s="1427"/>
      <c r="Z949" s="1428"/>
      <c r="AA949" s="1633">
        <v>14679000</v>
      </c>
      <c r="AB949" s="1525"/>
      <c r="AC949" s="1525"/>
      <c r="AD949" s="1525"/>
      <c r="AE949" s="1525"/>
      <c r="AF949" s="1634"/>
      <c r="AU949" s="2"/>
      <c r="AZ949" s="34"/>
      <c r="BA949" s="34"/>
      <c r="BB949" s="34"/>
      <c r="BC949" s="34"/>
    </row>
    <row r="950" spans="1:55" ht="13" customHeight="1">
      <c r="F950" s="47" t="s">
        <v>169</v>
      </c>
      <c r="G950" s="48"/>
      <c r="H950" s="48"/>
      <c r="I950" s="1643" t="s">
        <v>2766</v>
      </c>
      <c r="J950" s="1699"/>
      <c r="K950" s="1699"/>
      <c r="L950" s="1699"/>
      <c r="M950" s="1699"/>
      <c r="N950" s="1699"/>
      <c r="O950" s="1699"/>
      <c r="P950" s="1699"/>
      <c r="Q950" s="1699"/>
      <c r="R950" s="1699"/>
      <c r="S950" s="1699"/>
      <c r="T950" s="1700"/>
      <c r="U950" s="1629" t="s">
        <v>545</v>
      </c>
      <c r="V950" s="1427"/>
      <c r="W950" s="1427"/>
      <c r="X950" s="1427"/>
      <c r="Y950" s="1427"/>
      <c r="Z950" s="1428"/>
      <c r="AA950" s="1633">
        <v>21500000</v>
      </c>
      <c r="AB950" s="1525"/>
      <c r="AC950" s="1525"/>
      <c r="AD950" s="1525"/>
      <c r="AE950" s="1525"/>
      <c r="AF950" s="1634"/>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c r="N955" s="1520"/>
      <c r="O955" s="1520"/>
      <c r="P955" s="1520"/>
      <c r="Q955" s="1520"/>
      <c r="R955" s="1520"/>
      <c r="S955" s="1624"/>
      <c r="U955" s="66" t="s">
        <v>11</v>
      </c>
      <c r="V955" s="5"/>
      <c r="W955" s="5"/>
      <c r="X955" s="5"/>
      <c r="Y955" s="5"/>
      <c r="Z955" s="5"/>
      <c r="AA955" s="5"/>
      <c r="AB955" s="5"/>
      <c r="AC955" s="5"/>
      <c r="AD955" s="46"/>
      <c r="AE955" s="1702"/>
      <c r="AF955" s="1520"/>
      <c r="AG955" s="1520"/>
      <c r="AH955" s="1520"/>
      <c r="AI955" s="1520"/>
      <c r="AJ955" s="1520"/>
      <c r="AK955" s="1624"/>
      <c r="AZ955" s="34"/>
      <c r="BA955" s="34"/>
      <c r="BB955" s="34"/>
      <c r="BC955" s="34"/>
    </row>
    <row r="956" spans="1:55" ht="13" customHeight="1">
      <c r="C956" s="66" t="s">
        <v>12</v>
      </c>
      <c r="D956" s="5"/>
      <c r="E956" s="5"/>
      <c r="F956" s="5"/>
      <c r="G956" s="5"/>
      <c r="H956" s="5"/>
      <c r="I956" s="5"/>
      <c r="J956" s="5"/>
      <c r="K956" s="5"/>
      <c r="L956" s="46"/>
      <c r="M956" s="1662"/>
      <c r="N956" s="1533"/>
      <c r="O956" s="1533"/>
      <c r="P956" s="1533"/>
      <c r="Q956" s="1533"/>
      <c r="R956" s="1533"/>
      <c r="S956" s="1663"/>
      <c r="U956" s="66" t="s">
        <v>12</v>
      </c>
      <c r="V956" s="5"/>
      <c r="W956" s="5"/>
      <c r="X956" s="5"/>
      <c r="Y956" s="5"/>
      <c r="Z956" s="5"/>
      <c r="AA956" s="5"/>
      <c r="AB956" s="5"/>
      <c r="AC956" s="5"/>
      <c r="AD956" s="46"/>
      <c r="AE956" s="1662"/>
      <c r="AF956" s="1533"/>
      <c r="AG956" s="1533"/>
      <c r="AH956" s="1533"/>
      <c r="AI956" s="1533"/>
      <c r="AJ956" s="1533"/>
      <c r="AK956" s="1663"/>
      <c r="AZ956" s="34"/>
      <c r="BA956" s="34"/>
      <c r="BB956" s="34"/>
      <c r="BC956" s="34"/>
    </row>
    <row r="957" spans="1:55" ht="13" customHeight="1">
      <c r="C957" s="66" t="s">
        <v>879</v>
      </c>
      <c r="D957" s="5"/>
      <c r="E957" s="5"/>
      <c r="J957" s="1806" t="s">
        <v>306</v>
      </c>
      <c r="K957" s="1807"/>
      <c r="L957" s="1807"/>
      <c r="M957" s="1807"/>
      <c r="N957" s="1807"/>
      <c r="O957" s="1807"/>
      <c r="P957" s="1807"/>
      <c r="Q957" s="1807"/>
      <c r="R957" s="1807"/>
      <c r="S957" s="1808"/>
      <c r="U957" s="66" t="s">
        <v>879</v>
      </c>
      <c r="V957" s="5"/>
      <c r="W957" s="5"/>
      <c r="AB957" s="1806" t="s">
        <v>306</v>
      </c>
      <c r="AC957" s="1807"/>
      <c r="AD957" s="1807"/>
      <c r="AE957" s="1807"/>
      <c r="AF957" s="1807"/>
      <c r="AG957" s="1807"/>
      <c r="AH957" s="1807"/>
      <c r="AI957" s="1807"/>
      <c r="AJ957" s="1807"/>
      <c r="AK957" s="1808"/>
      <c r="AZ957" s="34"/>
      <c r="BA957" s="34"/>
      <c r="BB957" s="34"/>
      <c r="BC957" s="34"/>
    </row>
    <row r="958" spans="1:55" ht="13"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3"/>
      <c r="N959" s="1609"/>
      <c r="O959" s="1609"/>
      <c r="P959" s="1609"/>
      <c r="Q959" s="1609"/>
      <c r="R959" s="1609"/>
      <c r="S959" s="1610"/>
      <c r="U959" s="66" t="s">
        <v>14</v>
      </c>
      <c r="V959" s="5"/>
      <c r="W959" s="5"/>
      <c r="X959" s="5"/>
      <c r="Y959" s="5"/>
      <c r="Z959" s="5"/>
      <c r="AA959" s="5"/>
      <c r="AB959" s="5"/>
      <c r="AC959" s="5"/>
      <c r="AD959" s="46"/>
      <c r="AE959" s="1723"/>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3" customHeight="1">
      <c r="C962" s="121" t="s">
        <v>1660</v>
      </c>
      <c r="D962" s="5"/>
      <c r="E962" s="5"/>
      <c r="F962" s="5"/>
      <c r="G962" s="5"/>
      <c r="H962" s="5"/>
      <c r="I962" s="5"/>
      <c r="J962" s="5"/>
      <c r="K962" s="5"/>
      <c r="L962" s="46"/>
      <c r="M962" s="1774"/>
      <c r="N962" s="1775"/>
      <c r="O962" s="1775"/>
      <c r="P962" s="1775"/>
      <c r="Q962" s="1775"/>
      <c r="R962" s="1775"/>
      <c r="S962" s="1776"/>
      <c r="U962" s="121" t="s">
        <v>1660</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9"/>
      <c r="N967" s="1660"/>
      <c r="O967" s="1660"/>
      <c r="P967" s="1660"/>
      <c r="Q967" s="1660"/>
      <c r="R967" s="1660"/>
      <c r="S967" s="1661"/>
      <c r="T967" s="66" t="s">
        <v>789</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9"/>
      <c r="N968" s="1660"/>
      <c r="O968" s="1660"/>
      <c r="P968" s="1660"/>
      <c r="Q968" s="1660"/>
      <c r="R968" s="1660"/>
      <c r="S968" s="1661"/>
      <c r="T968" s="66" t="s">
        <v>788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06" t="s">
        <v>591</v>
      </c>
      <c r="N969" s="1707"/>
      <c r="O969" s="1707"/>
      <c r="P969" s="1707"/>
      <c r="Q969" s="1707"/>
      <c r="R969" s="1707"/>
      <c r="S969" s="1708"/>
      <c r="T969" s="45" t="s">
        <v>336</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9"/>
      <c r="N970" s="1660"/>
      <c r="O970" s="1660"/>
      <c r="P970" s="1660"/>
      <c r="Q970" s="1660"/>
      <c r="R970" s="1660"/>
      <c r="S970" s="1661"/>
      <c r="T970" s="45" t="s">
        <v>337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9"/>
      <c r="N971" s="1660"/>
      <c r="O971" s="1660"/>
      <c r="P971" s="1660"/>
      <c r="Q971" s="1660"/>
      <c r="R971" s="1660"/>
      <c r="S971" s="1661"/>
      <c r="T971" s="45" t="s">
        <v>375</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806" t="s">
        <v>306</v>
      </c>
      <c r="N972" s="1807"/>
      <c r="O972" s="1807"/>
      <c r="P972" s="1807"/>
      <c r="Q972" s="1807"/>
      <c r="R972" s="1807"/>
      <c r="S972" s="1808"/>
      <c r="T972" s="1761"/>
      <c r="U972" s="1762"/>
      <c r="V972" s="1762"/>
      <c r="W972" s="1762"/>
      <c r="X972" s="1762"/>
      <c r="Y972" s="1762"/>
      <c r="Z972" s="1763"/>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9"/>
      <c r="N973" s="1660"/>
      <c r="O973" s="1660"/>
      <c r="P973" s="1660"/>
      <c r="Q973" s="1660"/>
      <c r="R973" s="1660"/>
      <c r="S973" s="1661"/>
      <c r="T973" s="1761"/>
      <c r="U973" s="1762"/>
      <c r="V973" s="1762"/>
      <c r="W973" s="1762"/>
      <c r="X973" s="1762"/>
      <c r="Y973" s="1762"/>
      <c r="Z973" s="1763"/>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0" t="s">
        <v>668</v>
      </c>
      <c r="P974" s="1372"/>
      <c r="Q974" s="92"/>
      <c r="R974" s="92"/>
      <c r="S974" s="93"/>
      <c r="T974" s="41" t="s">
        <v>169</v>
      </c>
      <c r="U974" s="42"/>
      <c r="V974" s="42"/>
      <c r="W974" s="1809" t="s">
        <v>333</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89" t="s">
        <v>637</v>
      </c>
      <c r="E985" s="1790"/>
      <c r="F985" s="1790"/>
      <c r="G985" s="1790"/>
      <c r="H985" s="1790"/>
      <c r="I985" s="1790"/>
      <c r="J985" s="1790"/>
      <c r="K985" s="1790"/>
      <c r="L985" s="1790"/>
      <c r="M985" s="1790"/>
      <c r="N985" s="1790"/>
      <c r="O985" s="1790"/>
      <c r="P985" s="1790"/>
      <c r="Q985" s="1791"/>
      <c r="R985" s="1789" t="s">
        <v>638</v>
      </c>
      <c r="S985" s="1790"/>
      <c r="T985" s="1790"/>
      <c r="U985" s="1790"/>
      <c r="V985" s="1790"/>
      <c r="W985" s="1790"/>
      <c r="X985" s="1790"/>
      <c r="Y985" s="1790"/>
      <c r="Z985" s="1790"/>
      <c r="AA985" s="1791"/>
      <c r="AB985" s="1789" t="s">
        <v>639</v>
      </c>
      <c r="AC985" s="1790"/>
      <c r="AD985" s="1790"/>
      <c r="AE985" s="1790"/>
      <c r="AF985" s="1790"/>
      <c r="AG985" s="1790"/>
      <c r="AH985" s="1790"/>
      <c r="AI985" s="1791"/>
      <c r="AJ985" s="1789" t="s">
        <v>640</v>
      </c>
      <c r="AK985" s="1790"/>
      <c r="AL985" s="1790"/>
      <c r="AM985" s="1790"/>
      <c r="AN985" s="1790"/>
      <c r="AO985" s="1790"/>
      <c r="AP985" s="1790"/>
      <c r="AQ985" s="1791"/>
      <c r="AR985" s="68"/>
      <c r="AS985" s="68"/>
      <c r="AT985" s="68"/>
      <c r="AU985" s="68"/>
      <c r="AV985" s="68"/>
      <c r="AW985" s="68"/>
      <c r="AX985" s="68"/>
      <c r="AY985" s="68"/>
      <c r="AZ985" s="30"/>
      <c r="BB985" s="14"/>
      <c r="BC985" s="14"/>
    </row>
    <row r="986" spans="1:64" ht="13" customHeight="1">
      <c r="A986" s="14"/>
      <c r="B986" s="73"/>
      <c r="C986" s="929"/>
      <c r="D986" s="1795" t="s">
        <v>632</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473390</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5" t="s">
        <v>324</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545814</v>
      </c>
      <c r="S987" s="1782"/>
      <c r="T987" s="1782"/>
      <c r="U987" s="1782"/>
      <c r="V987" s="1782"/>
      <c r="W987" s="1782"/>
      <c r="X987" s="1782"/>
      <c r="Y987" s="1782"/>
      <c r="Z987" s="1782"/>
      <c r="AA987" s="1782"/>
      <c r="AB987" s="1779">
        <f>CU802</f>
        <v>114</v>
      </c>
      <c r="AC987" s="1780"/>
      <c r="AD987" s="1780"/>
      <c r="AE987" s="1780"/>
      <c r="AF987" s="1780"/>
      <c r="AG987" s="1780"/>
      <c r="AH987" s="1780"/>
      <c r="AI987" s="1781"/>
      <c r="AJ987" s="1715">
        <f>IF(ISERROR((R987*AB987)),0,(R987*AB987))</f>
        <v>62222796</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658400</v>
      </c>
      <c r="S988" s="1782"/>
      <c r="T988" s="1782"/>
      <c r="U988" s="1782"/>
      <c r="V988" s="1782"/>
      <c r="W988" s="1782"/>
      <c r="X988" s="1782"/>
      <c r="Y988" s="1782"/>
      <c r="Z988" s="1782"/>
      <c r="AA988" s="1782"/>
      <c r="AB988" s="1779">
        <f>CZ802</f>
        <v>64</v>
      </c>
      <c r="AC988" s="1780"/>
      <c r="AD988" s="1780"/>
      <c r="AE988" s="1780"/>
      <c r="AF988" s="1780"/>
      <c r="AG988" s="1780"/>
      <c r="AH988" s="1780"/>
      <c r="AI988" s="1781"/>
      <c r="AJ988" s="1715">
        <f>IF(ISERROR((R988*AB988)),0,(R988*AB988))</f>
        <v>42137600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842752</v>
      </c>
      <c r="S989" s="1782"/>
      <c r="T989" s="1782"/>
      <c r="U989" s="1782"/>
      <c r="V989" s="1782"/>
      <c r="W989" s="1782"/>
      <c r="X989" s="1782"/>
      <c r="Y989" s="1782"/>
      <c r="Z989" s="1782"/>
      <c r="AA989" s="1782"/>
      <c r="AB989" s="1779">
        <f>DE802</f>
        <v>63</v>
      </c>
      <c r="AC989" s="1780"/>
      <c r="AD989" s="1780"/>
      <c r="AE989" s="1780"/>
      <c r="AF989" s="1780"/>
      <c r="AG989" s="1780"/>
      <c r="AH989" s="1780"/>
      <c r="AI989" s="1781"/>
      <c r="AJ989" s="1715">
        <f>IF(ISERROR((R989*AB989)),0,(R989*AB989))</f>
        <v>53093376</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5" t="s">
        <v>460</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938878</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6" t="s">
        <v>790</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241</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2" t="s">
        <v>512</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157453772</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665</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 customHeight="1">
      <c r="A994" s="14"/>
      <c r="B994" s="73"/>
      <c r="C994" s="927" t="s">
        <v>667</v>
      </c>
      <c r="D994" s="1733" t="s">
        <v>1219</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668</v>
      </c>
      <c r="AH994" s="1828"/>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 customHeight="1">
      <c r="A995" s="14"/>
      <c r="B995" s="257"/>
      <c r="C995" s="256"/>
      <c r="D995" s="1767" t="s">
        <v>2235</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 customHeight="1">
      <c r="A999" s="14"/>
      <c r="B999" s="257"/>
      <c r="C999" s="256"/>
      <c r="D999" s="1770" t="s">
        <v>2205</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 customHeight="1">
      <c r="A1001" s="14"/>
      <c r="B1001" s="255"/>
      <c r="C1001" s="318"/>
      <c r="D1001" s="1764" t="s">
        <v>1285</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668</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 customHeight="1">
      <c r="A1002" s="14"/>
      <c r="B1002" s="257"/>
      <c r="C1002" s="82"/>
      <c r="D1002" s="1767" t="s">
        <v>1283</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239</v>
      </c>
      <c r="AZ1003" s="34"/>
      <c r="BB1003" s="34"/>
    </row>
    <row r="1004" spans="1:55" ht="13"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0.02</v>
      </c>
      <c r="AZ1005" s="34"/>
      <c r="BB1005" s="34"/>
    </row>
    <row r="1006" spans="1:55" ht="13"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0.23</v>
      </c>
      <c r="AZ1006" s="34"/>
      <c r="BB1006" s="34"/>
    </row>
    <row r="1007" spans="1:55" ht="13" customHeight="1">
      <c r="A1007" s="14"/>
      <c r="B1007" s="255"/>
      <c r="C1007" s="80" t="s">
        <v>671</v>
      </c>
      <c r="D1007" s="1764" t="s">
        <v>1682</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545</v>
      </c>
      <c r="AH1007" s="1751"/>
      <c r="AI1007" s="87"/>
      <c r="AJ1007" s="1724">
        <f>ROUND(IF(AG1007="yes",AJ992*0.1,0),0)</f>
        <v>15745377</v>
      </c>
      <c r="AK1007" s="1725"/>
      <c r="AL1007" s="1725"/>
      <c r="AM1007" s="1725"/>
      <c r="AN1007" s="1725"/>
      <c r="AO1007" s="1725"/>
      <c r="AP1007" s="1725"/>
      <c r="AQ1007" s="1726"/>
      <c r="AR1007" s="68"/>
      <c r="AS1007" s="68"/>
      <c r="AT1007" s="68"/>
      <c r="AU1007" s="68"/>
      <c r="AV1007" s="68"/>
      <c r="AW1007" s="68"/>
      <c r="AX1007" s="68"/>
      <c r="BB1007" s="34"/>
    </row>
    <row r="1008" spans="1:55" ht="13" customHeight="1">
      <c r="A1008" s="14"/>
      <c r="B1008" s="73"/>
      <c r="C1008" s="74"/>
      <c r="D1008" s="1696" t="s">
        <v>1284</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 customHeight="1">
      <c r="A1011" s="14"/>
      <c r="B1011" s="79"/>
      <c r="C1011" s="80" t="s">
        <v>211</v>
      </c>
      <c r="D1011" s="1764" t="s">
        <v>1286</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668</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1287</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1840</v>
      </c>
      <c r="AZ1012" s="3" t="s">
        <v>2607</v>
      </c>
    </row>
    <row r="1013" spans="1:52" ht="13" customHeight="1">
      <c r="A1013" s="14"/>
      <c r="B1013" s="79"/>
      <c r="C1013" s="80" t="s">
        <v>214</v>
      </c>
      <c r="D1013" s="1764" t="s">
        <v>1288</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668</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6" t="s">
        <v>1289</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3" customHeight="1">
      <c r="A1016" s="14"/>
      <c r="B1016" s="79"/>
      <c r="C1016" s="80" t="s">
        <v>217</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668</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3" customHeight="1">
      <c r="A1017" s="14"/>
      <c r="B1017" s="73"/>
      <c r="C1017" s="74"/>
      <c r="D1017" s="1696" t="s">
        <v>1290</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3"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3"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3" customHeight="1">
      <c r="A1020" s="14"/>
      <c r="B1020" s="79"/>
      <c r="C1020" s="80" t="s">
        <v>222</v>
      </c>
      <c r="D1020" s="1812" t="s">
        <v>1291</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668</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3"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3" customHeight="1">
      <c r="A1022" s="14"/>
      <c r="B1022" s="81"/>
      <c r="C1022" s="84"/>
      <c r="D1022" s="1696" t="s">
        <v>1292</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3"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21" t="s">
        <v>591</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2606</v>
      </c>
      <c r="AY1024" s="201">
        <f>IF(SUM(AY1015:AY1023)&lt;=0.2,SUM(AY1015:AY1023),0.2)</f>
        <v>0</v>
      </c>
    </row>
    <row r="1025" spans="1:57" ht="13" customHeight="1">
      <c r="A1025" s="14"/>
      <c r="B1025" s="79"/>
      <c r="C1025" s="80" t="s">
        <v>228</v>
      </c>
      <c r="D1025" s="1764" t="s">
        <v>1293</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545</v>
      </c>
      <c r="AH1025" s="1751"/>
      <c r="AI1025" s="87"/>
      <c r="AJ1025" s="1724">
        <f>ROUND(IF(AG1025="Yes",AF1027,0),0)</f>
        <v>9345368</v>
      </c>
      <c r="AK1025" s="1725"/>
      <c r="AL1025" s="1725"/>
      <c r="AM1025" s="1725"/>
      <c r="AN1025" s="1725"/>
      <c r="AO1025" s="1725"/>
      <c r="AP1025" s="1725"/>
      <c r="AQ1025" s="1726"/>
      <c r="AR1025" s="68"/>
      <c r="AS1025" s="68"/>
      <c r="AT1025" s="68"/>
      <c r="AU1025" s="68"/>
      <c r="AV1025" s="68"/>
      <c r="AW1025" s="68"/>
      <c r="AX1025" s="68"/>
      <c r="AY1025" s="68"/>
    </row>
    <row r="1026" spans="1:57" ht="13" customHeight="1">
      <c r="A1026" s="14"/>
      <c r="B1026" s="73"/>
      <c r="C1026" s="74"/>
      <c r="D1026" s="1696" t="s">
        <v>1689</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3">
        <v>9345368</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 customHeight="1">
      <c r="A1029" s="14"/>
      <c r="B1029" s="79"/>
      <c r="C1029" s="80" t="s">
        <v>233</v>
      </c>
      <c r="D1029" s="1733" t="s">
        <v>1294</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545</v>
      </c>
      <c r="AH1029" s="1751"/>
      <c r="AI1029" s="87"/>
      <c r="AJ1029" s="1724">
        <f>ROUND(IF(AG1029="yes",(AJ992*0.1),0),0)</f>
        <v>15745377</v>
      </c>
      <c r="AK1029" s="1725"/>
      <c r="AL1029" s="1725"/>
      <c r="AM1029" s="1725"/>
      <c r="AN1029" s="1725"/>
      <c r="AO1029" s="1725"/>
      <c r="AP1029" s="1725"/>
      <c r="AQ1029" s="1726"/>
      <c r="AR1029" s="68"/>
      <c r="AS1029" s="68"/>
      <c r="AT1029" s="68"/>
      <c r="AU1029" s="68"/>
      <c r="AV1029" s="68"/>
      <c r="AW1029" s="68"/>
      <c r="AX1029" s="68"/>
      <c r="AY1029" s="68"/>
    </row>
    <row r="1030" spans="1:57" ht="13" customHeight="1">
      <c r="A1030" s="14"/>
      <c r="B1030" s="73"/>
      <c r="C1030" s="74"/>
      <c r="D1030" s="1696" t="s">
        <v>1295</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 customHeight="1">
      <c r="A1032" s="14"/>
      <c r="B1032" s="73"/>
      <c r="C1032" s="339" t="s">
        <v>686</v>
      </c>
      <c r="D1032" s="1764" t="s">
        <v>1685</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668</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 customHeight="1">
      <c r="A1033" s="14"/>
      <c r="B1033" s="73"/>
      <c r="C1033" s="74"/>
      <c r="D1033" s="1801"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 customHeight="1">
      <c r="A1036" s="14"/>
      <c r="B1036" s="73"/>
      <c r="C1036" s="339" t="s">
        <v>686</v>
      </c>
      <c r="D1036" s="1733" t="s">
        <v>1687</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545</v>
      </c>
      <c r="AH1036" s="1753"/>
      <c r="AI1036" s="83"/>
      <c r="AJ1036" s="1724">
        <f>ROUND(IF(AND(AG1036="yes",AJ1032=0),(AJ992*0.1),0),0)</f>
        <v>15745377</v>
      </c>
      <c r="AK1036" s="1725"/>
      <c r="AL1036" s="1725"/>
      <c r="AM1036" s="1725"/>
      <c r="AN1036" s="1725"/>
      <c r="AO1036" s="1725"/>
      <c r="AP1036" s="1725"/>
      <c r="AQ1036" s="1726"/>
      <c r="AR1036" s="68"/>
      <c r="AS1036" s="68"/>
      <c r="AT1036" s="68"/>
      <c r="AU1036" s="68"/>
      <c r="AV1036" s="68"/>
      <c r="AW1036" s="68"/>
      <c r="AX1036" s="68"/>
      <c r="AY1036" s="68"/>
    </row>
    <row r="1037" spans="1:57" ht="13" customHeight="1">
      <c r="A1037" s="14"/>
      <c r="B1037" s="73"/>
      <c r="C1037" s="74"/>
      <c r="D1037" s="1801"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0.2594142259414226</v>
      </c>
      <c r="BB1039" s="3" t="s">
        <v>2493</v>
      </c>
    </row>
    <row r="1040" spans="1:57" ht="13"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3" customHeight="1">
      <c r="A1041" s="14"/>
      <c r="B1041" s="79"/>
      <c r="C1041" s="131" t="s">
        <v>1009</v>
      </c>
      <c r="D1041" s="1764" t="s">
        <v>1296</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668</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2491</v>
      </c>
    </row>
    <row r="1042" spans="1:56" ht="13" customHeight="1">
      <c r="A1042" s="14"/>
      <c r="B1042" s="73"/>
      <c r="C1042" s="74"/>
      <c r="D1042" s="1696" t="s">
        <v>2144</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2492</v>
      </c>
    </row>
    <row r="1043" spans="1:56" ht="13"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 customHeight="1">
      <c r="A1045" s="14"/>
      <c r="B1045" s="79"/>
      <c r="C1045" s="131" t="s">
        <v>1683</v>
      </c>
      <c r="D1045" s="1733" t="s">
        <v>1864</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3149075.44</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6" t="s">
        <v>1298</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20350554.449999999</v>
      </c>
      <c r="BA1046" s="1182">
        <f>IF(BA1040,20%,15%)</f>
        <v>0.15</v>
      </c>
      <c r="BB1046" s="3" t="s">
        <v>2479</v>
      </c>
      <c r="BC1046" s="3" t="s">
        <v>2480</v>
      </c>
      <c r="BD1046" s="3"/>
    </row>
    <row r="1047" spans="1:56" ht="13"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971</v>
      </c>
      <c r="E1048" s="133"/>
      <c r="F1048" s="133"/>
      <c r="G1048" s="133"/>
      <c r="H1048" s="133"/>
      <c r="I1048" s="1787">
        <f>AY1003</f>
        <v>239</v>
      </c>
      <c r="J1048" s="1788"/>
      <c r="K1048" s="7"/>
      <c r="L1048" s="133"/>
      <c r="M1048" s="133"/>
      <c r="N1048" s="133"/>
      <c r="O1048" s="133"/>
      <c r="P1048" s="133"/>
      <c r="Q1048" s="133"/>
      <c r="R1048" s="133"/>
      <c r="S1048" s="133"/>
      <c r="T1048" s="133"/>
      <c r="U1048" s="133"/>
      <c r="V1048" s="134" t="s">
        <v>972</v>
      </c>
      <c r="W1048" s="48"/>
      <c r="X1048" s="1785">
        <f>CI753</f>
        <v>6</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3" customHeight="1">
      <c r="A1049" s="14"/>
      <c r="B1049" s="79"/>
      <c r="C1049" s="131" t="s">
        <v>1684</v>
      </c>
      <c r="D1049" s="1764" t="s">
        <v>2170</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72428735.120000005</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6" t="s">
        <v>1297</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87">
        <f>AY1003</f>
        <v>239</v>
      </c>
      <c r="J1052" s="1788"/>
      <c r="K1052" s="14"/>
      <c r="L1052" s="133"/>
      <c r="M1052" s="133"/>
      <c r="N1052" s="133"/>
      <c r="O1052" s="133"/>
      <c r="P1052" s="133"/>
      <c r="Q1052" s="133"/>
      <c r="R1052" s="133"/>
      <c r="S1052" s="133"/>
      <c r="T1052" s="133"/>
      <c r="U1052" s="133"/>
      <c r="V1052" s="134" t="s">
        <v>973</v>
      </c>
      <c r="X1052" s="1785">
        <f>CM753</f>
        <v>56</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3" t="s">
        <v>513</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289613081.56</v>
      </c>
      <c r="AK1053" s="1799"/>
      <c r="AL1053" s="1799"/>
      <c r="AM1053" s="1799"/>
      <c r="AN1053" s="1799"/>
      <c r="AO1053" s="1799"/>
      <c r="AP1053" s="1799"/>
      <c r="AQ1053" s="1800"/>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155470363</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20350554.449999999</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0.64554950384789622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19800000</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17300000</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6" t="s">
        <v>793</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591</v>
      </c>
      <c r="B1065" s="1415"/>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591</v>
      </c>
      <c r="B1067" s="1415"/>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591</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591</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591</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591</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591</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591</v>
      </c>
      <c r="B1097" s="1415"/>
      <c r="C1097" s="1855">
        <v>9</v>
      </c>
      <c r="D1097" s="1855"/>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591</v>
      </c>
      <c r="B1100" s="1415"/>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591</v>
      </c>
      <c r="B1103" s="1415"/>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3)City of Fremont</v>
      </c>
      <c r="I2" s="139" t="str">
        <f>Application!B630&amp;Application!C630</f>
        <v>4)Pacific West Communities, Inc.</v>
      </c>
      <c r="J2" s="139" t="str">
        <f>Application!B631&amp;Application!C631</f>
        <v>5)Safehold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4338000</v>
      </c>
      <c r="C29" s="147">
        <v>4338000</v>
      </c>
      <c r="D29" s="147"/>
      <c r="E29" s="147">
        <v>4338000</v>
      </c>
      <c r="F29" s="147"/>
      <c r="G29" s="147"/>
      <c r="H29" s="147"/>
      <c r="I29" s="147"/>
      <c r="J29" s="147"/>
      <c r="K29" s="147"/>
      <c r="L29" s="147"/>
      <c r="M29" s="147"/>
      <c r="N29" s="147"/>
      <c r="O29" s="147"/>
      <c r="P29" s="147"/>
      <c r="Q29" s="147"/>
      <c r="R29" s="516">
        <f t="shared" ref="R29:R37" si="7">SUM(E29:Q29)</f>
        <v>4338000</v>
      </c>
      <c r="S29" s="147">
        <f>R29</f>
        <v>4338000</v>
      </c>
      <c r="T29" s="147"/>
      <c r="U29" s="143"/>
    </row>
    <row r="30" spans="1:21" s="144" customFormat="1">
      <c r="A30" s="145" t="s">
        <v>599</v>
      </c>
      <c r="B30" s="146">
        <f t="shared" si="6"/>
        <v>86737162</v>
      </c>
      <c r="C30" s="147">
        <v>86737162</v>
      </c>
      <c r="D30" s="147"/>
      <c r="E30" s="147">
        <v>11727711</v>
      </c>
      <c r="F30" s="147">
        <v>30081907</v>
      </c>
      <c r="G30" s="147">
        <v>21500000</v>
      </c>
      <c r="H30" s="147">
        <v>12000000</v>
      </c>
      <c r="I30" s="147"/>
      <c r="J30" s="147">
        <v>11427544</v>
      </c>
      <c r="K30" s="147"/>
      <c r="L30" s="147"/>
      <c r="M30" s="147"/>
      <c r="N30" s="147"/>
      <c r="O30" s="147"/>
      <c r="P30" s="147"/>
      <c r="Q30" s="147"/>
      <c r="R30" s="516">
        <f t="shared" si="7"/>
        <v>86737162</v>
      </c>
      <c r="S30" s="147">
        <f>R30</f>
        <v>86737162</v>
      </c>
      <c r="T30" s="147"/>
      <c r="U30" s="143"/>
    </row>
    <row r="31" spans="1:21" s="144" customFormat="1">
      <c r="A31" s="145" t="s">
        <v>600</v>
      </c>
      <c r="B31" s="146">
        <f t="shared" si="6"/>
        <v>4553758</v>
      </c>
      <c r="C31" s="147">
        <v>4553758</v>
      </c>
      <c r="D31" s="147"/>
      <c r="E31" s="147">
        <v>4553758</v>
      </c>
      <c r="F31" s="147"/>
      <c r="G31" s="147"/>
      <c r="H31" s="147"/>
      <c r="I31" s="147"/>
      <c r="J31" s="147"/>
      <c r="K31" s="147"/>
      <c r="L31" s="147"/>
      <c r="M31" s="147"/>
      <c r="N31" s="147"/>
      <c r="O31" s="147"/>
      <c r="P31" s="147"/>
      <c r="Q31" s="147"/>
      <c r="R31" s="516">
        <f t="shared" si="7"/>
        <v>4553758</v>
      </c>
      <c r="S31" s="147">
        <f>R31</f>
        <v>4553758</v>
      </c>
      <c r="T31" s="147"/>
      <c r="U31" s="143"/>
    </row>
    <row r="32" spans="1:21" s="144" customFormat="1">
      <c r="A32" s="145" t="s">
        <v>137</v>
      </c>
      <c r="B32" s="146">
        <f t="shared" si="6"/>
        <v>1912578</v>
      </c>
      <c r="C32" s="147">
        <v>1912578</v>
      </c>
      <c r="D32" s="147"/>
      <c r="E32" s="147">
        <v>1912578</v>
      </c>
      <c r="F32" s="147"/>
      <c r="G32" s="147"/>
      <c r="H32" s="147"/>
      <c r="I32" s="147"/>
      <c r="J32" s="147"/>
      <c r="K32" s="147"/>
      <c r="L32" s="147"/>
      <c r="M32" s="147"/>
      <c r="N32" s="147"/>
      <c r="O32" s="147"/>
      <c r="P32" s="147"/>
      <c r="Q32" s="147"/>
      <c r="R32" s="516">
        <f t="shared" si="7"/>
        <v>1912578</v>
      </c>
      <c r="S32" s="147">
        <f>R32</f>
        <v>1912578</v>
      </c>
      <c r="T32" s="147"/>
      <c r="U32" s="143"/>
    </row>
    <row r="33" spans="1:21" s="144" customFormat="1">
      <c r="A33" s="145" t="s">
        <v>138</v>
      </c>
      <c r="B33" s="146">
        <f t="shared" si="6"/>
        <v>3825157</v>
      </c>
      <c r="C33" s="147">
        <v>3825157</v>
      </c>
      <c r="D33" s="147"/>
      <c r="E33" s="147">
        <v>3825157</v>
      </c>
      <c r="F33" s="147"/>
      <c r="G33" s="147"/>
      <c r="H33" s="147"/>
      <c r="I33" s="147"/>
      <c r="J33" s="147"/>
      <c r="K33" s="147"/>
      <c r="L33" s="147"/>
      <c r="M33" s="147"/>
      <c r="N33" s="147"/>
      <c r="O33" s="147"/>
      <c r="P33" s="147"/>
      <c r="Q33" s="147"/>
      <c r="R33" s="516">
        <f t="shared" si="7"/>
        <v>3825157</v>
      </c>
      <c r="S33" s="147">
        <f>R33</f>
        <v>3825157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1000000</v>
      </c>
      <c r="C35" s="147">
        <v>1000000</v>
      </c>
      <c r="D35" s="147"/>
      <c r="E35" s="147">
        <v>1000000</v>
      </c>
      <c r="F35" s="147"/>
      <c r="G35" s="147"/>
      <c r="H35" s="147"/>
      <c r="I35" s="147"/>
      <c r="J35" s="147"/>
      <c r="K35" s="147"/>
      <c r="L35" s="147"/>
      <c r="M35" s="147"/>
      <c r="N35" s="147"/>
      <c r="O35" s="147"/>
      <c r="P35" s="147"/>
      <c r="Q35" s="147"/>
      <c r="R35" s="516">
        <f t="shared" si="7"/>
        <v>1000000</v>
      </c>
      <c r="S35" s="147">
        <f>R35</f>
        <v>1000000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102366655</v>
      </c>
      <c r="C38" s="146">
        <f>SUM(C29:C37)</f>
        <v>102366655</v>
      </c>
      <c r="D38" s="146">
        <f t="shared" ref="D38:Q38" si="8">SUM(D29:D37)</f>
        <v>0</v>
      </c>
      <c r="E38" s="146">
        <f t="shared" si="8"/>
        <v>27357204</v>
      </c>
      <c r="F38" s="146">
        <f t="shared" si="8"/>
        <v>30081907</v>
      </c>
      <c r="G38" s="146">
        <f t="shared" si="8"/>
        <v>21500000</v>
      </c>
      <c r="H38" s="146">
        <f t="shared" si="8"/>
        <v>12000000</v>
      </c>
      <c r="I38" s="146">
        <f t="shared" si="8"/>
        <v>0</v>
      </c>
      <c r="J38" s="146">
        <f t="shared" si="8"/>
        <v>11427544</v>
      </c>
      <c r="K38" s="146">
        <f t="shared" si="8"/>
        <v>0</v>
      </c>
      <c r="L38" s="146">
        <f t="shared" si="8"/>
        <v>0</v>
      </c>
      <c r="M38" s="146">
        <f t="shared" si="8"/>
        <v>0</v>
      </c>
      <c r="N38" s="146">
        <f t="shared" si="8"/>
        <v>0</v>
      </c>
      <c r="O38" s="146">
        <f t="shared" si="8"/>
        <v>0</v>
      </c>
      <c r="P38" s="146">
        <f t="shared" si="8"/>
        <v>0</v>
      </c>
      <c r="Q38" s="146">
        <f t="shared" si="8"/>
        <v>0</v>
      </c>
      <c r="R38" s="342">
        <f>SUM(R29:R37)</f>
        <v>102366655</v>
      </c>
      <c r="S38" s="150">
        <f>SUM(S29:S37)</f>
        <v>102366655</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v>1250000</v>
      </c>
      <c r="D40" s="147"/>
      <c r="E40" s="147">
        <v>1250000</v>
      </c>
      <c r="F40" s="147"/>
      <c r="G40" s="147"/>
      <c r="H40" s="147"/>
      <c r="I40" s="147"/>
      <c r="J40" s="147"/>
      <c r="K40" s="147"/>
      <c r="L40" s="147"/>
      <c r="M40" s="147"/>
      <c r="N40" s="147"/>
      <c r="O40" s="147"/>
      <c r="P40" s="147"/>
      <c r="Q40" s="147"/>
      <c r="R40" s="516">
        <f>SUM(E40:Q40)</f>
        <v>1250000</v>
      </c>
      <c r="S40" s="147">
        <f>R40</f>
        <v>1250000</v>
      </c>
      <c r="T40" s="147"/>
      <c r="U40" s="143"/>
    </row>
    <row r="41" spans="1:21" s="144" customFormat="1">
      <c r="A41" s="145" t="s">
        <v>146</v>
      </c>
      <c r="B41" s="146">
        <f>SUM(C41+D41)</f>
        <v>250000</v>
      </c>
      <c r="C41" s="147">
        <v>250000</v>
      </c>
      <c r="D41" s="147"/>
      <c r="E41" s="147">
        <v>250000</v>
      </c>
      <c r="F41" s="147"/>
      <c r="G41" s="147"/>
      <c r="H41" s="147"/>
      <c r="I41" s="147"/>
      <c r="J41" s="147"/>
      <c r="K41" s="147"/>
      <c r="L41" s="147"/>
      <c r="M41" s="147"/>
      <c r="N41" s="147"/>
      <c r="O41" s="147"/>
      <c r="P41" s="147"/>
      <c r="Q41" s="147"/>
      <c r="R41" s="516">
        <f>SUM(E41:Q41)</f>
        <v>250000</v>
      </c>
      <c r="S41" s="147">
        <f>R41</f>
        <v>250000</v>
      </c>
      <c r="T41" s="147"/>
      <c r="U41" s="143"/>
    </row>
    <row r="42" spans="1:21" s="144" customFormat="1">
      <c r="A42" s="149" t="s">
        <v>147</v>
      </c>
      <c r="B42" s="146">
        <f>SUM(C42:D42)</f>
        <v>1500000</v>
      </c>
      <c r="C42" s="146">
        <f>SUM(C39:C41)</f>
        <v>1500000</v>
      </c>
      <c r="D42" s="146">
        <f>SUM(D39:D41)</f>
        <v>0</v>
      </c>
      <c r="E42" s="146">
        <f t="shared" ref="E42:T42" si="9">SUM(E40:E41)</f>
        <v>1500000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1500000</v>
      </c>
      <c r="S42" s="150">
        <f t="shared" si="9"/>
        <v>1500000</v>
      </c>
      <c r="T42" s="150">
        <f t="shared" si="9"/>
        <v>0</v>
      </c>
      <c r="U42" s="143"/>
    </row>
    <row r="43" spans="1:21" s="144" customFormat="1">
      <c r="A43" s="149" t="s">
        <v>148</v>
      </c>
      <c r="B43" s="146">
        <f>SUM(C43:D43)</f>
        <v>490000</v>
      </c>
      <c r="C43" s="147">
        <v>490000</v>
      </c>
      <c r="D43" s="147"/>
      <c r="E43" s="147">
        <v>490000</v>
      </c>
      <c r="F43" s="147"/>
      <c r="G43" s="147"/>
      <c r="H43" s="147"/>
      <c r="I43" s="147"/>
      <c r="J43" s="147"/>
      <c r="K43" s="147"/>
      <c r="L43" s="147"/>
      <c r="M43" s="147"/>
      <c r="N43" s="147"/>
      <c r="O43" s="147"/>
      <c r="P43" s="147"/>
      <c r="Q43" s="147"/>
      <c r="R43" s="516">
        <f>SUM(E43:Q43)</f>
        <v>490000</v>
      </c>
      <c r="S43" s="147">
        <f>R43</f>
        <v>490000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10730000</v>
      </c>
      <c r="C45" s="147">
        <f>6000000+4730000</f>
        <v>10730000</v>
      </c>
      <c r="D45" s="147"/>
      <c r="E45" s="147">
        <f>6000000+4730000</f>
        <v>10730000</v>
      </c>
      <c r="F45" s="147"/>
      <c r="G45" s="147"/>
      <c r="H45" s="147"/>
      <c r="I45" s="147"/>
      <c r="J45" s="147"/>
      <c r="K45" s="147"/>
      <c r="L45" s="147"/>
      <c r="M45" s="147"/>
      <c r="N45" s="147"/>
      <c r="O45" s="147"/>
      <c r="P45" s="147"/>
      <c r="Q45" s="147"/>
      <c r="R45" s="516">
        <f t="shared" ref="R45:R53" si="11">SUM(E45:Q45)</f>
        <v>10730000</v>
      </c>
      <c r="S45" s="147">
        <f>R45</f>
        <v>10730000</v>
      </c>
      <c r="T45" s="147"/>
      <c r="U45" s="143"/>
    </row>
    <row r="46" spans="1:21" s="144" customFormat="1">
      <c r="A46" s="145" t="s">
        <v>151</v>
      </c>
      <c r="B46" s="146">
        <f t="shared" si="10"/>
        <v>600000</v>
      </c>
      <c r="C46" s="147">
        <v>600000</v>
      </c>
      <c r="D46" s="147"/>
      <c r="E46" s="147">
        <v>600000</v>
      </c>
      <c r="F46" s="147"/>
      <c r="G46" s="147"/>
      <c r="H46" s="147"/>
      <c r="I46" s="147"/>
      <c r="J46" s="147"/>
      <c r="K46" s="147"/>
      <c r="L46" s="147"/>
      <c r="M46" s="147"/>
      <c r="N46" s="147"/>
      <c r="O46" s="147"/>
      <c r="P46" s="147"/>
      <c r="Q46" s="147"/>
      <c r="R46" s="516">
        <f t="shared" si="11"/>
        <v>600000</v>
      </c>
      <c r="S46" s="147">
        <f>R46</f>
        <v>600000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180000</v>
      </c>
      <c r="C49" s="147">
        <v>180000</v>
      </c>
      <c r="D49" s="147"/>
      <c r="E49" s="147">
        <v>180000</v>
      </c>
      <c r="F49" s="147"/>
      <c r="G49" s="147"/>
      <c r="H49" s="147"/>
      <c r="I49" s="147"/>
      <c r="J49" s="147"/>
      <c r="K49" s="147"/>
      <c r="L49" s="147"/>
      <c r="M49" s="147"/>
      <c r="N49" s="147"/>
      <c r="O49" s="147"/>
      <c r="P49" s="147"/>
      <c r="Q49" s="147"/>
      <c r="R49" s="516">
        <f t="shared" si="11"/>
        <v>180000</v>
      </c>
      <c r="S49" s="147">
        <f>R49</f>
        <v>180000</v>
      </c>
      <c r="T49" s="147"/>
      <c r="U49" s="143"/>
    </row>
    <row r="50" spans="1:21" s="144" customFormat="1">
      <c r="A50" s="145" t="s">
        <v>156</v>
      </c>
      <c r="B50" s="146">
        <f t="shared" si="10"/>
        <v>150000</v>
      </c>
      <c r="C50" s="147">
        <v>150000</v>
      </c>
      <c r="D50" s="147"/>
      <c r="E50" s="147">
        <v>150000</v>
      </c>
      <c r="F50" s="147"/>
      <c r="G50" s="147"/>
      <c r="H50" s="147"/>
      <c r="I50" s="147"/>
      <c r="J50" s="147"/>
      <c r="K50" s="147"/>
      <c r="L50" s="147"/>
      <c r="M50" s="147"/>
      <c r="N50" s="147"/>
      <c r="O50" s="147"/>
      <c r="P50" s="147"/>
      <c r="Q50" s="147"/>
      <c r="R50" s="516">
        <f t="shared" si="11"/>
        <v>150000</v>
      </c>
      <c r="S50" s="147">
        <f>R50</f>
        <v>150000</v>
      </c>
      <c r="T50" s="147"/>
      <c r="U50" s="143"/>
    </row>
    <row r="51" spans="1:21" s="144" customFormat="1">
      <c r="A51" s="283" t="s">
        <v>154</v>
      </c>
      <c r="B51" s="146">
        <f t="shared" si="10"/>
        <v>120000</v>
      </c>
      <c r="C51" s="147">
        <v>120000</v>
      </c>
      <c r="D51" s="147"/>
      <c r="E51" s="147">
        <v>120000</v>
      </c>
      <c r="F51" s="147"/>
      <c r="G51" s="147"/>
      <c r="H51" s="147"/>
      <c r="I51" s="147"/>
      <c r="J51" s="147"/>
      <c r="K51" s="147"/>
      <c r="L51" s="147"/>
      <c r="M51" s="147"/>
      <c r="N51" s="147"/>
      <c r="O51" s="147"/>
      <c r="P51" s="147"/>
      <c r="Q51" s="147"/>
      <c r="R51" s="516">
        <f t="shared" si="11"/>
        <v>120000</v>
      </c>
      <c r="S51" s="147">
        <f>R51</f>
        <v>120000</v>
      </c>
      <c r="T51" s="147"/>
      <c r="U51" s="143"/>
    </row>
    <row r="52" spans="1:21" s="144" customFormat="1">
      <c r="A52" s="145" t="s">
        <v>155</v>
      </c>
      <c r="B52" s="146">
        <f t="shared" si="10"/>
        <v>603000</v>
      </c>
      <c r="C52" s="147">
        <v>603000</v>
      </c>
      <c r="D52" s="147"/>
      <c r="E52" s="147">
        <v>603000</v>
      </c>
      <c r="F52" s="147"/>
      <c r="G52" s="147"/>
      <c r="H52" s="147"/>
      <c r="I52" s="147"/>
      <c r="J52" s="147"/>
      <c r="K52" s="147"/>
      <c r="L52" s="147"/>
      <c r="M52" s="147"/>
      <c r="N52" s="147"/>
      <c r="O52" s="147"/>
      <c r="P52" s="147"/>
      <c r="Q52" s="147"/>
      <c r="R52" s="516">
        <f t="shared" si="11"/>
        <v>603000</v>
      </c>
      <c r="S52" s="147">
        <f>R52</f>
        <v>603000</v>
      </c>
      <c r="T52" s="147"/>
      <c r="U52" s="143"/>
    </row>
    <row r="53" spans="1:21" s="144" customFormat="1">
      <c r="A53" s="1149" t="s">
        <v>2756</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12503000</v>
      </c>
      <c r="C54" s="150">
        <f t="shared" ref="C54:T54" si="12">SUM(C45:C53)</f>
        <v>12503000</v>
      </c>
      <c r="D54" s="150">
        <f t="shared" si="12"/>
        <v>0</v>
      </c>
      <c r="E54" s="150">
        <f t="shared" si="12"/>
        <v>12503000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12503000</v>
      </c>
      <c r="S54" s="150">
        <f t="shared" si="12"/>
        <v>12503000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158000</v>
      </c>
      <c r="C56" s="147">
        <v>158000</v>
      </c>
      <c r="D56" s="147"/>
      <c r="E56" s="147"/>
      <c r="F56" s="147">
        <v>158000</v>
      </c>
      <c r="G56" s="147"/>
      <c r="H56" s="147"/>
      <c r="I56" s="147"/>
      <c r="J56" s="147"/>
      <c r="K56" s="147"/>
      <c r="L56" s="147"/>
      <c r="M56" s="147"/>
      <c r="N56" s="147"/>
      <c r="O56" s="147"/>
      <c r="P56" s="147"/>
      <c r="Q56" s="147"/>
      <c r="R56" s="516">
        <f t="shared" ref="R56:R61" si="14">SUM(E56:Q56)</f>
        <v>158000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208000</v>
      </c>
      <c r="C62" s="146">
        <f t="shared" ref="C62:R62" si="15">SUM(C56:C61)</f>
        <v>208000</v>
      </c>
      <c r="D62" s="146">
        <f t="shared" si="15"/>
        <v>0</v>
      </c>
      <c r="E62" s="146">
        <f t="shared" si="15"/>
        <v>0</v>
      </c>
      <c r="F62" s="146">
        <f t="shared" si="15"/>
        <v>208000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208000</v>
      </c>
      <c r="S62" s="148"/>
      <c r="T62" s="148"/>
      <c r="U62" s="143"/>
    </row>
    <row r="63" spans="1:21" s="144" customFormat="1">
      <c r="A63" s="154" t="s">
        <v>301</v>
      </c>
      <c r="B63" s="146">
        <f t="shared" ref="B63:R63" si="16">SUM(B8+B11+B13+B14+B15+B26+B27+B38+B42+B43+B54+B62)</f>
        <v>117067655</v>
      </c>
      <c r="C63" s="146">
        <f t="shared" si="16"/>
        <v>117067655</v>
      </c>
      <c r="D63" s="146">
        <f t="shared" si="16"/>
        <v>0</v>
      </c>
      <c r="E63" s="146">
        <f t="shared" si="16"/>
        <v>41850204</v>
      </c>
      <c r="F63" s="146">
        <f t="shared" si="16"/>
        <v>30289907</v>
      </c>
      <c r="G63" s="146">
        <f t="shared" si="16"/>
        <v>21500000</v>
      </c>
      <c r="H63" s="146">
        <f t="shared" si="16"/>
        <v>12000000</v>
      </c>
      <c r="I63" s="146">
        <f t="shared" si="16"/>
        <v>0</v>
      </c>
      <c r="J63" s="146">
        <f t="shared" si="16"/>
        <v>11427544</v>
      </c>
      <c r="K63" s="146">
        <f t="shared" si="16"/>
        <v>0</v>
      </c>
      <c r="L63" s="146">
        <f t="shared" si="16"/>
        <v>0</v>
      </c>
      <c r="M63" s="146">
        <f t="shared" si="16"/>
        <v>0</v>
      </c>
      <c r="N63" s="146">
        <f t="shared" si="16"/>
        <v>0</v>
      </c>
      <c r="O63" s="146">
        <f t="shared" si="16"/>
        <v>0</v>
      </c>
      <c r="P63" s="146">
        <f t="shared" si="16"/>
        <v>0</v>
      </c>
      <c r="Q63" s="146">
        <f t="shared" si="16"/>
        <v>0</v>
      </c>
      <c r="R63" s="342">
        <f t="shared" si="16"/>
        <v>117067655</v>
      </c>
      <c r="S63" s="146">
        <f>SUM(S10+S13+S14+S15+S26+S27+S38+S42+S43+S54)</f>
        <v>116859655</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195000</v>
      </c>
      <c r="C65" s="147">
        <v>195000</v>
      </c>
      <c r="D65" s="147"/>
      <c r="E65" s="147">
        <v>195000</v>
      </c>
      <c r="F65" s="147"/>
      <c r="G65" s="147"/>
      <c r="H65" s="147"/>
      <c r="I65" s="147"/>
      <c r="J65" s="147"/>
      <c r="K65" s="147"/>
      <c r="L65" s="147"/>
      <c r="M65" s="147"/>
      <c r="N65" s="147"/>
      <c r="O65" s="147"/>
      <c r="P65" s="147"/>
      <c r="Q65" s="147"/>
      <c r="R65" s="516">
        <f>SUM(E65:Q65)</f>
        <v>195000</v>
      </c>
      <c r="S65" s="147">
        <f>R65</f>
        <v>195000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2757</v>
      </c>
      <c r="B69" s="146">
        <f>SUM(C69+D69)</f>
        <v>267905</v>
      </c>
      <c r="C69" s="147">
        <v>267905</v>
      </c>
      <c r="D69" s="147"/>
      <c r="E69" s="147">
        <v>267905</v>
      </c>
      <c r="F69" s="147"/>
      <c r="G69" s="147"/>
      <c r="H69" s="147"/>
      <c r="I69" s="147"/>
      <c r="J69" s="147"/>
      <c r="K69" s="147"/>
      <c r="L69" s="147"/>
      <c r="M69" s="147"/>
      <c r="N69" s="147"/>
      <c r="O69" s="147"/>
      <c r="P69" s="147"/>
      <c r="Q69" s="147"/>
      <c r="R69" s="516">
        <f>SUM(E69:Q69)</f>
        <v>267905</v>
      </c>
      <c r="S69" s="147"/>
      <c r="T69" s="147"/>
      <c r="U69" s="143"/>
    </row>
    <row r="70" spans="1:21" s="144" customFormat="1">
      <c r="A70" s="149" t="s">
        <v>1644</v>
      </c>
      <c r="B70" s="146">
        <f>SUM(C70:D70)</f>
        <v>462905</v>
      </c>
      <c r="C70" s="146">
        <f>SUM(C65:C69)</f>
        <v>462905</v>
      </c>
      <c r="D70" s="146">
        <f>SUM(D65:D69)</f>
        <v>0</v>
      </c>
      <c r="E70" s="146">
        <f t="shared" ref="E70:T70" si="17">SUM(E65:E69)</f>
        <v>462905</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462905</v>
      </c>
      <c r="S70" s="150">
        <f t="shared" si="17"/>
        <v>195000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1310093</v>
      </c>
      <c r="C75" s="147">
        <v>1310093</v>
      </c>
      <c r="D75" s="147"/>
      <c r="E75" s="147"/>
      <c r="F75" s="147">
        <v>1310093</v>
      </c>
      <c r="G75" s="147"/>
      <c r="H75" s="147"/>
      <c r="I75" s="147"/>
      <c r="J75" s="147"/>
      <c r="K75" s="147"/>
      <c r="L75" s="147"/>
      <c r="M75" s="147"/>
      <c r="N75" s="147"/>
      <c r="O75" s="147"/>
      <c r="P75" s="147"/>
      <c r="Q75" s="147"/>
      <c r="R75" s="516">
        <f>SUM(E75:Q75)</f>
        <v>1310093</v>
      </c>
      <c r="S75" s="148"/>
      <c r="T75" s="148"/>
      <c r="U75" s="143"/>
    </row>
    <row r="76" spans="1:21" s="144" customFormat="1">
      <c r="A76" s="1149" t="s">
        <v>2758</v>
      </c>
      <c r="B76" s="146">
        <f>SUM(C76+D76)</f>
        <v>850000</v>
      </c>
      <c r="C76" s="147">
        <v>850000</v>
      </c>
      <c r="D76" s="147"/>
      <c r="E76" s="147">
        <v>850000</v>
      </c>
      <c r="F76" s="147"/>
      <c r="G76" s="147"/>
      <c r="H76" s="147"/>
      <c r="I76" s="147"/>
      <c r="J76" s="147"/>
      <c r="K76" s="147"/>
      <c r="L76" s="147"/>
      <c r="M76" s="147"/>
      <c r="N76" s="147"/>
      <c r="O76" s="147"/>
      <c r="P76" s="147"/>
      <c r="Q76" s="147"/>
      <c r="R76" s="516">
        <f>SUM(E76:Q76)</f>
        <v>850000</v>
      </c>
      <c r="S76" s="148"/>
      <c r="T76" s="148"/>
      <c r="U76" s="143"/>
    </row>
    <row r="77" spans="1:21" s="144" customFormat="1">
      <c r="A77" s="149" t="s">
        <v>606</v>
      </c>
      <c r="B77" s="146">
        <f>SUM(C77:D77)</f>
        <v>2160093</v>
      </c>
      <c r="C77" s="146">
        <f>SUM(C72:C76)</f>
        <v>2160093</v>
      </c>
      <c r="D77" s="146">
        <f>SUM(D72:D76)</f>
        <v>0</v>
      </c>
      <c r="E77" s="146">
        <f t="shared" ref="E77:Q77" si="18">SUM(E72:E76)</f>
        <v>850000</v>
      </c>
      <c r="F77" s="146">
        <f t="shared" si="18"/>
        <v>1310093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2160093</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5500000</v>
      </c>
      <c r="C79" s="147">
        <v>5500000</v>
      </c>
      <c r="D79" s="147"/>
      <c r="E79" s="147">
        <v>5500000</v>
      </c>
      <c r="F79" s="147"/>
      <c r="G79" s="147"/>
      <c r="H79" s="147"/>
      <c r="I79" s="147"/>
      <c r="J79" s="147"/>
      <c r="K79" s="147"/>
      <c r="L79" s="147"/>
      <c r="M79" s="147"/>
      <c r="N79" s="147"/>
      <c r="O79" s="147"/>
      <c r="P79" s="147"/>
      <c r="Q79" s="147"/>
      <c r="R79" s="516">
        <f>SUM(E79:Q79)</f>
        <v>5500000</v>
      </c>
      <c r="S79" s="147">
        <f>R79</f>
        <v>5500000</v>
      </c>
      <c r="T79" s="147"/>
      <c r="U79" s="143"/>
    </row>
    <row r="80" spans="1:21" s="144" customFormat="1">
      <c r="A80" s="283" t="s">
        <v>58</v>
      </c>
      <c r="B80" s="146">
        <f>SUM(C80:D80)</f>
        <v>800000</v>
      </c>
      <c r="C80" s="147">
        <v>800000</v>
      </c>
      <c r="D80" s="147"/>
      <c r="E80" s="147">
        <v>800000</v>
      </c>
      <c r="F80" s="147"/>
      <c r="G80" s="147"/>
      <c r="H80" s="147"/>
      <c r="I80" s="147"/>
      <c r="J80" s="147"/>
      <c r="K80" s="147"/>
      <c r="L80" s="147"/>
      <c r="M80" s="147"/>
      <c r="N80" s="147"/>
      <c r="O80" s="147"/>
      <c r="P80" s="147"/>
      <c r="Q80" s="147"/>
      <c r="R80" s="516">
        <f>SUM(E80:Q80)</f>
        <v>800000</v>
      </c>
      <c r="S80" s="147">
        <f>R80</f>
        <v>800000</v>
      </c>
      <c r="T80" s="147"/>
      <c r="U80" s="143"/>
    </row>
    <row r="81" spans="1:21" s="144" customFormat="1">
      <c r="A81" s="149" t="s">
        <v>1208</v>
      </c>
      <c r="B81" s="146">
        <f>SUM(C81:D81)</f>
        <v>6300000</v>
      </c>
      <c r="C81" s="509">
        <f>SUM(C79:C80)</f>
        <v>6300000</v>
      </c>
      <c r="D81" s="509">
        <f t="shared" ref="D81:T81" si="19">SUM(D79:D80)</f>
        <v>0</v>
      </c>
      <c r="E81" s="509">
        <f t="shared" si="19"/>
        <v>6300000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6300000</v>
      </c>
      <c r="S81" s="509">
        <f t="shared" si="19"/>
        <v>6300000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180835</v>
      </c>
      <c r="C83" s="147">
        <v>180835</v>
      </c>
      <c r="D83" s="147"/>
      <c r="E83" s="147">
        <v>180835</v>
      </c>
      <c r="F83" s="147"/>
      <c r="G83" s="147"/>
      <c r="H83" s="147"/>
      <c r="I83" s="147"/>
      <c r="J83" s="147"/>
      <c r="K83" s="147"/>
      <c r="L83" s="147"/>
      <c r="M83" s="147"/>
      <c r="N83" s="147"/>
      <c r="O83" s="147"/>
      <c r="P83" s="147"/>
      <c r="Q83" s="147"/>
      <c r="R83" s="516">
        <f t="shared" ref="R83:R95" si="21">SUM(E83:Q83)</f>
        <v>180835</v>
      </c>
      <c r="S83" s="148"/>
      <c r="T83" s="148"/>
      <c r="U83" s="143"/>
    </row>
    <row r="84" spans="1:21" s="144" customFormat="1">
      <c r="A84" s="145" t="s">
        <v>766</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767</v>
      </c>
      <c r="B85" s="146">
        <f t="shared" si="20"/>
        <v>9345368</v>
      </c>
      <c r="C85" s="147">
        <v>9345368</v>
      </c>
      <c r="D85" s="147"/>
      <c r="E85" s="147">
        <v>9345368</v>
      </c>
      <c r="F85" s="147"/>
      <c r="G85" s="147"/>
      <c r="H85" s="147"/>
      <c r="I85" s="147"/>
      <c r="J85" s="147"/>
      <c r="K85" s="147"/>
      <c r="L85" s="147"/>
      <c r="M85" s="147"/>
      <c r="N85" s="147"/>
      <c r="O85" s="147"/>
      <c r="P85" s="147"/>
      <c r="Q85" s="147"/>
      <c r="R85" s="516">
        <f t="shared" si="21"/>
        <v>9345368</v>
      </c>
      <c r="S85" s="147">
        <f>R85</f>
        <v>9345368</v>
      </c>
      <c r="T85" s="147"/>
      <c r="U85" s="143"/>
    </row>
    <row r="86" spans="1:21" s="144" customFormat="1">
      <c r="A86" s="145" t="s">
        <v>768</v>
      </c>
      <c r="B86" s="146">
        <f t="shared" si="20"/>
        <v>950000</v>
      </c>
      <c r="C86" s="147">
        <v>950000</v>
      </c>
      <c r="D86" s="147"/>
      <c r="E86" s="147">
        <v>950000</v>
      </c>
      <c r="F86" s="147"/>
      <c r="G86" s="147"/>
      <c r="H86" s="147"/>
      <c r="I86" s="147"/>
      <c r="J86" s="147"/>
      <c r="K86" s="147"/>
      <c r="L86" s="147"/>
      <c r="M86" s="147"/>
      <c r="N86" s="147"/>
      <c r="O86" s="147"/>
      <c r="P86" s="147"/>
      <c r="Q86" s="147"/>
      <c r="R86" s="516">
        <f t="shared" si="21"/>
        <v>950000</v>
      </c>
      <c r="S86" s="147">
        <f>R86</f>
        <v>950000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246623</v>
      </c>
      <c r="C88" s="147">
        <v>246623</v>
      </c>
      <c r="D88" s="147"/>
      <c r="E88" s="147">
        <v>246623</v>
      </c>
      <c r="F88" s="147"/>
      <c r="G88" s="147"/>
      <c r="H88" s="147"/>
      <c r="I88" s="147"/>
      <c r="J88" s="147"/>
      <c r="K88" s="147"/>
      <c r="L88" s="147"/>
      <c r="M88" s="147"/>
      <c r="N88" s="147"/>
      <c r="O88" s="147"/>
      <c r="P88" s="147"/>
      <c r="Q88" s="147"/>
      <c r="R88" s="516">
        <f t="shared" si="21"/>
        <v>246623</v>
      </c>
      <c r="S88" s="148"/>
      <c r="T88" s="148"/>
      <c r="U88" s="143"/>
    </row>
    <row r="89" spans="1:21" s="144" customFormat="1">
      <c r="A89" s="145" t="s">
        <v>771</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772</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1210</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2767</v>
      </c>
      <c r="B93" s="146">
        <f t="shared" si="20"/>
        <v>3251456</v>
      </c>
      <c r="C93" s="147">
        <v>3251456</v>
      </c>
      <c r="D93" s="147"/>
      <c r="E93" s="147"/>
      <c r="F93" s="147"/>
      <c r="G93" s="147"/>
      <c r="H93" s="147"/>
      <c r="I93" s="147"/>
      <c r="J93" s="147">
        <v>3251456</v>
      </c>
      <c r="K93" s="147"/>
      <c r="L93" s="147"/>
      <c r="M93" s="147"/>
      <c r="N93" s="147"/>
      <c r="O93" s="147"/>
      <c r="P93" s="147"/>
      <c r="Q93" s="147"/>
      <c r="R93" s="516">
        <f t="shared" si="21"/>
        <v>3251456</v>
      </c>
      <c r="S93" s="147">
        <v>1920340</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14074282</v>
      </c>
      <c r="C96" s="146">
        <f t="shared" ref="C96:R96" si="22">SUM(C83:C95)</f>
        <v>14074282</v>
      </c>
      <c r="D96" s="146">
        <f t="shared" si="22"/>
        <v>0</v>
      </c>
      <c r="E96" s="146">
        <f t="shared" si="22"/>
        <v>10822826</v>
      </c>
      <c r="F96" s="146">
        <f t="shared" si="22"/>
        <v>0</v>
      </c>
      <c r="G96" s="146">
        <f t="shared" si="22"/>
        <v>0</v>
      </c>
      <c r="H96" s="146">
        <f t="shared" si="22"/>
        <v>0</v>
      </c>
      <c r="I96" s="146">
        <f t="shared" si="22"/>
        <v>0</v>
      </c>
      <c r="J96" s="146">
        <f t="shared" si="22"/>
        <v>3251456</v>
      </c>
      <c r="K96" s="146">
        <f t="shared" si="22"/>
        <v>0</v>
      </c>
      <c r="L96" s="146">
        <f t="shared" si="22"/>
        <v>0</v>
      </c>
      <c r="M96" s="146">
        <f t="shared" si="22"/>
        <v>0</v>
      </c>
      <c r="N96" s="146">
        <f t="shared" si="22"/>
        <v>0</v>
      </c>
      <c r="O96" s="146">
        <f t="shared" si="22"/>
        <v>0</v>
      </c>
      <c r="P96" s="146">
        <f t="shared" si="22"/>
        <v>0</v>
      </c>
      <c r="Q96" s="146">
        <f t="shared" si="22"/>
        <v>0</v>
      </c>
      <c r="R96" s="342">
        <f t="shared" si="22"/>
        <v>14074282</v>
      </c>
      <c r="S96" s="150">
        <f>SUM(S84:S87,S89:S95)</f>
        <v>12315708</v>
      </c>
      <c r="T96" s="146">
        <f>SUM(T84:T87,T89:T95)</f>
        <v>0</v>
      </c>
      <c r="U96" s="143"/>
    </row>
    <row r="97" spans="1:21" s="144" customFormat="1">
      <c r="A97" s="149" t="s">
        <v>774</v>
      </c>
      <c r="B97" s="146">
        <f>SUM(C97:D97)</f>
        <v>140064935</v>
      </c>
      <c r="C97" s="146">
        <f t="shared" ref="C97:R97" si="23">SUM(C63+C70+C77+C81+C96)</f>
        <v>140064935</v>
      </c>
      <c r="D97" s="146">
        <f t="shared" si="23"/>
        <v>0</v>
      </c>
      <c r="E97" s="146">
        <f t="shared" si="23"/>
        <v>60285935</v>
      </c>
      <c r="F97" s="146">
        <f t="shared" si="23"/>
        <v>31600000</v>
      </c>
      <c r="G97" s="146">
        <f t="shared" si="23"/>
        <v>21500000</v>
      </c>
      <c r="H97" s="146">
        <f t="shared" si="23"/>
        <v>12000000</v>
      </c>
      <c r="I97" s="146">
        <f t="shared" si="23"/>
        <v>0</v>
      </c>
      <c r="J97" s="146">
        <f t="shared" si="23"/>
        <v>14679000</v>
      </c>
      <c r="K97" s="146">
        <f t="shared" si="23"/>
        <v>0</v>
      </c>
      <c r="L97" s="146">
        <f t="shared" si="23"/>
        <v>0</v>
      </c>
      <c r="M97" s="146">
        <f t="shared" si="23"/>
        <v>0</v>
      </c>
      <c r="N97" s="146">
        <f t="shared" si="23"/>
        <v>0</v>
      </c>
      <c r="O97" s="146">
        <f t="shared" si="23"/>
        <v>0</v>
      </c>
      <c r="P97" s="146">
        <f t="shared" si="23"/>
        <v>0</v>
      </c>
      <c r="Q97" s="146">
        <f t="shared" si="23"/>
        <v>0</v>
      </c>
      <c r="R97" s="146">
        <f t="shared" si="23"/>
        <v>140064935</v>
      </c>
      <c r="S97" s="146">
        <f>SUM(S63+S70+S81+S96)</f>
        <v>135670363</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19800000</v>
      </c>
      <c r="C99" s="979">
        <v>19800000</v>
      </c>
      <c r="D99" s="979"/>
      <c r="E99" s="979">
        <v>6000000</v>
      </c>
      <c r="F99" s="147"/>
      <c r="G99" s="147"/>
      <c r="H99" s="147"/>
      <c r="I99" s="147">
        <v>13800000</v>
      </c>
      <c r="J99" s="147"/>
      <c r="K99" s="147"/>
      <c r="L99" s="147"/>
      <c r="M99" s="147"/>
      <c r="N99" s="147"/>
      <c r="O99" s="147"/>
      <c r="P99" s="147"/>
      <c r="Q99" s="147"/>
      <c r="R99" s="516">
        <f>SUM(E99:Q99)</f>
        <v>19800000</v>
      </c>
      <c r="S99" s="147">
        <f>R99</f>
        <v>19800000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19800000</v>
      </c>
      <c r="C104" s="146">
        <f>SUM(C99:C103)</f>
        <v>19800000</v>
      </c>
      <c r="D104" s="146">
        <f t="shared" ref="D104:T104" si="24">SUM(D99:D103)</f>
        <v>0</v>
      </c>
      <c r="E104" s="146">
        <f t="shared" si="24"/>
        <v>6000000</v>
      </c>
      <c r="F104" s="146">
        <f t="shared" si="24"/>
        <v>0</v>
      </c>
      <c r="G104" s="146">
        <f t="shared" si="24"/>
        <v>0</v>
      </c>
      <c r="H104" s="146">
        <f t="shared" si="24"/>
        <v>0</v>
      </c>
      <c r="I104" s="146">
        <f t="shared" si="24"/>
        <v>13800000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19800000</v>
      </c>
      <c r="S104" s="150">
        <f t="shared" si="24"/>
        <v>19800000</v>
      </c>
      <c r="T104" s="150">
        <f t="shared" si="24"/>
        <v>0</v>
      </c>
      <c r="U104" s="143"/>
    </row>
    <row r="105" spans="1:21" s="144" customFormat="1">
      <c r="A105" s="149" t="s">
        <v>779</v>
      </c>
      <c r="B105" s="150">
        <f>SUM(C105:D105)</f>
        <v>159864935</v>
      </c>
      <c r="C105" s="150">
        <f t="shared" ref="C105:R105" si="25">SUM(C97+C104)</f>
        <v>159864935</v>
      </c>
      <c r="D105" s="150">
        <f t="shared" si="25"/>
        <v>0</v>
      </c>
      <c r="E105" s="150">
        <f t="shared" si="25"/>
        <v>66285935</v>
      </c>
      <c r="F105" s="150">
        <f t="shared" si="25"/>
        <v>31600000</v>
      </c>
      <c r="G105" s="150">
        <f t="shared" si="25"/>
        <v>21500000</v>
      </c>
      <c r="H105" s="150">
        <f t="shared" si="25"/>
        <v>12000000</v>
      </c>
      <c r="I105" s="150">
        <f t="shared" si="25"/>
        <v>13800000</v>
      </c>
      <c r="J105" s="150">
        <f t="shared" si="25"/>
        <v>14679000</v>
      </c>
      <c r="K105" s="150">
        <f t="shared" si="25"/>
        <v>0</v>
      </c>
      <c r="L105" s="150">
        <f t="shared" si="25"/>
        <v>0</v>
      </c>
      <c r="M105" s="150">
        <f t="shared" si="25"/>
        <v>0</v>
      </c>
      <c r="N105" s="150">
        <f t="shared" si="25"/>
        <v>0</v>
      </c>
      <c r="O105" s="150">
        <f t="shared" si="25"/>
        <v>0</v>
      </c>
      <c r="P105" s="150">
        <f t="shared" si="25"/>
        <v>0</v>
      </c>
      <c r="Q105" s="150">
        <f t="shared" si="25"/>
        <v>0</v>
      </c>
      <c r="R105" s="342">
        <f t="shared" si="25"/>
        <v>159864935</v>
      </c>
      <c r="S105" s="150">
        <f>S97+S104</f>
        <v>155470363</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155470363</v>
      </c>
      <c r="T107" s="150">
        <f>T105+T106</f>
        <v>0</v>
      </c>
    </row>
    <row r="108" spans="1:21" s="189" customFormat="1">
      <c r="A108" s="162" t="s">
        <v>878</v>
      </c>
      <c r="B108" s="157"/>
      <c r="C108" s="157"/>
      <c r="D108" s="157"/>
      <c r="E108" s="301">
        <f>Application!AO640</f>
        <v>66285935</v>
      </c>
      <c r="F108" s="301">
        <f>Application!AO627</f>
        <v>31600000</v>
      </c>
      <c r="G108" s="301">
        <f>Application!AO628</f>
        <v>21500000</v>
      </c>
      <c r="H108" s="301">
        <f>Application!AO629</f>
        <v>12000000</v>
      </c>
      <c r="I108" s="301">
        <f>Application!AO630</f>
        <v>13800000</v>
      </c>
      <c r="J108" s="301">
        <f>Application!AO631</f>
        <v>14679000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0" t="s">
        <v>1223</v>
      </c>
      <c r="E123" s="1554"/>
      <c r="F123" s="1554"/>
      <c r="G123" s="1554"/>
      <c r="H123" s="1554"/>
      <c r="I123" s="1554"/>
      <c r="J123" s="1554"/>
      <c r="K123" s="1554"/>
      <c r="L123" s="1554"/>
      <c r="M123" s="1554"/>
      <c r="N123" s="1554"/>
      <c r="O123" s="1554"/>
      <c r="P123" s="1554"/>
      <c r="Q123" s="1554"/>
      <c r="R123" s="1554"/>
      <c r="S123" s="1554"/>
      <c r="T123" s="324"/>
      <c r="U123" s="326"/>
    </row>
    <row r="124" spans="1:21" ht="12.5">
      <c r="A124" s="117" t="s">
        <v>991</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5">
      <c r="A125" s="117" t="s">
        <v>992</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5">
      <c r="A129" s="117" t="s">
        <v>299</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1" t="s">
        <v>999</v>
      </c>
      <c r="E132" s="1861"/>
      <c r="F132" s="1861"/>
      <c r="G132" s="1861"/>
      <c r="H132" s="1861"/>
      <c r="I132" s="117"/>
      <c r="J132" s="1861" t="s">
        <v>1000</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3">
      <c r="A139" s="1858" t="s">
        <v>1003</v>
      </c>
      <c r="B139" s="1858"/>
      <c r="C139" s="1858"/>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1" t="s">
        <v>1226</v>
      </c>
      <c r="B1" s="1872"/>
      <c r="C1" s="1872"/>
      <c r="D1" s="1872"/>
      <c r="E1" s="1872"/>
      <c r="F1" s="1872"/>
      <c r="G1" s="1872"/>
      <c r="H1" s="1872"/>
      <c r="I1" s="1872"/>
      <c r="J1" s="1873"/>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4338000</v>
      </c>
      <c r="C29" s="362"/>
      <c r="D29" s="362"/>
      <c r="E29" s="361">
        <f>'Sources and Uses Budget'!S29</f>
        <v>4338000</v>
      </c>
      <c r="F29" s="362"/>
      <c r="G29" s="362"/>
      <c r="H29" s="361">
        <f>'Sources and Uses Budget'!T29</f>
        <v>0</v>
      </c>
      <c r="I29" s="362"/>
      <c r="J29" s="362"/>
      <c r="K29" s="359"/>
    </row>
    <row r="30" spans="1:11" s="360" customFormat="1">
      <c r="A30" s="145" t="s">
        <v>599</v>
      </c>
      <c r="B30" s="361">
        <f>'Sources and Uses Budget'!C30</f>
        <v>86737162</v>
      </c>
      <c r="C30" s="362"/>
      <c r="D30" s="362"/>
      <c r="E30" s="361">
        <f>'Sources and Uses Budget'!S30</f>
        <v>86737162</v>
      </c>
      <c r="F30" s="362"/>
      <c r="G30" s="362"/>
      <c r="H30" s="361">
        <f>'Sources and Uses Budget'!T30</f>
        <v>0</v>
      </c>
      <c r="I30" s="362"/>
      <c r="J30" s="362"/>
      <c r="K30" s="359"/>
    </row>
    <row r="31" spans="1:11" s="360" customFormat="1">
      <c r="A31" s="145" t="s">
        <v>600</v>
      </c>
      <c r="B31" s="361">
        <f>'Sources and Uses Budget'!C31</f>
        <v>4553758</v>
      </c>
      <c r="C31" s="362"/>
      <c r="D31" s="362"/>
      <c r="E31" s="361">
        <f>'Sources and Uses Budget'!S31</f>
        <v>4553758</v>
      </c>
      <c r="F31" s="362"/>
      <c r="G31" s="362"/>
      <c r="H31" s="361">
        <f>'Sources and Uses Budget'!T31</f>
        <v>0</v>
      </c>
      <c r="I31" s="362"/>
      <c r="J31" s="362"/>
      <c r="K31" s="359"/>
    </row>
    <row r="32" spans="1:11" s="360" customFormat="1">
      <c r="A32" s="145" t="s">
        <v>137</v>
      </c>
      <c r="B32" s="361">
        <f>'Sources and Uses Budget'!C32</f>
        <v>1912578</v>
      </c>
      <c r="C32" s="362"/>
      <c r="D32" s="362"/>
      <c r="E32" s="361">
        <f>'Sources and Uses Budget'!S32</f>
        <v>1912578</v>
      </c>
      <c r="F32" s="362"/>
      <c r="G32" s="362"/>
      <c r="H32" s="361">
        <f>'Sources and Uses Budget'!T32</f>
        <v>0</v>
      </c>
      <c r="I32" s="362"/>
      <c r="J32" s="362"/>
      <c r="K32" s="359"/>
    </row>
    <row r="33" spans="1:11" s="360" customFormat="1">
      <c r="A33" s="145" t="s">
        <v>138</v>
      </c>
      <c r="B33" s="361">
        <f>'Sources and Uses Budget'!C33</f>
        <v>3825157</v>
      </c>
      <c r="C33" s="362"/>
      <c r="D33" s="362"/>
      <c r="E33" s="361">
        <f>'Sources and Uses Budget'!S33</f>
        <v>3825157</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1000000</v>
      </c>
      <c r="C35" s="362"/>
      <c r="D35" s="362"/>
      <c r="E35" s="361">
        <f>'Sources and Uses Budget'!S35</f>
        <v>1000000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102366655</v>
      </c>
      <c r="C38" s="361">
        <f>SUM(C29:C37)</f>
        <v>0</v>
      </c>
      <c r="D38" s="361">
        <f>SUM(D29:D37)</f>
        <v>0</v>
      </c>
      <c r="E38" s="361">
        <f>'Sources and Uses Budget'!S38</f>
        <v>102366655</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1250000</v>
      </c>
      <c r="C40" s="362"/>
      <c r="D40" s="362"/>
      <c r="E40" s="361">
        <f>'Sources and Uses Budget'!S40</f>
        <v>1250000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1500000</v>
      </c>
      <c r="C42" s="361">
        <f>SUM(C39:C41)</f>
        <v>0</v>
      </c>
      <c r="D42" s="361">
        <f>SUM(D39:D41)</f>
        <v>0</v>
      </c>
      <c r="E42" s="361">
        <f>'Sources and Uses Budget'!S42</f>
        <v>1500000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490000</v>
      </c>
      <c r="C43" s="362"/>
      <c r="D43" s="362"/>
      <c r="E43" s="361">
        <f>'Sources and Uses Budget'!S43</f>
        <v>490000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10730000</v>
      </c>
      <c r="C45" s="362"/>
      <c r="D45" s="362"/>
      <c r="E45" s="361">
        <f>'Sources and Uses Budget'!S45</f>
        <v>10730000</v>
      </c>
      <c r="F45" s="362"/>
      <c r="G45" s="362"/>
      <c r="H45" s="361">
        <f>'Sources and Uses Budget'!T45</f>
        <v>0</v>
      </c>
      <c r="I45" s="362"/>
      <c r="J45" s="362"/>
      <c r="K45" s="359"/>
    </row>
    <row r="46" spans="1:11" s="360" customFormat="1">
      <c r="A46" s="364" t="s">
        <v>151</v>
      </c>
      <c r="B46" s="361">
        <f>'Sources and Uses Budget'!C46</f>
        <v>600000</v>
      </c>
      <c r="C46" s="362"/>
      <c r="D46" s="362"/>
      <c r="E46" s="361">
        <f>'Sources and Uses Budget'!S46</f>
        <v>600000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180000</v>
      </c>
      <c r="C49" s="362"/>
      <c r="D49" s="362"/>
      <c r="E49" s="361">
        <f>'Sources and Uses Budget'!S49</f>
        <v>180000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150000</v>
      </c>
      <c r="F50" s="362"/>
      <c r="G50" s="362"/>
      <c r="H50" s="361">
        <f>'Sources and Uses Budget'!T50</f>
        <v>0</v>
      </c>
      <c r="I50" s="362"/>
      <c r="J50" s="362"/>
      <c r="K50" s="359"/>
    </row>
    <row r="51" spans="1:11" s="360" customFormat="1">
      <c r="A51" s="364" t="s">
        <v>154</v>
      </c>
      <c r="B51" s="361">
        <f>'Sources and Uses Budget'!C51</f>
        <v>120000</v>
      </c>
      <c r="C51" s="362"/>
      <c r="D51" s="362"/>
      <c r="E51" s="361">
        <f>'Sources and Uses Budget'!S51</f>
        <v>120000</v>
      </c>
      <c r="F51" s="362"/>
      <c r="G51" s="362"/>
      <c r="H51" s="361">
        <f>'Sources and Uses Budget'!T51</f>
        <v>0</v>
      </c>
      <c r="I51" s="362"/>
      <c r="J51" s="362"/>
      <c r="K51" s="359"/>
    </row>
    <row r="52" spans="1:11" s="360" customFormat="1">
      <c r="A52" s="364" t="s">
        <v>155</v>
      </c>
      <c r="B52" s="361">
        <f>'Sources and Uses Budget'!C52</f>
        <v>603000</v>
      </c>
      <c r="C52" s="362"/>
      <c r="D52" s="362"/>
      <c r="E52" s="361">
        <f>'Sources and Uses Budget'!S52</f>
        <v>603000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12503000</v>
      </c>
      <c r="C54" s="367">
        <f>SUM(C45:C53)</f>
        <v>0</v>
      </c>
      <c r="D54" s="367">
        <f>SUM(D45:D53)</f>
        <v>0</v>
      </c>
      <c r="E54" s="361">
        <f>'Sources and Uses Budget'!S54</f>
        <v>12503000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158000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208000</v>
      </c>
      <c r="C62" s="361">
        <f>SUM(C56:C61)</f>
        <v>0</v>
      </c>
      <c r="D62" s="361">
        <f>SUM(D56:D61)</f>
        <v>0</v>
      </c>
      <c r="E62" s="363"/>
      <c r="F62" s="363"/>
      <c r="G62" s="363"/>
      <c r="H62" s="363"/>
      <c r="I62" s="363"/>
      <c r="J62" s="363"/>
      <c r="K62" s="359"/>
    </row>
    <row r="63" spans="1:11" s="360" customFormat="1">
      <c r="A63" s="370" t="s">
        <v>301</v>
      </c>
      <c r="B63" s="361">
        <f>'Sources and Uses Budget'!C63</f>
        <v>117067655</v>
      </c>
      <c r="C63" s="361">
        <f>SUM(C8+C11+C13+C14+C15+C26+C27+C38+C42+C43+C54+C62)</f>
        <v>0</v>
      </c>
      <c r="D63" s="361">
        <f>SUM(D8+D11+D13+D14+D15+D26+D27+D38+D42+D43+D54+D62)</f>
        <v>0</v>
      </c>
      <c r="E63" s="361">
        <f>'Sources and Uses Budget'!S63</f>
        <v>116859655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195000</v>
      </c>
      <c r="C65" s="362"/>
      <c r="D65" s="362"/>
      <c r="E65" s="361">
        <f>'Sources and Uses Budget'!S65</f>
        <v>195000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267905</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462905</v>
      </c>
      <c r="C70" s="361">
        <f>SUM(C64:C69)</f>
        <v>0</v>
      </c>
      <c r="D70" s="361">
        <f>SUM(D64:D69)</f>
        <v>0</v>
      </c>
      <c r="E70" s="361">
        <f>'Sources and Uses Budget'!S70</f>
        <v>195000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1310093</v>
      </c>
      <c r="C75" s="362"/>
      <c r="D75" s="362"/>
      <c r="E75" s="363"/>
      <c r="F75" s="363"/>
      <c r="G75" s="363"/>
      <c r="H75" s="363"/>
      <c r="I75" s="363"/>
      <c r="J75" s="363"/>
      <c r="K75" s="359"/>
    </row>
    <row r="76" spans="1:11" s="360" customFormat="1">
      <c r="A76" s="364" t="str">
        <f>'Sources and Uses Budget'!$A76</f>
        <v>Post Construction Interest Reserve</v>
      </c>
      <c r="B76" s="361">
        <f>'Sources and Uses Budget'!C76</f>
        <v>850000</v>
      </c>
      <c r="C76" s="362"/>
      <c r="D76" s="362"/>
      <c r="E76" s="363"/>
      <c r="F76" s="363"/>
      <c r="G76" s="363"/>
      <c r="H76" s="363"/>
      <c r="I76" s="363"/>
      <c r="J76" s="363"/>
      <c r="K76" s="359"/>
    </row>
    <row r="77" spans="1:11" s="360" customFormat="1">
      <c r="A77" s="365" t="s">
        <v>606</v>
      </c>
      <c r="B77" s="361">
        <f>'Sources and Uses Budget'!C77</f>
        <v>2160093</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5500000</v>
      </c>
      <c r="C79" s="362"/>
      <c r="D79" s="362"/>
      <c r="E79" s="361">
        <f>'Sources and Uses Budget'!S79</f>
        <v>5500000</v>
      </c>
      <c r="F79" s="362"/>
      <c r="G79" s="362"/>
      <c r="H79" s="361">
        <f>'Sources and Uses Budget'!T79</f>
        <v>0</v>
      </c>
      <c r="I79" s="362"/>
      <c r="J79" s="362"/>
      <c r="K79" s="359"/>
    </row>
    <row r="80" spans="1:11" s="360" customFormat="1">
      <c r="A80" s="364" t="s">
        <v>58</v>
      </c>
      <c r="B80" s="361">
        <f>'Sources and Uses Budget'!C80</f>
        <v>800000</v>
      </c>
      <c r="C80" s="362"/>
      <c r="D80" s="362"/>
      <c r="E80" s="361">
        <f>'Sources and Uses Budget'!S80</f>
        <v>800000</v>
      </c>
      <c r="F80" s="362"/>
      <c r="G80" s="362"/>
      <c r="H80" s="361">
        <f>'Sources and Uses Budget'!T80</f>
        <v>0</v>
      </c>
      <c r="I80" s="362"/>
      <c r="J80" s="362"/>
      <c r="K80" s="359"/>
    </row>
    <row r="81" spans="1:11" s="360" customFormat="1">
      <c r="A81" s="365" t="s">
        <v>1208</v>
      </c>
      <c r="B81" s="361">
        <f>'Sources and Uses Budget'!C81</f>
        <v>6300000</v>
      </c>
      <c r="C81" s="361">
        <f>SUM(C79:C80)</f>
        <v>0</v>
      </c>
      <c r="D81" s="361">
        <f>SUM(D79:D80)</f>
        <v>0</v>
      </c>
      <c r="E81" s="361">
        <f>'Sources and Uses Budget'!S81</f>
        <v>6300000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2094</v>
      </c>
      <c r="B83" s="361">
        <f>'Sources and Uses Budget'!C83</f>
        <v>180835</v>
      </c>
      <c r="C83" s="362"/>
      <c r="D83" s="362"/>
      <c r="E83" s="363"/>
      <c r="F83" s="363"/>
      <c r="G83" s="363"/>
      <c r="H83" s="363"/>
      <c r="I83" s="363"/>
      <c r="J83" s="363"/>
      <c r="K83" s="359"/>
    </row>
    <row r="84" spans="1:11" s="360" customFormat="1">
      <c r="A84" s="145" t="s">
        <v>766</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767</v>
      </c>
      <c r="B85" s="361">
        <f>'Sources and Uses Budget'!C85</f>
        <v>9345368</v>
      </c>
      <c r="C85" s="362"/>
      <c r="D85" s="362"/>
      <c r="E85" s="361">
        <f>'Sources and Uses Budget'!S85</f>
        <v>9345368</v>
      </c>
      <c r="F85" s="362"/>
      <c r="G85" s="362"/>
      <c r="H85" s="361">
        <f>'Sources and Uses Budget'!T85</f>
        <v>0</v>
      </c>
      <c r="I85" s="362"/>
      <c r="J85" s="362"/>
      <c r="K85" s="359"/>
    </row>
    <row r="86" spans="1:11" s="360" customFormat="1">
      <c r="A86" s="145" t="s">
        <v>768</v>
      </c>
      <c r="B86" s="361">
        <f>'Sources and Uses Budget'!C86</f>
        <v>950000</v>
      </c>
      <c r="C86" s="362"/>
      <c r="D86" s="362"/>
      <c r="E86" s="361">
        <f>'Sources and Uses Budget'!S86</f>
        <v>950000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246623</v>
      </c>
      <c r="C88" s="362"/>
      <c r="D88" s="362"/>
      <c r="E88" s="363"/>
      <c r="F88" s="363"/>
      <c r="G88" s="363"/>
      <c r="H88" s="363"/>
      <c r="I88" s="363"/>
      <c r="J88" s="363"/>
      <c r="K88" s="359"/>
    </row>
    <row r="89" spans="1:11" s="360" customFormat="1">
      <c r="A89" s="145" t="s">
        <v>771</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Construction Period Ground Rent</v>
      </c>
      <c r="B93" s="361">
        <f>'Sources and Uses Budget'!C93</f>
        <v>3251456</v>
      </c>
      <c r="C93" s="362"/>
      <c r="D93" s="362"/>
      <c r="E93" s="361">
        <f>'Sources and Uses Budget'!S93</f>
        <v>1920340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14074282</v>
      </c>
      <c r="C96" s="361">
        <f>SUM(C83:C95)</f>
        <v>0</v>
      </c>
      <c r="D96" s="361">
        <f>SUM(D83:D95)</f>
        <v>0</v>
      </c>
      <c r="E96" s="361">
        <f>'Sources and Uses Budget'!S96</f>
        <v>12315708</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140064935</v>
      </c>
      <c r="C97" s="361">
        <f>SUM(C63+C70+C77+C81+C96)</f>
        <v>0</v>
      </c>
      <c r="D97" s="361">
        <f>SUM(D63+D70+D77+D81+D96)</f>
        <v>0</v>
      </c>
      <c r="E97" s="361">
        <f>'Sources and Uses Budget'!S97</f>
        <v>135670363</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19800000</v>
      </c>
      <c r="C99" s="362"/>
      <c r="D99" s="362"/>
      <c r="E99" s="361">
        <f>'Sources and Uses Budget'!S99</f>
        <v>19800000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19800000</v>
      </c>
      <c r="C104" s="361">
        <f>SUM(C99:C103)</f>
        <v>0</v>
      </c>
      <c r="D104" s="361">
        <f>SUM(D99:D103)</f>
        <v>0</v>
      </c>
      <c r="E104" s="361">
        <f>'Sources and Uses Budget'!S104</f>
        <v>19800000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159864935</v>
      </c>
      <c r="C105" s="367">
        <f>SUM(C97+C104)</f>
        <v>0</v>
      </c>
      <c r="D105" s="367">
        <f>SUM(D97+D104)</f>
        <v>0</v>
      </c>
      <c r="E105" s="361">
        <f>'Sources and Uses Budget'!S105</f>
        <v>155470363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155470363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4" t="str">
        <f>IF(Application!H18="","",Application!H18)</f>
        <v>Warm Springs Apartments</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Fremont Warm Springs Pacific Associates, LP</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2098</v>
      </c>
      <c r="AQ8" s="1878"/>
      <c r="AR8" s="1878"/>
      <c r="AS8" s="1878"/>
      <c r="AT8" s="1878"/>
      <c r="AU8" s="1878"/>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1903">
        <f>Application!AO627</f>
        <v>31600000</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1" t="s">
        <v>2440</v>
      </c>
      <c r="C13" s="1892"/>
      <c r="D13" s="1892"/>
      <c r="E13" s="1892"/>
      <c r="F13" s="1892"/>
      <c r="G13" s="1892"/>
      <c r="H13" s="1892"/>
      <c r="I13" s="1892"/>
      <c r="J13" s="1892"/>
      <c r="K13" s="1892"/>
      <c r="L13" s="1892"/>
      <c r="M13" s="1892"/>
      <c r="N13" s="1892"/>
      <c r="O13" s="1892"/>
      <c r="P13" s="1893"/>
      <c r="Q13" s="1894" t="s">
        <v>668</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37</v>
      </c>
      <c r="AP13" s="1899"/>
      <c r="AQ13" s="1899"/>
      <c r="AR13" s="1899"/>
      <c r="AS13" s="1899"/>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1585</v>
      </c>
      <c r="K18" s="1916"/>
      <c r="L18" s="1916"/>
      <c r="M18" s="1916"/>
      <c r="N18" s="1916"/>
      <c r="O18" s="1917"/>
      <c r="P18" s="1915" t="s">
        <v>323</v>
      </c>
      <c r="Q18" s="1916"/>
      <c r="R18" s="1916"/>
      <c r="S18" s="1916"/>
      <c r="T18" s="1916"/>
      <c r="U18" s="1917"/>
      <c r="V18" s="1915" t="s">
        <v>324</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4.5">
      <c r="A19" s="1190"/>
      <c r="B19" s="1919">
        <v>0.3</v>
      </c>
      <c r="C19" s="1920"/>
      <c r="D19" s="1920"/>
      <c r="E19" s="1920"/>
      <c r="F19" s="1920"/>
      <c r="G19" s="1920"/>
      <c r="H19" s="1920"/>
      <c r="I19" s="1921"/>
      <c r="J19" s="1922">
        <f t="shared" ref="J19:J24" si="0">SUM(P19:AS19)</f>
        <v>56</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52</v>
      </c>
      <c r="W19" s="1923"/>
      <c r="X19" s="1923"/>
      <c r="Y19" s="1923"/>
      <c r="Z19" s="1923"/>
      <c r="AA19" s="1924"/>
      <c r="AB19" s="1922" cm="1">
        <f t="array" ref="AB19">SUMPRODUCT((Application!$B$714:$B$738 = 'CalHFA Addendum'!AB$18)*(Application!$AC$714:$AC$738 = 'CalHFA Addendum'!$B19),Application!$G$714:$G$738)</f>
        <v>2</v>
      </c>
      <c r="AC19" s="1923"/>
      <c r="AD19" s="1923"/>
      <c r="AE19" s="1923"/>
      <c r="AF19" s="1923"/>
      <c r="AG19" s="1924"/>
      <c r="AH19" s="1922" cm="1">
        <f t="array" ref="AH19">SUMPRODUCT((Application!$B$714:$B$738 = 'CalHFA Addendum'!AH$18)*(Application!$AC$714:$AC$738 = 'CalHFA Addendum'!$B19),Application!$G$714:$G$738)</f>
        <v>2</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0.23236514522821577</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4.5">
      <c r="A21" s="1190"/>
      <c r="B21" s="1919">
        <v>0.5</v>
      </c>
      <c r="C21" s="1920"/>
      <c r="D21" s="1920"/>
      <c r="E21" s="1920"/>
      <c r="F21" s="1920"/>
      <c r="G21" s="1920"/>
      <c r="H21" s="1920"/>
      <c r="I21" s="1921"/>
      <c r="J21" s="1922">
        <f t="shared" si="0"/>
        <v>6</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2</v>
      </c>
      <c r="W21" s="1923"/>
      <c r="X21" s="1923"/>
      <c r="Y21" s="1923"/>
      <c r="Z21" s="1923"/>
      <c r="AA21" s="1924"/>
      <c r="AB21" s="1922" cm="1">
        <f t="array" ref="AB21">SUMPRODUCT((Application!$B$714:$B$738 = 'CalHFA Addendum'!AB$18)*(Application!$AC$714:$AC$738 = 'CalHFA Addendum'!$B21),Application!$G$714:$G$738)</f>
        <v>2</v>
      </c>
      <c r="AC21" s="1923"/>
      <c r="AD21" s="1923"/>
      <c r="AE21" s="1923"/>
      <c r="AF21" s="1923"/>
      <c r="AG21" s="1924"/>
      <c r="AH21" s="1922" cm="1">
        <f t="array" ref="AH21">SUMPRODUCT((Application!$B$714:$B$738 = 'CalHFA Addendum'!AH$18)*(Application!$AC$714:$AC$738 = 'CalHFA Addendum'!$B21),Application!$G$714:$G$738)</f>
        <v>2</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2.4896265560165973E-2</v>
      </c>
      <c r="AU21" s="1926"/>
      <c r="AV21" s="1926"/>
      <c r="AW21" s="1926"/>
      <c r="AX21" s="1926"/>
      <c r="AY21" s="1927"/>
      <c r="AZ21" s="1190"/>
      <c r="BA21" s="1190"/>
      <c r="BB21" s="1190"/>
      <c r="BC21" s="1190"/>
      <c r="BD21" s="1190"/>
      <c r="BE21" s="1194"/>
    </row>
    <row r="22" spans="1:58" ht="14.5">
      <c r="A22" s="1190"/>
      <c r="B22" s="1919">
        <v>0.6</v>
      </c>
      <c r="C22" s="1920"/>
      <c r="D22" s="1920"/>
      <c r="E22" s="1920"/>
      <c r="F22" s="1920"/>
      <c r="G22" s="1920"/>
      <c r="H22" s="1920"/>
      <c r="I22" s="1921"/>
      <c r="J22" s="1922">
        <f t="shared" si="0"/>
        <v>6</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2</v>
      </c>
      <c r="W22" s="1923"/>
      <c r="X22" s="1923"/>
      <c r="Y22" s="1923"/>
      <c r="Z22" s="1923"/>
      <c r="AA22" s="1924"/>
      <c r="AB22" s="1922" cm="1">
        <f t="array" ref="AB22">SUMPRODUCT((Application!$B$714:$B$738 = 'CalHFA Addendum'!AB$18)*(Application!$AC$714:$AC$738 = 'CalHFA Addendum'!$B22),Application!$G$714:$G$738)</f>
        <v>2</v>
      </c>
      <c r="AC22" s="1923"/>
      <c r="AD22" s="1923"/>
      <c r="AE22" s="1923"/>
      <c r="AF22" s="1923"/>
      <c r="AG22" s="1924"/>
      <c r="AH22" s="1922" cm="1">
        <f t="array" ref="AH22">SUMPRODUCT((Application!$B$714:$B$738 = 'CalHFA Addendum'!AH$18)*(Application!$AC$714:$AC$738 = 'CalHFA Addendum'!$B22),Application!$G$714:$G$738)</f>
        <v>2</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2.4896265560165973E-2</v>
      </c>
      <c r="AU22" s="1926"/>
      <c r="AV22" s="1926"/>
      <c r="AW22" s="1926"/>
      <c r="AX22" s="1926"/>
      <c r="AY22" s="1927"/>
      <c r="AZ22" s="1190"/>
      <c r="BA22" s="1190"/>
      <c r="BB22" s="1190"/>
      <c r="BC22" s="1190"/>
      <c r="BD22" s="1190"/>
      <c r="BE22" s="1194"/>
    </row>
    <row r="23" spans="1:58" ht="14.5">
      <c r="A23" s="1190"/>
      <c r="B23" s="1919">
        <v>0.7</v>
      </c>
      <c r="C23" s="1920"/>
      <c r="D23" s="1920"/>
      <c r="E23" s="1920"/>
      <c r="F23" s="1920"/>
      <c r="G23" s="1920"/>
      <c r="H23" s="1920"/>
      <c r="I23" s="1921"/>
      <c r="J23" s="1922">
        <f t="shared" si="0"/>
        <v>171</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58</v>
      </c>
      <c r="W23" s="1923"/>
      <c r="X23" s="1923"/>
      <c r="Y23" s="1923"/>
      <c r="Z23" s="1923"/>
      <c r="AA23" s="1924"/>
      <c r="AB23" s="1922" cm="1">
        <f t="array" ref="AB23">SUMPRODUCT((Application!$B$714:$B$738 = 'CalHFA Addendum'!AB$18)*(Application!$AC$714:$AC$738 = 'CalHFA Addendum'!$B23),Application!$G$714:$G$738)</f>
        <v>56</v>
      </c>
      <c r="AC23" s="1923"/>
      <c r="AD23" s="1923"/>
      <c r="AE23" s="1923"/>
      <c r="AF23" s="1923"/>
      <c r="AG23" s="1924"/>
      <c r="AH23" s="1922" cm="1">
        <f t="array" ref="AH23">SUMPRODUCT((Application!$B$714:$B$738 = 'CalHFA Addendum'!AH$18)*(Application!$AC$714:$AC$738 = 'CalHFA Addendum'!$B23),Application!$G$714:$G$738)</f>
        <v>57</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0.70954356846473032</v>
      </c>
      <c r="AU23" s="1926"/>
      <c r="AV23" s="1926"/>
      <c r="AW23" s="1926"/>
      <c r="AX23" s="1926"/>
      <c r="AY23" s="1927"/>
      <c r="AZ23" s="1190"/>
      <c r="BA23" s="1190"/>
      <c r="BB23" s="1190"/>
      <c r="BC23" s="1190"/>
      <c r="BD23" s="1190"/>
      <c r="BE23" s="1194"/>
    </row>
    <row r="24" spans="1:58" ht="14.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4.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2431</v>
      </c>
      <c r="C28" s="1932"/>
      <c r="D28" s="1932"/>
      <c r="E28" s="1932"/>
      <c r="F28" s="1932"/>
      <c r="G28" s="1932"/>
      <c r="H28" s="1932"/>
      <c r="I28" s="1933"/>
      <c r="J28" s="1934">
        <f>SUM(P28:AS28)</f>
        <v>2</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2</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8.2987551867219917E-3</v>
      </c>
      <c r="AU28" s="1938"/>
      <c r="AV28" s="1938"/>
      <c r="AW28" s="1938"/>
      <c r="AX28" s="1938"/>
      <c r="AY28" s="1939"/>
      <c r="AZ28" s="1190"/>
      <c r="BA28" s="1190"/>
      <c r="BB28" s="1190"/>
      <c r="BC28" s="1190"/>
      <c r="BD28" s="1190"/>
      <c r="BE28" s="1194"/>
    </row>
    <row r="29" spans="1:58" ht="15" thickBot="1">
      <c r="A29" s="1190"/>
      <c r="B29" s="1968" t="s">
        <v>1585</v>
      </c>
      <c r="C29" s="1941"/>
      <c r="D29" s="1941"/>
      <c r="E29" s="1941"/>
      <c r="F29" s="1941"/>
      <c r="G29" s="1941"/>
      <c r="H29" s="1941"/>
      <c r="I29" s="1942"/>
      <c r="J29" s="1940">
        <f>SUM(J19:O28)</f>
        <v>241</v>
      </c>
      <c r="K29" s="1941"/>
      <c r="L29" s="1941"/>
      <c r="M29" s="1941"/>
      <c r="N29" s="1941"/>
      <c r="O29" s="1942"/>
      <c r="P29" s="1940">
        <f>SUM(P19:U28)</f>
        <v>0</v>
      </c>
      <c r="Q29" s="1941"/>
      <c r="R29" s="1941"/>
      <c r="S29" s="1941"/>
      <c r="T29" s="1941"/>
      <c r="U29" s="1942"/>
      <c r="V29" s="1940">
        <f>SUM(V19:AA28)</f>
        <v>114</v>
      </c>
      <c r="W29" s="1941"/>
      <c r="X29" s="1941"/>
      <c r="Y29" s="1941"/>
      <c r="Z29" s="1941"/>
      <c r="AA29" s="1942"/>
      <c r="AB29" s="1940">
        <f>SUM(AB19:AG28)</f>
        <v>64</v>
      </c>
      <c r="AC29" s="1941"/>
      <c r="AD29" s="1941"/>
      <c r="AE29" s="1941"/>
      <c r="AF29" s="1941"/>
      <c r="AG29" s="1942"/>
      <c r="AH29" s="1940">
        <f>SUM(AH19:AM28)</f>
        <v>63</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299</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1585</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668</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668</v>
      </c>
      <c r="AW69" s="2032"/>
      <c r="AX69" s="2032"/>
      <c r="AY69" s="2032"/>
      <c r="AZ69" s="2032"/>
      <c r="BA69" s="2032"/>
      <c r="BB69" s="2032"/>
      <c r="BC69" s="2033"/>
      <c r="BD69" s="1190"/>
      <c r="BE69" s="1194"/>
      <c r="BM69" s="1200" t="s">
        <v>545</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668</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2188</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545</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2188</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545</v>
      </c>
      <c r="AZ96" s="2090"/>
      <c r="BA96" s="2090"/>
      <c r="BB96" s="2091"/>
      <c r="BC96" s="1190"/>
      <c r="BD96" s="1190"/>
      <c r="BE96" s="1194"/>
      <c r="BQ96" s="1256" t="str">
        <f>Application!M243&amp;IF(TRIM(Application!AA249)&lt;&gt;""," ("&amp;Application!AA249&amp;")","")</f>
        <v>Central Valley Coalition for Affordable Housing (N/A)</v>
      </c>
      <c r="BR96" s="1259">
        <f>Application!AH246</f>
        <v>3.3E-3</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TPC Holdings IX, LLC (The Pacific Companies)</v>
      </c>
      <c r="BR97" s="1259">
        <f>Application!AH254</f>
        <v>3.3999999999999998E-3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Maracor Holdings, LLC (Maracor Development, Inc.)</v>
      </c>
      <c r="BR98" s="1259">
        <f>Application!AH262</f>
        <v>3.3E-3</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1575</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249</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169</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169</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169</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159864935</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663339.97925311199</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10295368</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299</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299</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299</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10295368</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620620.60995850619</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853</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1884</v>
      </c>
      <c r="H209" s="2286"/>
      <c r="I209" s="2286"/>
      <c r="J209" s="2286"/>
      <c r="K209" s="2286"/>
      <c r="L209" s="2286"/>
      <c r="M209" s="2286"/>
      <c r="N209" s="2286"/>
      <c r="O209" s="2286"/>
      <c r="P209" s="2287"/>
      <c r="Q209" s="2290"/>
      <c r="R209" s="2290"/>
      <c r="S209" s="2290"/>
      <c r="T209" s="2290"/>
      <c r="U209" s="2288" t="s">
        <v>1884</v>
      </c>
      <c r="V209" s="2288"/>
      <c r="W209" s="2288"/>
      <c r="X209" s="2288"/>
      <c r="Y209" s="2288" t="s">
        <v>1884</v>
      </c>
      <c r="Z209" s="2288"/>
      <c r="AA209" s="2288"/>
      <c r="AB209" s="2288"/>
      <c r="AC209" s="2289" t="s">
        <v>1884</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1884</v>
      </c>
      <c r="H210" s="2286"/>
      <c r="I210" s="2286"/>
      <c r="J210" s="2286"/>
      <c r="K210" s="2286"/>
      <c r="L210" s="2286"/>
      <c r="M210" s="2286"/>
      <c r="N210" s="2286"/>
      <c r="O210" s="2286"/>
      <c r="P210" s="2287"/>
      <c r="Q210" s="2287"/>
      <c r="R210" s="2287"/>
      <c r="S210" s="2287"/>
      <c r="T210" s="2287"/>
      <c r="U210" s="2288" t="s">
        <v>1884</v>
      </c>
      <c r="V210" s="2288"/>
      <c r="W210" s="2288"/>
      <c r="X210" s="2288"/>
      <c r="Y210" s="2288" t="s">
        <v>1884</v>
      </c>
      <c r="Z210" s="2288"/>
      <c r="AA210" s="2288"/>
      <c r="AB210" s="2288"/>
      <c r="AC210" s="2289" t="s">
        <v>1884</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1884</v>
      </c>
      <c r="H211" s="2286"/>
      <c r="I211" s="2286"/>
      <c r="J211" s="2286"/>
      <c r="K211" s="2286"/>
      <c r="L211" s="2286"/>
      <c r="M211" s="2286"/>
      <c r="N211" s="2286"/>
      <c r="O211" s="2286"/>
      <c r="P211" s="2287"/>
      <c r="Q211" s="2287"/>
      <c r="R211" s="2287"/>
      <c r="S211" s="2287"/>
      <c r="T211" s="2287"/>
      <c r="U211" s="2288" t="s">
        <v>1884</v>
      </c>
      <c r="V211" s="2288"/>
      <c r="W211" s="2288"/>
      <c r="X211" s="2288"/>
      <c r="Y211" s="2288" t="s">
        <v>1884</v>
      </c>
      <c r="Z211" s="2288"/>
      <c r="AA211" s="2288"/>
      <c r="AB211" s="2288"/>
      <c r="AC211" s="2289" t="s">
        <v>1884</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1884</v>
      </c>
      <c r="H212" s="2286"/>
      <c r="I212" s="2286"/>
      <c r="J212" s="2286"/>
      <c r="K212" s="2286"/>
      <c r="L212" s="2286"/>
      <c r="M212" s="2286"/>
      <c r="N212" s="2286"/>
      <c r="O212" s="2286"/>
      <c r="P212" s="2287"/>
      <c r="Q212" s="2287"/>
      <c r="R212" s="2287"/>
      <c r="S212" s="2287"/>
      <c r="T212" s="2287"/>
      <c r="U212" s="2288" t="s">
        <v>1884</v>
      </c>
      <c r="V212" s="2288"/>
      <c r="W212" s="2288"/>
      <c r="X212" s="2288"/>
      <c r="Y212" s="2288" t="s">
        <v>1884</v>
      </c>
      <c r="Z212" s="2288"/>
      <c r="AA212" s="2288"/>
      <c r="AB212" s="2288"/>
      <c r="AC212" s="2289" t="s">
        <v>1884</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1884</v>
      </c>
      <c r="H213" s="2286"/>
      <c r="I213" s="2286"/>
      <c r="J213" s="2286"/>
      <c r="K213" s="2286"/>
      <c r="L213" s="2286"/>
      <c r="M213" s="2286"/>
      <c r="N213" s="2286"/>
      <c r="O213" s="2286"/>
      <c r="P213" s="2287"/>
      <c r="Q213" s="2287"/>
      <c r="R213" s="2287"/>
      <c r="S213" s="2287"/>
      <c r="T213" s="2287"/>
      <c r="U213" s="2288" t="s">
        <v>1884</v>
      </c>
      <c r="V213" s="2288"/>
      <c r="W213" s="2288"/>
      <c r="X213" s="2288"/>
      <c r="Y213" s="2288" t="s">
        <v>1884</v>
      </c>
      <c r="Z213" s="2288"/>
      <c r="AA213" s="2288"/>
      <c r="AB213" s="2288"/>
      <c r="AC213" s="2289" t="s">
        <v>1884</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1884</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1884</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1884</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441</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58" sqref="AJ58"/>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155470363</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497</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50"/>
      <c r="C18" s="1810" t="s">
        <v>959</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50"/>
      <c r="C19" s="1810" t="s">
        <v>959</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155470363</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Application!AJ1053</f>
        <v>289613081.56</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202111471.90000001</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202111471.90000001</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202111471.90000001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368</v>
      </c>
      <c r="AE35" s="2378"/>
      <c r="AF35" s="2378"/>
      <c r="AG35" s="2378"/>
      <c r="AH35" s="2378"/>
    </row>
    <row r="36" spans="1:76" ht="13" customHeight="1">
      <c r="B36" s="407"/>
      <c r="X36" s="412"/>
      <c r="Y36" s="2358"/>
      <c r="Z36" s="2358"/>
      <c r="AA36" s="2358"/>
      <c r="AB36" s="2358"/>
      <c r="AC36" s="2358"/>
      <c r="AD36" s="2378"/>
      <c r="AE36" s="2378"/>
      <c r="AF36" s="2378"/>
      <c r="AG36" s="2378"/>
      <c r="AH36" s="237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202111471.90000001</v>
      </c>
      <c r="Z38" s="2331"/>
      <c r="AA38" s="2331"/>
      <c r="AB38" s="2331"/>
      <c r="AC38" s="2331"/>
      <c r="AD38" s="2331">
        <f>IF(T24&gt;=(T23+Y23+AD23+AI23),AD28+AI28,0)</f>
        <v>0</v>
      </c>
      <c r="AE38" s="2331"/>
      <c r="AF38" s="2331"/>
      <c r="AG38" s="2331"/>
      <c r="AH38" s="2331"/>
    </row>
    <row r="39" spans="1:76" ht="13" customHeight="1">
      <c r="B39" s="2337" t="s">
        <v>1690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8084459</v>
      </c>
      <c r="Z40" s="2331"/>
      <c r="AA40" s="2331"/>
      <c r="AB40" s="2331"/>
      <c r="AC40" s="2331"/>
      <c r="AD40" s="2330">
        <f>ROUND(AD38*AD39,0)</f>
        <v>0</v>
      </c>
      <c r="AE40" s="2331"/>
      <c r="AF40" s="2331"/>
      <c r="AG40" s="2331"/>
      <c r="AH40" s="2331"/>
    </row>
    <row r="41" spans="1:76" ht="13"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8084459</v>
      </c>
      <c r="Z41" s="2333"/>
      <c r="AA41" s="2333"/>
      <c r="AB41" s="2333"/>
      <c r="AC41" s="2333"/>
      <c r="AD41" s="2333"/>
      <c r="AE41" s="2333"/>
      <c r="AF41" s="2333"/>
      <c r="AG41" s="2333"/>
      <c r="AH41" s="2330"/>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4" t="s">
        <v>586</v>
      </c>
      <c r="C46" s="404" t="s">
        <v>281</v>
      </c>
    </row>
    <row r="47" spans="1:76" ht="13" customHeight="1">
      <c r="D47" s="404" t="s">
        <v>282</v>
      </c>
      <c r="AB47" s="2347">
        <f>'Sources and Uses Budget'!B105-MAX(IF('Sources and Uses Budget'!B15="",0,'Sources and Uses Budget'!B15),IF(Application!AG394="",0,Application!AG394))</f>
        <v>159864935</v>
      </c>
      <c r="AC47" s="2348"/>
      <c r="AD47" s="2348"/>
      <c r="AE47" s="2348"/>
      <c r="AF47" s="2349"/>
    </row>
    <row r="48" spans="1:76" ht="13" customHeight="1">
      <c r="D48" s="404" t="s">
        <v>21</v>
      </c>
      <c r="AB48" s="2347">
        <f>Application!AO639-MAX(IF('Sources and Uses Budget'!B15="",0,'Sources and Uses Budget'!B15),IF(Application!AG394="",0,Application!AG394))</f>
        <v>93579000</v>
      </c>
      <c r="AC48" s="2348"/>
      <c r="AD48" s="2348"/>
      <c r="AE48" s="2348"/>
      <c r="AF48" s="2349"/>
    </row>
    <row r="49" spans="1:76" ht="13" customHeight="1">
      <c r="D49" s="404" t="s">
        <v>91</v>
      </c>
      <c r="AB49" s="2347">
        <f>AB47-AB48</f>
        <v>66285935</v>
      </c>
      <c r="AC49" s="2348"/>
      <c r="AD49" s="2348"/>
      <c r="AE49" s="2348"/>
      <c r="AF49" s="2349"/>
    </row>
    <row r="50" spans="1:76" ht="13" customHeight="1">
      <c r="D50" s="404" t="s">
        <v>680</v>
      </c>
      <c r="AA50" s="415"/>
      <c r="AB50" s="2374">
        <v>0.81991800999999997</v>
      </c>
      <c r="AC50" s="2375"/>
      <c r="AD50" s="2375"/>
      <c r="AE50" s="2375"/>
      <c r="AF50" s="2376"/>
    </row>
    <row r="51" spans="1:76" s="417" customFormat="1" ht="13" customHeight="1">
      <c r="A51" s="402"/>
      <c r="B51" s="402"/>
      <c r="C51" s="402"/>
      <c r="D51" s="402"/>
      <c r="E51" s="2377" t="s">
        <v>1849</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7">
        <f>ROUND(IF(ISERROR((AB49/AB50)),0,(AB49/AB50)),0)</f>
        <v>80844590</v>
      </c>
      <c r="AC54" s="2348"/>
      <c r="AD54" s="2348"/>
      <c r="AE54" s="2348"/>
      <c r="AF54" s="2349"/>
    </row>
    <row r="55" spans="1:76" ht="13" customHeight="1">
      <c r="D55" s="404" t="s">
        <v>332</v>
      </c>
      <c r="AB55" s="2347">
        <f>(AB54/10)</f>
        <v>8084459</v>
      </c>
      <c r="AC55" s="2348"/>
      <c r="AD55" s="2348"/>
      <c r="AE55" s="2348"/>
      <c r="AF55" s="2349"/>
    </row>
    <row r="56" spans="1:76" ht="13" customHeight="1">
      <c r="D56" s="404" t="s">
        <v>755</v>
      </c>
      <c r="AB56" s="2347">
        <f>ROUND((IF((Y41&lt;AB55),Y41,AB55)),0)</f>
        <v>8084459</v>
      </c>
      <c r="AC56" s="2348"/>
      <c r="AD56" s="2348"/>
      <c r="AE56" s="2348"/>
      <c r="AF56" s="2349"/>
    </row>
    <row r="57" spans="1:76" ht="13" customHeight="1">
      <c r="D57" s="404" t="s">
        <v>754</v>
      </c>
      <c r="AB57" s="2347">
        <f>ROUND((10*AB56*AB50),0)</f>
        <v>66285935</v>
      </c>
      <c r="AC57" s="2348"/>
      <c r="AD57" s="2348"/>
      <c r="AE57" s="2348"/>
      <c r="AF57" s="2349"/>
    </row>
    <row r="58" spans="1:76" ht="13" customHeight="1">
      <c r="D58" s="404"/>
      <c r="AB58" s="423"/>
      <c r="AC58" s="423"/>
      <c r="AD58" s="423"/>
      <c r="AE58" s="423"/>
      <c r="AF58" s="423"/>
    </row>
    <row r="59" spans="1:76" ht="13" customHeight="1">
      <c r="D59" s="404" t="s">
        <v>753</v>
      </c>
      <c r="AB59" s="2370">
        <f>AB49-AB57</f>
        <v>0</v>
      </c>
      <c r="AC59" s="2370"/>
      <c r="AD59" s="2370"/>
      <c r="AE59" s="2370"/>
      <c r="AF59" s="2370"/>
    </row>
    <row r="60" spans="1:76" ht="13" customHeight="1">
      <c r="D60" s="404"/>
      <c r="AB60" s="423"/>
      <c r="AC60" s="423"/>
      <c r="AD60" s="423"/>
      <c r="AE60" s="423"/>
      <c r="AF60" s="423"/>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4" t="s">
        <v>589</v>
      </c>
      <c r="C63" s="205" t="s">
        <v>1247</v>
      </c>
      <c r="Y63" s="2371" t="s">
        <v>983</v>
      </c>
      <c r="Z63" s="2371"/>
      <c r="AA63" s="2371"/>
      <c r="AB63" s="2371"/>
      <c r="AC63" s="2371"/>
      <c r="AD63" s="2371" t="s">
        <v>368</v>
      </c>
      <c r="AE63" s="2371"/>
      <c r="AF63" s="2371"/>
      <c r="AG63" s="2371"/>
      <c r="AH63" s="2371"/>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155470363</v>
      </c>
      <c r="Z64" s="2372"/>
      <c r="AA64" s="2372"/>
      <c r="AB64" s="2372"/>
      <c r="AC64" s="2373"/>
      <c r="AD64" s="2332">
        <f>IF(AND(OR(Application!D211="At-Risk",Application!D211="At-Risk and Special Needs"),Application!M358="yes"),AD28+AI28,0)</f>
        <v>0</v>
      </c>
      <c r="AE64" s="2372"/>
      <c r="AF64" s="2372"/>
      <c r="AG64" s="2372"/>
      <c r="AH64" s="2373"/>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3" customHeight="1">
      <c r="C68" s="404"/>
      <c r="D68" s="205" t="s">
        <v>2225</v>
      </c>
      <c r="Y68" s="2331">
        <f>ROUND(Y64*Y67,0)</f>
        <v>0</v>
      </c>
      <c r="Z68" s="2386"/>
      <c r="AA68" s="2386"/>
      <c r="AB68" s="2386"/>
      <c r="AC68" s="2386"/>
      <c r="AD68" s="2331">
        <f>ROUND(AD64*AD67,0)</f>
        <v>0</v>
      </c>
      <c r="AE68" s="2386"/>
      <c r="AF68" s="2386"/>
      <c r="AG68" s="2386"/>
      <c r="AH68" s="2386"/>
    </row>
    <row r="69" spans="1:36" ht="13" customHeight="1">
      <c r="C69" s="404"/>
      <c r="D69" s="205" t="s">
        <v>2226</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1249</v>
      </c>
      <c r="AB72" s="2374"/>
      <c r="AC72" s="2375"/>
      <c r="AD72" s="2375"/>
      <c r="AE72" s="2375"/>
      <c r="AF72" s="2376"/>
    </row>
    <row r="73" spans="1:36" ht="13"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0">
        <f>ROUND(IF(ISERROR((AB59/AB72)),0,(AB59/AB72)),0)</f>
        <v>0</v>
      </c>
      <c r="AC77" s="2380"/>
      <c r="AD77" s="2380"/>
      <c r="AE77" s="2380"/>
      <c r="AF77" s="2380"/>
    </row>
    <row r="78" spans="1:36" ht="13" customHeight="1">
      <c r="C78" s="404"/>
      <c r="D78" s="205" t="s">
        <v>1252</v>
      </c>
      <c r="AB78" s="2381">
        <f>ROUNDUP(MIN(Y69,AB77),0)</f>
        <v>0</v>
      </c>
      <c r="AC78" s="2382"/>
      <c r="AD78" s="2382"/>
      <c r="AE78" s="2382"/>
      <c r="AF78" s="2383"/>
    </row>
    <row r="79" spans="1:36" ht="13" customHeight="1">
      <c r="C79" s="404"/>
      <c r="D79" s="205" t="s">
        <v>1253</v>
      </c>
      <c r="AB79" s="2384">
        <f>AB78*AB72</f>
        <v>0</v>
      </c>
      <c r="AC79" s="2384"/>
      <c r="AD79" s="2384"/>
      <c r="AE79" s="2384"/>
      <c r="AF79" s="2384"/>
    </row>
    <row r="80" spans="1:36" ht="13" customHeight="1">
      <c r="C80" s="404"/>
      <c r="D80" s="404"/>
      <c r="AB80" s="425"/>
      <c r="AC80" s="425"/>
      <c r="AD80" s="425"/>
      <c r="AE80" s="425"/>
      <c r="AF80" s="425"/>
    </row>
    <row r="81" spans="1:78" ht="13" customHeight="1">
      <c r="D81" s="404" t="s">
        <v>753</v>
      </c>
      <c r="AB81" s="2370">
        <f>AB49-(AB57+AB79)</f>
        <v>0</v>
      </c>
      <c r="AC81" s="2370"/>
      <c r="AD81" s="2370"/>
      <c r="AE81" s="2370"/>
      <c r="AF81" s="2370"/>
    </row>
    <row r="82" spans="1:78" ht="13" customHeight="1">
      <c r="F82" s="522"/>
      <c r="J82" s="522" t="str">
        <f>IF(AB81&gt;0,"FUNDING GAP MUST NOT EXCEED ZERO","")</f>
        <v/>
      </c>
    </row>
    <row r="83" spans="1:78" ht="13" customHeight="1">
      <c r="D83" s="523"/>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customHeight="1">
      <c r="A86" s="404"/>
      <c r="C86" s="205"/>
    </row>
    <row r="87" spans="1:78" ht="13" customHeight="1">
      <c r="D87" s="205"/>
      <c r="AB87" s="2336"/>
      <c r="AC87" s="2336"/>
      <c r="AD87" s="2336"/>
      <c r="AE87" s="2336"/>
      <c r="AF87" s="2336"/>
    </row>
    <row r="88" spans="1:78" ht="13"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M551" sqref="AM55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1304</v>
      </c>
      <c r="AF7" s="2459"/>
      <c r="AG7" s="2459"/>
      <c r="AH7" s="2459"/>
      <c r="AI7" s="2459"/>
      <c r="AJ7" s="2459"/>
      <c r="AK7" s="245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591</v>
      </c>
      <c r="C13" s="2612"/>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591</v>
      </c>
      <c r="C16" s="2612"/>
      <c r="D16" s="547"/>
      <c r="E16" s="2604" t="s">
        <v>1306</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591</v>
      </c>
      <c r="C22" s="2612"/>
      <c r="D22" s="547"/>
      <c r="E22" s="2622" t="s">
        <v>1309</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591</v>
      </c>
      <c r="C25" s="2612"/>
      <c r="D25" s="547"/>
      <c r="E25" s="2539" t="s">
        <v>2033</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591</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2" t="s">
        <v>591</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591</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591</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591</v>
      </c>
      <c r="C45" s="2612"/>
      <c r="D45" s="1142"/>
      <c r="E45" s="2539" t="s">
        <v>2008</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591</v>
      </c>
      <c r="C52" s="2612"/>
      <c r="D52" s="540"/>
      <c r="E52" s="2539" t="s">
        <v>2013</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591</v>
      </c>
      <c r="C56" s="2612"/>
      <c r="D56" s="540"/>
      <c r="E56" s="2638" t="s">
        <v>2014</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591</v>
      </c>
      <c r="C58" s="2612"/>
      <c r="D58" s="540"/>
      <c r="E58" s="2539" t="s">
        <v>2015</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1313</v>
      </c>
      <c r="AF65" s="2459"/>
      <c r="AG65" s="2459"/>
      <c r="AH65" s="2459"/>
      <c r="AI65" s="2459"/>
      <c r="AJ65" s="2459"/>
      <c r="AK65" s="245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591</v>
      </c>
      <c r="C68" s="2612"/>
      <c r="D68" s="547" t="s">
        <v>1314</v>
      </c>
      <c r="E68" s="2604" t="s">
        <v>2016</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1315</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545</v>
      </c>
      <c r="C74" s="2612"/>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545</v>
      </c>
      <c r="F75" s="2612"/>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591</v>
      </c>
      <c r="F76" s="263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591</v>
      </c>
      <c r="F77" s="263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591</v>
      </c>
      <c r="F79" s="2612"/>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591</v>
      </c>
      <c r="C81" s="2612"/>
      <c r="D81" s="547" t="s">
        <v>1319</v>
      </c>
      <c r="E81" s="2539" t="s">
        <v>1739</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1304</v>
      </c>
      <c r="AF87" s="2459"/>
      <c r="AG87" s="2459"/>
      <c r="AH87" s="2459"/>
      <c r="AI87" s="2459"/>
      <c r="AJ87" s="2459"/>
      <c r="AK87" s="245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591</v>
      </c>
      <c r="C90" s="2612"/>
      <c r="D90" s="547" t="s">
        <v>1314</v>
      </c>
      <c r="E90" s="2604" t="s">
        <v>1324</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0.598744769874477</v>
      </c>
      <c r="F93" s="2601"/>
      <c r="G93" s="2601"/>
      <c r="H93" s="260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v>
      </c>
      <c r="F94" s="2406"/>
      <c r="G94" s="2406"/>
      <c r="H94" s="240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0</v>
      </c>
      <c r="F95" s="2617"/>
      <c r="G95" s="2617"/>
      <c r="H95" s="261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545</v>
      </c>
      <c r="C98" s="2612"/>
      <c r="D98" s="547" t="s">
        <v>1316</v>
      </c>
      <c r="E98" s="2604" t="s">
        <v>1724</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0.598744769874477</v>
      </c>
      <c r="F103" s="2601"/>
      <c r="G103" s="2601"/>
      <c r="H103" s="260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0.23430962343096234</v>
      </c>
      <c r="F104" s="2601"/>
      <c r="G104" s="2601"/>
      <c r="H104" s="260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2.5104602510460251E-2</v>
      </c>
      <c r="F105" s="2601"/>
      <c r="G105" s="2601"/>
      <c r="H105" s="260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1313</v>
      </c>
      <c r="AF112" s="2459"/>
      <c r="AG112" s="2459"/>
      <c r="AH112" s="2459"/>
      <c r="AI112" s="2459"/>
      <c r="AJ112" s="2459"/>
      <c r="AK112" s="2459"/>
      <c r="AL112" s="540"/>
      <c r="AM112" s="540"/>
      <c r="AN112" s="535"/>
      <c r="AO112" s="536" t="str">
        <f>Application!B718</f>
        <v>1 Bedroom</v>
      </c>
      <c r="AQ112" s="536">
        <f>Application!O718</f>
        <v>860</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1459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1759</v>
      </c>
    </row>
    <row r="115" spans="1:52" s="536" customFormat="1" ht="12.75" customHeight="1">
      <c r="A115" s="540"/>
      <c r="B115" s="2612" t="s">
        <v>545</v>
      </c>
      <c r="C115" s="2612"/>
      <c r="D115" s="547" t="s">
        <v>1314</v>
      </c>
      <c r="E115" s="2604" t="s">
        <v>1857</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2059</v>
      </c>
      <c r="AU115" s="536" t="s">
        <v>1839</v>
      </c>
      <c r="AV115" s="595" t="s">
        <v>1840</v>
      </c>
      <c r="AW115" s="536" t="s">
        <v>1841</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1038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1757</v>
      </c>
      <c r="AU117" s="856" t="str">
        <f>J124</f>
        <v>1-bedroom</v>
      </c>
      <c r="AV117" s="536">
        <f t="array" ref="AV117">SUM(IF(Application!B718:F752="1 Bedroom",Application!G718:J752))</f>
        <v>114</v>
      </c>
      <c r="AW117" s="1011">
        <f>AV117/AV122</f>
        <v>0.47698744769874479</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2117</v>
      </c>
      <c r="AU118" s="856" t="str">
        <f>O124</f>
        <v>2-bedroom</v>
      </c>
      <c r="AV118" s="536">
        <f t="array" ref="AV118">SUM(IF(Application!B718:F752="2 Bedrooms",Application!G718:J752))</f>
        <v>62</v>
      </c>
      <c r="AW118" s="1011">
        <f>AV118/AV122</f>
        <v>0.2594142259414226</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2477</v>
      </c>
      <c r="AU119" s="856" t="str">
        <f>T124</f>
        <v>3-bedroom</v>
      </c>
      <c r="AV119" s="536">
        <f t="array" ref="AV119">SUM(IF(Application!B718:F752="3 Bedrooms",Application!G718:J752))</f>
        <v>63</v>
      </c>
      <c r="AW119" s="1011">
        <f>AV119/AV122</f>
        <v>0.26359832635983266</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1197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2028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2444</v>
      </c>
      <c r="AV122" s="536">
        <f>SUM(AV116:AV121)</f>
        <v>239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2859</v>
      </c>
    </row>
    <row r="124" spans="1:52" s="536" customFormat="1" ht="12.75" customHeight="1">
      <c r="A124" s="540"/>
      <c r="B124" s="539"/>
      <c r="C124" s="540"/>
      <c r="D124" s="540"/>
      <c r="E124" s="2600" t="s">
        <v>1587</v>
      </c>
      <c r="F124" s="2601"/>
      <c r="G124" s="2601"/>
      <c r="H124" s="2601"/>
      <c r="I124" s="577"/>
      <c r="J124" s="2601" t="s">
        <v>1630</v>
      </c>
      <c r="K124" s="2601"/>
      <c r="L124" s="2601"/>
      <c r="M124" s="2601"/>
      <c r="N124" s="577"/>
      <c r="O124" s="2601" t="s">
        <v>1631</v>
      </c>
      <c r="P124" s="2601"/>
      <c r="Q124" s="2601"/>
      <c r="R124" s="2601"/>
      <c r="S124" s="577"/>
      <c r="T124" s="2601" t="s">
        <v>1333</v>
      </c>
      <c r="U124" s="2601"/>
      <c r="V124" s="2601"/>
      <c r="W124" s="2601"/>
      <c r="X124" s="577"/>
      <c r="Y124" s="2601" t="s">
        <v>1632</v>
      </c>
      <c r="Z124" s="2601"/>
      <c r="AA124" s="2601"/>
      <c r="AB124" s="2601"/>
      <c r="AC124" s="577"/>
      <c r="AD124" s="2601" t="s">
        <v>1633</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2830</v>
      </c>
      <c r="K127" s="2603"/>
      <c r="L127" s="2603"/>
      <c r="M127" s="2603"/>
      <c r="N127" s="864"/>
      <c r="O127" s="2603">
        <v>3382</v>
      </c>
      <c r="P127" s="2603"/>
      <c r="Q127" s="2603"/>
      <c r="R127" s="2603"/>
      <c r="S127" s="864"/>
      <c r="T127" s="2603">
        <v>4030</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1496.2982456140351</v>
      </c>
      <c r="K130" s="2611"/>
      <c r="L130" s="2611"/>
      <c r="M130" s="2611"/>
      <c r="N130" s="864"/>
      <c r="O130" s="2611">
        <f>Application!EH670</f>
        <v>2395.7419354838707</v>
      </c>
      <c r="P130" s="2611"/>
      <c r="Q130" s="2611"/>
      <c r="R130" s="2611"/>
      <c r="S130" s="868"/>
      <c r="T130" s="2611">
        <f>Application!EM670</f>
        <v>2766.6825396825398</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0.47127270473002292</v>
      </c>
      <c r="K133" s="2406"/>
      <c r="L133" s="2406"/>
      <c r="M133" s="2407"/>
      <c r="N133" s="577"/>
      <c r="O133" s="2405">
        <f>(O127-O130)/O127</f>
        <v>0.2916197707025811</v>
      </c>
      <c r="P133" s="2406"/>
      <c r="Q133" s="2406"/>
      <c r="R133" s="2407"/>
      <c r="S133" s="577"/>
      <c r="T133" s="2405">
        <f>(T127-T130)/T127</f>
        <v>0.31347827799440703</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0.17709241982938334</v>
      </c>
      <c r="K136" s="2614"/>
      <c r="L136" s="2614"/>
      <c r="M136" s="2615"/>
      <c r="N136" s="577"/>
      <c r="O136" s="2613">
        <f>IF(((O133-0.1)*AW118)&gt;0,((O133-0.1)*AW118),0)</f>
        <v>4.9708894491882968E-2</v>
      </c>
      <c r="P136" s="2614"/>
      <c r="Q136" s="2614"/>
      <c r="R136" s="2615"/>
      <c r="S136" s="577"/>
      <c r="T136" s="2613">
        <f>IF(((T133-0.1)*AW119)&gt;0,((T133-0.1)*AW119),0)</f>
        <v>5.6272516793504784E-2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0.28000000000000003</v>
      </c>
      <c r="F138" s="2406"/>
      <c r="G138" s="2406"/>
      <c r="H138" s="240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59" t="s">
        <v>1313</v>
      </c>
      <c r="AF146" s="2459"/>
      <c r="AG146" s="2459"/>
      <c r="AH146" s="2459"/>
      <c r="AI146" s="2459"/>
      <c r="AJ146" s="2459"/>
      <c r="AK146" s="245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1337</v>
      </c>
      <c r="AG148" s="2519"/>
      <c r="AH148" s="2519"/>
      <c r="AI148" s="2519"/>
      <c r="AJ148" s="2519"/>
      <c r="AK148" s="2519"/>
      <c r="AL148" s="251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2641</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0" t="s">
        <v>1340</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1" t="s">
        <v>591</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0" t="s">
        <v>1342</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591</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1351</v>
      </c>
      <c r="AG168" s="2519"/>
      <c r="AH168" s="2519"/>
      <c r="AI168" s="2519"/>
      <c r="AJ168" s="2519"/>
      <c r="AK168" s="2519"/>
      <c r="AL168" s="251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1349</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591</v>
      </c>
      <c r="AG172" s="2391"/>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0" t="s">
        <v>1342</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1" t="str">
        <f>Application!AA335</f>
        <v>ConAm Management Corporation</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1313</v>
      </c>
      <c r="AF186" s="2459"/>
      <c r="AG186" s="2459"/>
      <c r="AH186" s="2459"/>
      <c r="AI186" s="2459"/>
      <c r="AJ186" s="2459"/>
      <c r="AK186" s="245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88" t="s">
        <v>1040</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1362</v>
      </c>
      <c r="AG188" s="2519"/>
      <c r="AH188" s="2519"/>
      <c r="AI188" s="2519"/>
      <c r="AJ188" s="2519"/>
      <c r="AK188" s="2519"/>
      <c r="AL188" s="2519"/>
      <c r="AN188" s="597"/>
      <c r="AP188" s="550" t="s">
        <v>1042</v>
      </c>
      <c r="AQ188" s="550">
        <v>10</v>
      </c>
    </row>
    <row r="189" spans="1:73" s="550" customFormat="1" ht="12.75" customHeight="1">
      <c r="A189" s="536"/>
      <c r="B189" s="2390" t="s">
        <v>1725</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26">
        <f>IF(AK84&gt;0,VLOOKUP($B$188,AP185:AQ191,2,FALSE),0)</f>
        <v>10</v>
      </c>
      <c r="AL191" s="2427"/>
      <c r="AM191" s="242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1371</v>
      </c>
      <c r="AF194" s="2459"/>
      <c r="AG194" s="2459"/>
      <c r="AH194" s="2459"/>
      <c r="AI194" s="2459"/>
      <c r="AJ194" s="2459"/>
      <c r="AK194" s="2459"/>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2722</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12000000</v>
      </c>
      <c r="AE199" s="2572"/>
      <c r="AF199" s="2572"/>
      <c r="AG199" s="2572"/>
      <c r="AH199" s="2572"/>
      <c r="AI199" s="2572"/>
      <c r="AJ199" s="2572"/>
      <c r="AK199" s="610"/>
    </row>
    <row r="200" spans="1:40">
      <c r="A200" s="605"/>
      <c r="B200" s="2582" t="s">
        <v>2759</v>
      </c>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v>21500000</v>
      </c>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1626</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1589</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76">
        <f>SUM(AD199:AJ209)-AD210</f>
        <v>33500000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1606</v>
      </c>
      <c r="J222" s="2595"/>
      <c r="K222" s="2595"/>
      <c r="L222" s="536"/>
      <c r="M222" s="536"/>
      <c r="N222" s="536"/>
      <c r="O222" s="536"/>
      <c r="P222" s="536"/>
      <c r="Q222" s="536"/>
      <c r="R222" s="536"/>
      <c r="S222" s="536"/>
      <c r="T222" s="2410" t="s">
        <v>1600</v>
      </c>
      <c r="U222" s="2410"/>
      <c r="V222" s="2410"/>
      <c r="W222" s="2410"/>
      <c r="X222" s="2410"/>
      <c r="Y222" s="2410"/>
      <c r="Z222" s="849"/>
      <c r="AA222" s="489"/>
      <c r="AB222" s="2592" t="s">
        <v>1601</v>
      </c>
      <c r="AC222" s="2592"/>
      <c r="AD222" s="2592"/>
      <c r="AE222" s="2592"/>
      <c r="AF222" s="2592"/>
      <c r="AG222" s="2592"/>
      <c r="AH222" s="827"/>
      <c r="AI222" s="827"/>
      <c r="AJ222" s="827"/>
      <c r="AK222" s="610"/>
    </row>
    <row r="223" spans="1:37">
      <c r="A223" s="605"/>
      <c r="B223" s="2593" t="s">
        <v>1586</v>
      </c>
      <c r="C223" s="2593"/>
      <c r="D223" s="2593"/>
      <c r="E223" s="2593"/>
      <c r="F223" s="2593"/>
      <c r="G223" s="2593"/>
      <c r="I223" s="2594" t="s">
        <v>1607</v>
      </c>
      <c r="J223" s="2594"/>
      <c r="K223" s="2594"/>
      <c r="L223" s="1008"/>
      <c r="N223" s="2445" t="s">
        <v>1602</v>
      </c>
      <c r="O223" s="2445"/>
      <c r="P223" s="2445"/>
      <c r="Q223" s="2445"/>
      <c r="R223" s="2445"/>
      <c r="T223" s="2445" t="s">
        <v>1603</v>
      </c>
      <c r="U223" s="2445"/>
      <c r="V223" s="2445"/>
      <c r="W223" s="2445"/>
      <c r="X223" s="2445"/>
      <c r="Y223" s="2445"/>
      <c r="Z223" s="850"/>
      <c r="AA223" s="489"/>
      <c r="AB223" s="2460" t="s">
        <v>1604</v>
      </c>
      <c r="AC223" s="2460"/>
      <c r="AD223" s="2460"/>
      <c r="AE223" s="2460"/>
      <c r="AF223" s="2460"/>
      <c r="AG223" s="2460"/>
      <c r="AH223" s="827"/>
      <c r="AI223" s="827"/>
      <c r="AJ223" s="827"/>
      <c r="AK223" s="610"/>
    </row>
    <row r="224" spans="1:37">
      <c r="A224" s="605"/>
      <c r="B224" s="2461" t="s">
        <v>1183</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1183</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1183</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1183</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1183</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1183</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1183</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1183</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1183</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1183</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33500000</v>
      </c>
      <c r="AH268" s="2423"/>
      <c r="AI268" s="2423"/>
      <c r="AJ268" s="2423"/>
      <c r="AK268" s="242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159864935</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0.41</v>
      </c>
      <c r="AH270" s="2569"/>
      <c r="AI270" s="2569"/>
      <c r="AJ270" s="2569"/>
      <c r="AK270" s="2569"/>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58">
        <f>IFERROR(IF(AG270=0,0,IF((AG270*100)&gt;8,8,(AG270*100))),0)</f>
        <v>8</v>
      </c>
      <c r="AL273" s="2558"/>
      <c r="AM273" s="2559"/>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0" t="s">
        <v>545</v>
      </c>
      <c r="D278" s="2440"/>
      <c r="E278" s="547"/>
      <c r="F278" s="2392" t="s">
        <v>2024</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1362</v>
      </c>
      <c r="AH278" s="2567"/>
      <c r="AI278" s="2567"/>
      <c r="AJ278" s="2567"/>
      <c r="AK278" s="550"/>
      <c r="AL278" s="550"/>
      <c r="AM278" s="550"/>
      <c r="AO278" s="550"/>
    </row>
    <row r="279" spans="1:52" ht="13.75"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5"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58">
        <f>IF($C$278="yes",10,0)</f>
        <v>10</v>
      </c>
      <c r="AL285" s="2558"/>
      <c r="AM285" s="2559"/>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1381</v>
      </c>
      <c r="B292" s="1635"/>
      <c r="C292" s="2391" t="s">
        <v>545</v>
      </c>
      <c r="D292" s="2440"/>
      <c r="E292" s="547"/>
      <c r="F292" s="2560" t="s">
        <v>1382</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2017</v>
      </c>
      <c r="AH292" s="2563"/>
      <c r="AI292" s="2563"/>
      <c r="AJ292" s="2563"/>
      <c r="AK292" s="2563"/>
      <c r="AL292" s="550"/>
      <c r="AM292" s="550"/>
      <c r="AN292" s="73"/>
      <c r="AO292" s="14"/>
      <c r="AP292" s="30"/>
      <c r="AS292" s="570"/>
      <c r="AT292" s="570"/>
      <c r="AU292" s="570"/>
      <c r="AV292" s="32"/>
      <c r="AW292" s="32"/>
    </row>
    <row r="293" spans="1:49" ht="13">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2025</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ht="13">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1383</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1384</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1385</v>
      </c>
      <c r="B302" s="1635"/>
      <c r="C302" s="2440" t="s">
        <v>591</v>
      </c>
      <c r="D302" s="244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2" t="s">
        <v>2019</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5" t="s">
        <v>1388</v>
      </c>
      <c r="B310" s="1635"/>
      <c r="C310" s="2440" t="s">
        <v>591</v>
      </c>
      <c r="D310" s="2440"/>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18" t="s">
        <v>2026</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1183</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1183</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t="13"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t="13"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t="13"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t="13"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1" t="s">
        <v>1183</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1" t="s">
        <v>1183</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5" t="s">
        <v>1391</v>
      </c>
      <c r="B333" s="1635"/>
      <c r="C333" s="2440" t="s">
        <v>591</v>
      </c>
      <c r="D333" s="2440"/>
      <c r="E333" s="547"/>
      <c r="F333" s="2539" t="s">
        <v>2027</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59" t="s">
        <v>1313</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1453</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2092</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2207</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1454</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9"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1455</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1456</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581</v>
      </c>
      <c r="AP361" s="696">
        <f>IF(C407="Yes",5,0)</f>
        <v>0</v>
      </c>
      <c r="AS361" s="539" t="s">
        <v>1878</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762</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584</v>
      </c>
      <c r="AP364" s="696">
        <f>IF(C421="Yes",5,0)</f>
        <v>0</v>
      </c>
    </row>
    <row r="365" spans="1:46" s="550" customFormat="1" ht="11.9"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226</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5" t="s">
        <v>1457</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456</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461</v>
      </c>
      <c r="AP370" s="696">
        <f>IF(C449="Yes",5,0)</f>
        <v>0</v>
      </c>
    </row>
    <row r="371" spans="1:81" s="550" customFormat="1" ht="68.150000000000006"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6">
        <f>Application!DU802-U374</f>
        <v>427</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8">
        <f>IF(AP375&gt;0,AP375,0)</f>
        <v>0</v>
      </c>
      <c r="AR375" s="24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29" t="s">
        <v>1459</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591</v>
      </c>
      <c r="D381" s="2440"/>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1461</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29" t="s">
        <v>1462</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591</v>
      </c>
      <c r="D389" s="2440"/>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1461</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29" t="s">
        <v>1464</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545</v>
      </c>
      <c r="D397" s="2440"/>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1466</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591</v>
      </c>
      <c r="D399" s="2440"/>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1461</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29" t="s">
        <v>1470</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591</v>
      </c>
      <c r="D407" s="2440"/>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1461</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545</v>
      </c>
      <c r="D409" s="2440"/>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1473</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591</v>
      </c>
      <c r="D412" s="2440"/>
      <c r="E412" s="715" t="s">
        <v>1474</v>
      </c>
      <c r="F412" s="2429" t="s">
        <v>1475</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1461</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29" t="s">
        <v>1477</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ht="13">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591</v>
      </c>
      <c r="D421" s="2440"/>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1461</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591</v>
      </c>
      <c r="D423" s="2440"/>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1473</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29" t="s">
        <v>1481</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591</v>
      </c>
      <c r="D430" s="2440"/>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1461</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29" t="s">
        <v>1484</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591</v>
      </c>
      <c r="D442" s="2440"/>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1461</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29" t="s">
        <v>1487</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591</v>
      </c>
      <c r="D449" s="2440"/>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1461</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591</v>
      </c>
      <c r="D453" s="2556"/>
      <c r="E453" s="715" t="s">
        <v>1496</v>
      </c>
      <c r="F453" s="2429" t="s">
        <v>1497</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1461</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591</v>
      </c>
      <c r="D457" s="2440"/>
      <c r="E457" s="715" t="s">
        <v>1502</v>
      </c>
      <c r="F457" s="2429" t="s">
        <v>1503</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1461</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29" t="s">
        <v>1506</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591</v>
      </c>
      <c r="D466" s="2440"/>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1461</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1" t="s">
        <v>1510</v>
      </c>
      <c r="AF472" s="2441"/>
      <c r="AG472" s="2441"/>
      <c r="AH472" s="2441"/>
      <c r="AI472" s="2441"/>
      <c r="AJ472" s="2441"/>
      <c r="AK472" s="244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48" t="s">
        <v>591</v>
      </c>
      <c r="D478" s="2449"/>
      <c r="E478" s="761" t="s">
        <v>507</v>
      </c>
      <c r="F478" s="2526" t="s">
        <v>1516</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5" t="s">
        <v>545</v>
      </c>
      <c r="D482" s="2456"/>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4" t="s">
        <v>591</v>
      </c>
      <c r="W485" s="2434"/>
      <c r="X485" s="2434"/>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4" t="s">
        <v>591</v>
      </c>
      <c r="W487" s="2434"/>
      <c r="X487" s="2434"/>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4" t="s">
        <v>591</v>
      </c>
      <c r="W492" s="2434"/>
      <c r="X492" s="2434"/>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3"/>
      <c r="E495" s="2453"/>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4" t="s">
        <v>591</v>
      </c>
      <c r="W496" s="2434"/>
      <c r="X496" s="2434"/>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4" t="s">
        <v>591</v>
      </c>
      <c r="W498" s="2434"/>
      <c r="X498" s="2434"/>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591</v>
      </c>
      <c r="D501" s="2449"/>
      <c r="E501" s="761" t="s">
        <v>507</v>
      </c>
      <c r="F501" s="2526" t="s">
        <v>1516</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591</v>
      </c>
      <c r="D505" s="2449"/>
      <c r="E505" s="761" t="s">
        <v>756</v>
      </c>
      <c r="F505" s="2450" t="s">
        <v>1538</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2" t="s">
        <v>591</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48" t="s">
        <v>591</v>
      </c>
      <c r="D510" s="2449"/>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68"/>
      <c r="D512" s="2453"/>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591</v>
      </c>
      <c r="D515" s="252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591</v>
      </c>
      <c r="D519" s="2521"/>
      <c r="F519" s="795" t="s">
        <v>1546</v>
      </c>
      <c r="G519" s="2430" t="s">
        <v>1547</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591</v>
      </c>
      <c r="D523" s="252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1559</v>
      </c>
      <c r="AF538" s="2459"/>
      <c r="AG538" s="2459"/>
      <c r="AH538" s="2459"/>
      <c r="AI538" s="2459"/>
      <c r="AJ538" s="2459"/>
      <c r="AK538" s="245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591</v>
      </c>
      <c r="D541" s="2440"/>
      <c r="E541" s="551"/>
      <c r="F541" s="2462" t="s">
        <v>1560</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545</v>
      </c>
      <c r="D544" s="2440"/>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1562</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1563</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157453772</v>
      </c>
      <c r="AQ550" s="2417"/>
      <c r="AR550" s="2417"/>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155470363</v>
      </c>
      <c r="AG551" s="2423"/>
      <c r="AH551" s="2423"/>
      <c r="AI551" s="2423"/>
      <c r="AJ551" s="242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289613081.56</v>
      </c>
      <c r="AG552" s="2424"/>
      <c r="AH552" s="2424"/>
      <c r="AI552" s="2424"/>
      <c r="AJ552" s="2424"/>
      <c r="AK552" s="595"/>
      <c r="AL552" s="595"/>
      <c r="AM552" s="595"/>
      <c r="AN552" s="597"/>
      <c r="AP552" s="2417">
        <f>Application!AJ1045</f>
        <v>3149075.44</v>
      </c>
      <c r="AQ552" s="2417"/>
      <c r="AR552" s="241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0.92</v>
      </c>
      <c r="AG553" s="2425"/>
      <c r="AH553" s="2425"/>
      <c r="AI553" s="2425"/>
      <c r="AJ553" s="2425"/>
      <c r="AK553" s="595"/>
      <c r="AL553" s="595"/>
      <c r="AM553" s="595"/>
      <c r="AN553" s="597"/>
      <c r="AP553" s="2413">
        <f>Application!AJ1049</f>
        <v>72428735.120000005</v>
      </c>
      <c r="AQ553" s="2413"/>
      <c r="AR553" s="241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0.48000000000000004</v>
      </c>
      <c r="AQ554" s="2432"/>
      <c r="AR554" s="2432"/>
      <c r="AS554" s="550" t="s">
        <v>2171</v>
      </c>
    </row>
    <row r="555" spans="1:49" s="550" customFormat="1" ht="12.75" customHeight="1">
      <c r="A555" s="624"/>
      <c r="B555" s="2499" t="s">
        <v>2031</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214035271</v>
      </c>
      <c r="AQ556" s="2433"/>
      <c r="AR556" s="2433"/>
      <c r="AS556" s="550" t="s">
        <v>2173</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289613081.56</v>
      </c>
      <c r="AQ557" s="2417"/>
      <c r="AR557" s="241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08">
        <f>IFERROR(IF(AND(C541="N/A",C544="N/A"),0,IF(AF553=0,0,IF((AF553*100)&gt;12,12,(AF553*100)))),0)</f>
        <v>12</v>
      </c>
      <c r="AL559" s="2508"/>
      <c r="AM559" s="2509"/>
      <c r="AN559" s="597"/>
      <c r="AP559" s="2402">
        <f>AP556+(AP550*AP554)</f>
        <v>289613081.56</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1313</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2022</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1337</v>
      </c>
      <c r="AG578" s="2519"/>
      <c r="AH578" s="2519"/>
      <c r="AI578" s="2519"/>
      <c r="AJ578" s="2519"/>
      <c r="AK578" s="2519"/>
      <c r="AL578" s="251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1395</v>
      </c>
      <c r="AG585" s="2519"/>
      <c r="AH585" s="2519"/>
      <c r="AI585" s="2519"/>
      <c r="AJ585" s="2519"/>
      <c r="AK585" s="2519"/>
      <c r="AL585" s="251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1377</v>
      </c>
      <c r="AG591" s="2519"/>
      <c r="AH591" s="2519"/>
      <c r="AI591" s="2519"/>
      <c r="AJ591" s="2519"/>
      <c r="AK591" s="2519"/>
      <c r="AL591" s="251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1398</v>
      </c>
      <c r="AG597" s="2519"/>
      <c r="AH597" s="2519"/>
      <c r="AI597" s="2519"/>
      <c r="AJ597" s="2519"/>
      <c r="AK597" s="2519"/>
      <c r="AL597" s="251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5" t="s">
        <v>1183</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1351</v>
      </c>
      <c r="AG603" s="2519"/>
      <c r="AH603" s="2519"/>
      <c r="AI603" s="2519"/>
      <c r="AJ603" s="2519"/>
      <c r="AK603" s="2519"/>
      <c r="AL603" s="251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3" t="s">
        <v>686</v>
      </c>
      <c r="I606" s="2443"/>
      <c r="J606" s="936"/>
      <c r="K606" s="936"/>
      <c r="L606" s="936"/>
      <c r="N606" s="22"/>
      <c r="O606" s="22"/>
      <c r="P606" s="22"/>
      <c r="Q606" s="1151" t="s">
        <v>2176</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1" t="s">
        <v>591</v>
      </c>
      <c r="C616" s="2391"/>
      <c r="D616" s="642"/>
      <c r="E616" s="2419" t="s">
        <v>1402</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3" t="s">
        <v>1693</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1351</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1" t="s">
        <v>591</v>
      </c>
      <c r="Y634" s="2391"/>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1407</v>
      </c>
      <c r="AG636" s="2519"/>
      <c r="AH636" s="2519"/>
      <c r="AI636" s="2519"/>
      <c r="AJ636" s="2519"/>
      <c r="AK636" s="2519"/>
      <c r="AL636" s="251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3" t="s">
        <v>686</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26">
        <f>VLOOKUP($H$638,$AO$605:$AP$607,2,FALSE)</f>
        <v>3</v>
      </c>
      <c r="AK640" s="242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19" t="s">
        <v>2097</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1351</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1407</v>
      </c>
      <c r="AG647" s="2519"/>
      <c r="AH647" s="2519"/>
      <c r="AI647" s="2519"/>
      <c r="AJ647" s="2519"/>
      <c r="AK647" s="2519"/>
      <c r="AL647" s="251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3" t="s">
        <v>591</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19" t="s">
        <v>1417</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1377</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9" t="s">
        <v>1418</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1398</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9" t="s">
        <v>1419</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1351</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591</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19" t="s">
        <v>1420</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1398</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19" t="s">
        <v>1421</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1351</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19" t="s">
        <v>1422</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1407</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19" t="s">
        <v>1423</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1424</v>
      </c>
      <c r="AG681" s="2519"/>
      <c r="AH681" s="2519"/>
      <c r="AI681" s="2519"/>
      <c r="AJ681" s="2519"/>
      <c r="AK681" s="2519"/>
      <c r="AL681" s="2519"/>
      <c r="AM681" s="596"/>
      <c r="AN681" s="597"/>
      <c r="AO681" s="611" t="s">
        <v>686</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3" t="s">
        <v>686</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239</v>
      </c>
    </row>
    <row r="691" spans="1:51" s="550" customFormat="1" ht="12.75" customHeight="1">
      <c r="A691" s="679"/>
      <c r="B691" s="536"/>
      <c r="C691" s="948"/>
      <c r="D691" s="663" t="s">
        <v>686</v>
      </c>
      <c r="E691" s="2389" t="s">
        <v>2189</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1351</v>
      </c>
      <c r="AG691" s="2519"/>
      <c r="AH691" s="2519"/>
      <c r="AI691" s="2519"/>
      <c r="AJ691" s="2519"/>
      <c r="AK691" s="2519"/>
      <c r="AL691" s="2519"/>
      <c r="AN691" s="597"/>
      <c r="AW691" s="22" t="s">
        <v>2184</v>
      </c>
      <c r="AX691" s="550">
        <f>Application!DE753</f>
        <v>63</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9" t="s">
        <v>2133</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1351</v>
      </c>
      <c r="AG694" s="2519"/>
      <c r="AH694" s="2519"/>
      <c r="AI694" s="2519"/>
      <c r="AJ694" s="2519"/>
      <c r="AK694" s="2519"/>
      <c r="AL694" s="2519"/>
      <c r="AN694" s="597"/>
      <c r="AW694" s="22" t="s">
        <v>2187</v>
      </c>
      <c r="AX694" s="550">
        <f>AX691+AX692+AX693</f>
        <v>63</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2188</v>
      </c>
      <c r="AX695" s="550">
        <f>IFERROR(AX694/AX690,0)</f>
        <v>0.26359832635983266</v>
      </c>
      <c r="AY695" s="550">
        <f>IFERROR(AX694/(AX690-AX689),0)</f>
        <v>0.26359832635983266</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19" t="s">
        <v>2134</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1407</v>
      </c>
      <c r="AG699" s="2519"/>
      <c r="AH699" s="2519"/>
      <c r="AI699" s="2519"/>
      <c r="AJ699" s="2519"/>
      <c r="AK699" s="2519"/>
      <c r="AL699" s="2519"/>
      <c r="AN699" s="597"/>
      <c r="AO699" s="611" t="s">
        <v>509</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19" t="s">
        <v>1692</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3" t="s">
        <v>277</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6">
        <f>VLOOKUP($H$709,$AO$703:$AP$706,2,FALSE)</f>
        <v>2</v>
      </c>
      <c r="AK711" s="242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1351</v>
      </c>
      <c r="AG715" s="2519"/>
      <c r="AH715" s="2519"/>
      <c r="AI715" s="2519"/>
      <c r="AJ715" s="2519"/>
      <c r="AK715" s="2519"/>
      <c r="AL715" s="2519"/>
      <c r="AM715" s="550"/>
      <c r="AN715" s="684"/>
      <c r="AP715" s="570" t="s">
        <v>1431</v>
      </c>
    </row>
    <row r="716" spans="1:43" s="570" customFormat="1" ht="11.9"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1407</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443" t="s">
        <v>591</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686</v>
      </c>
      <c r="E729" s="2419" t="s">
        <v>1695</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1351</v>
      </c>
      <c r="AG729" s="2519"/>
      <c r="AH729" s="2519"/>
      <c r="AI729" s="2519"/>
      <c r="AJ729" s="2519"/>
      <c r="AK729" s="2519"/>
      <c r="AL729" s="2519"/>
      <c r="AM729" s="550"/>
      <c r="AN729" s="684"/>
      <c r="AT729" s="14"/>
      <c r="AU729" s="14"/>
      <c r="AV729" s="14"/>
      <c r="AW729" s="14"/>
      <c r="AX729" s="14"/>
      <c r="AY729" s="14"/>
      <c r="AZ729" s="14"/>
    </row>
    <row r="730" spans="1:81" s="570" customFormat="1" ht="13">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9" t="s">
        <v>1438</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1407</v>
      </c>
      <c r="AG732" s="2519"/>
      <c r="AH732" s="2519"/>
      <c r="AI732" s="2519"/>
      <c r="AJ732" s="2519"/>
      <c r="AK732" s="2519"/>
      <c r="AL732" s="2519"/>
      <c r="AM732" s="550"/>
      <c r="AN732" s="684"/>
      <c r="AT732" s="14"/>
      <c r="AU732" s="14"/>
      <c r="AV732" s="14"/>
      <c r="AW732" s="14"/>
      <c r="AX732" s="14"/>
      <c r="AY732" s="14"/>
      <c r="AZ732" s="14"/>
    </row>
    <row r="733" spans="1:81" s="570" customFormat="1" ht="13">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3" t="s">
        <v>591</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686</v>
      </c>
      <c r="E741" s="2419" t="s">
        <v>1441</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1351</v>
      </c>
      <c r="AG741" s="2519"/>
      <c r="AH741" s="2519"/>
      <c r="AI741" s="2519"/>
      <c r="AJ741" s="2519"/>
      <c r="AK741" s="2519"/>
      <c r="AL741" s="2519"/>
      <c r="AM741" s="550"/>
      <c r="AN741" s="684"/>
      <c r="AT741" s="14"/>
      <c r="AU741" s="14"/>
      <c r="AV741" s="14"/>
      <c r="AW741" s="14"/>
      <c r="AX741" s="14"/>
      <c r="AY741" s="14"/>
      <c r="AZ741" s="14"/>
    </row>
    <row r="742" spans="1:81" s="570" customFormat="1" ht="13">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19" t="s">
        <v>1442</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1407</v>
      </c>
      <c r="AG746" s="2519"/>
      <c r="AH746" s="2519"/>
      <c r="AI746" s="2519"/>
      <c r="AJ746" s="2519"/>
      <c r="AK746" s="2519"/>
      <c r="AL746" s="2519"/>
      <c r="AM746" s="550"/>
      <c r="AN746" s="684"/>
      <c r="AO746" s="30"/>
      <c r="AP746" s="14"/>
    </row>
    <row r="747" spans="1:81" s="570" customFormat="1" ht="13">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3" t="s">
        <v>591</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686</v>
      </c>
      <c r="E757" s="2419" t="s">
        <v>1444</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1407</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19" t="s">
        <v>1445</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1424</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3" t="s">
        <v>686</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419" t="s">
        <v>1691</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1407</v>
      </c>
      <c r="AG769" s="2519"/>
      <c r="AH769" s="2519"/>
      <c r="AI769" s="2519"/>
      <c r="AJ769" s="2519"/>
      <c r="AK769" s="2519"/>
      <c r="AL769" s="2519"/>
      <c r="AM769" s="613"/>
      <c r="AN769" s="684"/>
      <c r="AO769" s="550" t="s">
        <v>591</v>
      </c>
      <c r="AP769" s="673">
        <v>0</v>
      </c>
    </row>
    <row r="770" spans="1:81" s="570" customFormat="1" ht="13.75"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686</v>
      </c>
      <c r="AP770" s="550">
        <v>2</v>
      </c>
    </row>
    <row r="771" spans="1:81" s="570" customFormat="1" ht="13">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0" t="s">
        <v>1696</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1351</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3" t="s">
        <v>591</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26">
        <f>VLOOKUP($H$779,$AO$769:$AP$771,2,FALSE)</f>
        <v>0</v>
      </c>
      <c r="AK781" s="2428"/>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419" t="s">
        <v>2032</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1351</v>
      </c>
      <c r="AG785" s="2519"/>
      <c r="AH785" s="2519"/>
      <c r="AI785" s="2519"/>
      <c r="AJ785" s="2519"/>
      <c r="AK785" s="2519"/>
      <c r="AL785" s="2519"/>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443" t="s">
        <v>545</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1567</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ht="13">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3" t="s">
        <v>1568</v>
      </c>
      <c r="U802" s="2514"/>
      <c r="V802" s="2514"/>
      <c r="W802" s="2514"/>
      <c r="X802" s="2514"/>
      <c r="Y802" s="2515"/>
      <c r="Z802" s="2513" t="s">
        <v>1569</v>
      </c>
      <c r="AA802" s="2514"/>
      <c r="AB802" s="2514"/>
      <c r="AC802" s="2514"/>
      <c r="AD802" s="2514"/>
      <c r="AE802" s="2515"/>
      <c r="AF802" s="2513" t="s">
        <v>1570</v>
      </c>
      <c r="AG802" s="2514"/>
      <c r="AH802" s="2514"/>
      <c r="AI802" s="2514"/>
      <c r="AJ802" s="2514"/>
      <c r="AK802" s="2515"/>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ht="13">
      <c r="A804" s="819" t="s">
        <v>756</v>
      </c>
      <c r="B804" s="2470" t="s">
        <v>1303</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ht="13">
      <c r="A805" s="819" t="s">
        <v>1540</v>
      </c>
      <c r="B805" s="2470" t="s">
        <v>1312</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ht="13">
      <c r="A806" s="819" t="s">
        <v>1549</v>
      </c>
      <c r="B806" s="2470" t="s">
        <v>1322</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ht="13">
      <c r="A807" s="819" t="s">
        <v>1571</v>
      </c>
      <c r="B807" s="2470" t="s">
        <v>1332</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ht="13">
      <c r="A808" s="820" t="s">
        <v>1572</v>
      </c>
      <c r="B808" s="2470" t="s">
        <v>1573</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ht="13">
      <c r="A809" s="535"/>
      <c r="B809" s="601"/>
      <c r="C809" s="2476" t="s">
        <v>1574</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ht="13">
      <c r="A810" s="600"/>
      <c r="B810" s="601"/>
      <c r="C810" s="2476" t="s">
        <v>1575</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ht="13">
      <c r="A811" s="820" t="s">
        <v>1360</v>
      </c>
      <c r="B811" s="2470" t="s">
        <v>1576</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ht="13">
      <c r="A812" s="819" t="s">
        <v>1369</v>
      </c>
      <c r="B812" s="2470" t="s">
        <v>1370</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t="13" hidden="1">
      <c r="A813" s="820" t="s">
        <v>589</v>
      </c>
      <c r="B813" s="2470" t="s">
        <v>1577</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470" t="s">
        <v>1578</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470" t="s">
        <v>1380</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470" t="s">
        <v>844</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470" t="s">
        <v>1558</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0" t="s">
        <v>1580</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4" t="s">
        <v>1581</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1582</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6" t="s">
        <v>1583</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2025-05-19T11:19:33Z</dcterms:modified>
</cp:coreProperties>
</file>